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Nayak Preeta\Illustratives 2018\"/>
    </mc:Choice>
  </mc:AlternateContent>
  <bookViews>
    <workbookView xWindow="0" yWindow="0" windowWidth="28800" windowHeight="13635" tabRatio="701"/>
  </bookViews>
  <sheets>
    <sheet name="Info" sheetId="12" r:id="rId1"/>
    <sheet name="JE Template 2018" sheetId="18" r:id="rId2"/>
    <sheet name="2018 summary" sheetId="16" r:id="rId3"/>
    <sheet name="2017 summary" sheetId="17" r:id="rId4"/>
    <sheet name="LGERS Contributions FY 2017" sheetId="19" r:id="rId5"/>
    <sheet name="Deferred Amort MD 6-30-17" sheetId="20" r:id="rId6"/>
  </sheets>
  <externalReferences>
    <externalReference r:id="rId7"/>
  </externalReferences>
  <definedNames>
    <definedName name="ActuaryCredentialsGASB">[1]DeveloperInfo!$D$19</definedName>
    <definedName name="ActuaryNameGASB">[1]DeveloperInfo!$D$17</definedName>
    <definedName name="ActuaryTitleGASB">[1]DeveloperInfo!$D$18</definedName>
    <definedName name="AdjCNSDate">[1]DeveloperInfo!$D$33</definedName>
    <definedName name="AdjCNSDate1">[1]DeveloperInfo!$E$33</definedName>
    <definedName name="AdjCNSDateTempEnable">[1]DeveloperInfo!$F$34</definedName>
    <definedName name="AgencyCode" localSheetId="3">#REF!</definedName>
    <definedName name="AgencyCode" localSheetId="5">#REF!</definedName>
    <definedName name="AgencyCode" localSheetId="0">#REF!</definedName>
    <definedName name="AgencyCode" localSheetId="1">#REF!</definedName>
    <definedName name="AgencyCode">#REF!</definedName>
    <definedName name="AgencyCode1" localSheetId="1">#REF!</definedName>
    <definedName name="AgencyCode1">#REF!</definedName>
    <definedName name="AnalystGASB">[1]DeveloperInfo!$D$20</definedName>
    <definedName name="Annuity" localSheetId="3">#REF!</definedName>
    <definedName name="Annuity" localSheetId="5">#REF!</definedName>
    <definedName name="Annuity" localSheetId="0">#REF!</definedName>
    <definedName name="Annuity" localSheetId="1">#REF!</definedName>
    <definedName name="Annuity">#REF!</definedName>
    <definedName name="Annuity1" localSheetId="1">#REF!</definedName>
    <definedName name="Annuity1">#REF!</definedName>
    <definedName name="AnnuityLY" localSheetId="3">#REF!</definedName>
    <definedName name="AnnuityLY" localSheetId="5">#REF!</definedName>
    <definedName name="AnnuityLY" localSheetId="1">#REF!</definedName>
    <definedName name="AnnuityLY">#REF!</definedName>
    <definedName name="ASTABPF">[1]DeveloperInfo!$D$36</definedName>
    <definedName name="ASTABPF1">[1]DeveloperInfo!$D$37</definedName>
    <definedName name="ASTEBPF">[1]DeveloperInfo!$F$37</definedName>
    <definedName name="ClientShortGASB">[1]DeveloperInfo!$D$9</definedName>
    <definedName name="CLPOWERDisc">[1]Adjust!$H$199</definedName>
    <definedName name="CLPOWERDiscMinus1">[1]Adjust!$L$199</definedName>
    <definedName name="CLPOWERDiscPlus1">[1]Adjust!$K$199</definedName>
    <definedName name="CLPOWERExp">[1]Adjust!$G$199</definedName>
    <definedName name="CNSDateDisc">[1]DeveloperInfo!$D$32</definedName>
    <definedName name="CNSDateDisc1">[1]DeveloperInfo!$E$32</definedName>
    <definedName name="ColaRate">[1]DeveloperInfo!$D$40</definedName>
    <definedName name="ConsultantNameGASB">[1]DeveloperInfo!$D$22</definedName>
    <definedName name="ConsultantTitleGASB">[1]DeveloperInfo!$D$23</definedName>
    <definedName name="Disc1DELTACENSUS">[1]Adjust!$G$102</definedName>
    <definedName name="Disc1INTNDIV12">[1]Adjust!$H$195</definedName>
    <definedName name="Disc1SINTADJBOM">[1]Adjust!$I$197</definedName>
    <definedName name="Disc1SINTNDIV12">[1]Adjust!$I$195</definedName>
    <definedName name="DiscDELTACENSUS">[1]Adjust!$H$102</definedName>
    <definedName name="DiscINTADJBOM">[1]Adjust!$J$197</definedName>
    <definedName name="DiscINTNDIV12">[1]Adjust!$J$195</definedName>
    <definedName name="DiscMinusOneINTADJBOM">[1]Adjust!$L$197</definedName>
    <definedName name="DiscMinusOneINTNDIV12">[1]Adjust!$L$195</definedName>
    <definedName name="DiscPlusOneINTADJBOM">[1]Adjust!$K$197</definedName>
    <definedName name="DiscPlusOneINTNDIV12">[1]Adjust!$K$195</definedName>
    <definedName name="EmployerRates" localSheetId="3">#REF!</definedName>
    <definedName name="EmployerRates" localSheetId="5">#REF!</definedName>
    <definedName name="EmployerRates" localSheetId="0">#REF!</definedName>
    <definedName name="EmployerRates" localSheetId="1">#REF!</definedName>
    <definedName name="EmployerRates">#REF!</definedName>
    <definedName name="EmployerRates1" localSheetId="1">#REF!</definedName>
    <definedName name="EmployerRates1">#REF!</definedName>
    <definedName name="EmployerRatesLEO" localSheetId="3">#REF!</definedName>
    <definedName name="EmployerRatesLEO" localSheetId="5">#REF!</definedName>
    <definedName name="EmployerRatesLEO" localSheetId="0">#REF!</definedName>
    <definedName name="EmployerRatesLEO" localSheetId="1">#REF!</definedName>
    <definedName name="EmployerRatesLEO">#REF!</definedName>
    <definedName name="EmployerRatesLEO1" localSheetId="1">#REF!</definedName>
    <definedName name="EmployerRatesLEO1">#REF!</definedName>
    <definedName name="ERData">[1]ER_DATA!$B$16:$EN$318</definedName>
    <definedName name="ERID">[1]ER_NPLExpense!$L$8</definedName>
    <definedName name="ERInfo">[1]ER_Input!$B$16:$Y$318</definedName>
    <definedName name="Exp1INTADJBOM">[1]Adjust!$G$197</definedName>
    <definedName name="Exp1INTNDIV12">[1]Adjust!$G$195</definedName>
    <definedName name="FracYearProj">[1]TPL!$C$43</definedName>
    <definedName name="FundOfficeContactGASB">[1]DeveloperInfo!$D$10</definedName>
    <definedName name="FYrsGASB">[1]DeveloperInfo!$D$54</definedName>
    <definedName name="GainLoss">[1]ER_Allocation!$P$12</definedName>
    <definedName name="GASBDiscMinusOneINTADJBOM">[1]Adjust!$L$197</definedName>
    <definedName name="GASBDiscMinusOneINTNDIV12">[1]Adjust!$L$195</definedName>
    <definedName name="InflRate">[1]DeveloperInfo!$D$38</definedName>
    <definedName name="InflRate1">[1]DeveloperInfo!$E$38</definedName>
    <definedName name="IntDisc">[1]DeveloperInfo!$F$47</definedName>
    <definedName name="IntDisc1">[1]DeveloperInfo!$D$47</definedName>
    <definedName name="IntDisc1S">[1]DeveloperInfo!$E$47</definedName>
    <definedName name="INTDiscMinusOne">[1]DeveloperInfo!$H$47</definedName>
    <definedName name="INTDiscPlusOne">[1]DeveloperInfo!$G$47</definedName>
    <definedName name="IntExp1">[1]DeveloperInfo!$I$47</definedName>
    <definedName name="MeasureDate">[1]DeveloperInfo!$D$31</definedName>
    <definedName name="MeasureDate1">[1]DeveloperInfo!$E$31</definedName>
    <definedName name="MeasureDate2">[1]DeveloperInfo!$F$31</definedName>
    <definedName name="N">"N/A"</definedName>
    <definedName name="NDIV12Disc">[1]Adjust!$H$200</definedName>
    <definedName name="NDIV12DiscMinus1">[1]Adjust!$L$200</definedName>
    <definedName name="NDIV12DiscPlus1">[1]Adjust!$K$200</definedName>
    <definedName name="NDIV12Exp">[1]Adjust!$G$200</definedName>
    <definedName name="OfficeAddr1GASB">[1]DeveloperInfo!$D$11</definedName>
    <definedName name="OfficeAddr2GASB">[1]DeveloperInfo!$D$12</definedName>
    <definedName name="Offices">[1]DeveloperInfo!$K$75:$O$91</definedName>
    <definedName name="Pension" localSheetId="3">#REF!</definedName>
    <definedName name="Pension" localSheetId="5">#REF!</definedName>
    <definedName name="Pension" localSheetId="0">#REF!</definedName>
    <definedName name="Pension" localSheetId="1">#REF!</definedName>
    <definedName name="Pension">#REF!</definedName>
    <definedName name="Pension1" localSheetId="1">#REF!</definedName>
    <definedName name="Pension1">#REF!</definedName>
    <definedName name="PensionLY" localSheetId="3">#REF!</definedName>
    <definedName name="PensionLY" localSheetId="5">#REF!</definedName>
    <definedName name="PensionLY" localSheetId="1">#REF!</definedName>
    <definedName name="PensionLY">#REF!</definedName>
    <definedName name="PlanNameLongGASB">[1]DeveloperInfo!$D$7</definedName>
    <definedName name="PlanNameShortGASB">[1]DeveloperInfo!$D$8</definedName>
    <definedName name="_xlnm.Print_Area" localSheetId="5">'Deferred Amort MD 6-30-17'!$A$3:$AM$912</definedName>
    <definedName name="_xlnm.Print_Area" localSheetId="1">'JE Template 2018'!$A$30:$G$57</definedName>
    <definedName name="_xlnm.Print_Titles" localSheetId="3">'2017 summary'!$4:$5</definedName>
    <definedName name="_xlnm.Print_Titles" localSheetId="5">'Deferred Amort MD 6-30-17'!$A:$D,'Deferred Amort MD 6-30-17'!$3:$4</definedName>
    <definedName name="ProjDisc?">[1]DeveloperInfo!$D$65</definedName>
    <definedName name="ProValResults" localSheetId="3">#REF!</definedName>
    <definedName name="ProValResults" localSheetId="5">#REF!</definedName>
    <definedName name="ProValResults" localSheetId="0">#REF!</definedName>
    <definedName name="ProValResults" localSheetId="1">#REF!</definedName>
    <definedName name="ProValResults">#REF!</definedName>
    <definedName name="ProValResults1" localSheetId="1">#REF!</definedName>
    <definedName name="ProValResults1">#REF!</definedName>
    <definedName name="ReportDate67">[1]DeveloperInfo!$D$30</definedName>
    <definedName name="ReportDate671">[1]DeveloperInfo!$E$30</definedName>
    <definedName name="ReportDate68">[1]DeveloperInfo!$D$52</definedName>
    <definedName name="ReportDate681">[1]DeveloperInfo!$E$52</definedName>
    <definedName name="ReviewerGASB">[1]DeveloperInfo!$D$21</definedName>
    <definedName name="Rnd_0">[1]DeveloperInfo!$D$41</definedName>
    <definedName name="RORRate681">[1]DeveloperInfo!$E$53</definedName>
    <definedName name="SalRate">[1]DeveloperInfo!$D$39</definedName>
    <definedName name="SalRate1">[1]DeveloperInfo!$E$39</definedName>
    <definedName name="SegalOfficeGASB">[1]DeveloperInfo!$D$24</definedName>
    <definedName name="TableData" localSheetId="3">#REF!</definedName>
    <definedName name="TableData" localSheetId="5">#REF!</definedName>
    <definedName name="TableData" localSheetId="0">#REF!</definedName>
    <definedName name="TableData" localSheetId="1">#REF!</definedName>
    <definedName name="TableData">#REF!</definedName>
    <definedName name="TableData1" localSheetId="1">#REF!</definedName>
    <definedName name="TableData1">#REF!</definedName>
    <definedName name="Type" localSheetId="3">#REF!</definedName>
    <definedName name="Type" localSheetId="5">#REF!</definedName>
    <definedName name="Type" localSheetId="1">#REF!</definedName>
    <definedName name="Type">#REF!</definedName>
    <definedName name="TypeAnnuity" localSheetId="3">#REF!</definedName>
    <definedName name="TypeAnnuity" localSheetId="5">#REF!</definedName>
    <definedName name="TypeAnnuity" localSheetId="0">#REF!</definedName>
    <definedName name="TypeAnnuity" localSheetId="1">#REF!</definedName>
    <definedName name="TypeAnnuity">#REF!</definedName>
    <definedName name="TypeAnnuity1" localSheetId="1">#REF!</definedName>
    <definedName name="TypeAnnuity1">#REF!</definedName>
    <definedName name="TypePension" localSheetId="3">#REF!</definedName>
    <definedName name="TypePension" localSheetId="5">#REF!</definedName>
    <definedName name="TypePension" localSheetId="0">#REF!</definedName>
    <definedName name="TypePension" localSheetId="1">#REF!</definedName>
    <definedName name="TypePension">#REF!</definedName>
    <definedName name="TypePension1" localSheetId="1">#REF!</definedName>
    <definedName name="TypePension1">#REF!</definedName>
    <definedName name="UnfundedData" localSheetId="3">#REF!</definedName>
    <definedName name="UnfundedData" localSheetId="5">#REF!</definedName>
    <definedName name="UnfundedData" localSheetId="0">#REF!</definedName>
    <definedName name="UnfundedData" localSheetId="1">#REF!</definedName>
    <definedName name="UnfundedData">#REF!</definedName>
    <definedName name="UnfundedData1" localSheetId="1">#REF!</definedName>
    <definedName name="UnfundedData1">#REF!</definedName>
    <definedName name="UnfundedLY" localSheetId="3">#REF!</definedName>
    <definedName name="UnfundedLY" localSheetId="5">#REF!</definedName>
    <definedName name="UnfundedLY" localSheetId="0">#REF!</definedName>
    <definedName name="UnfundedLY" localSheetId="1">#REF!</definedName>
    <definedName name="UnfundedLY">#REF!</definedName>
    <definedName name="UnfundedLY1" localSheetId="1">#REF!</definedName>
    <definedName name="UnfundedLY1">#REF!</definedName>
    <definedName name="UnfundedLYLEO1" localSheetId="1">#REF!</definedName>
    <definedName name="UnfundedLYLEO1">#REF!</definedName>
    <definedName name="UnfunedLYLEO" localSheetId="3">#REF!</definedName>
    <definedName name="UnfunedLYLEO" localSheetId="5">#REF!</definedName>
    <definedName name="UnfunedLYLEO" localSheetId="0">#REF!</definedName>
    <definedName name="UnfunedLYLEO" localSheetId="1">#REF!</definedName>
    <definedName name="UnfunedLYLEO">#REF!</definedName>
    <definedName name="VersionGASB">[1]DeveloperInfo!$D$4</definedName>
  </definedNames>
  <calcPr calcId="162913"/>
</workbook>
</file>

<file path=xl/calcChain.xml><?xml version="1.0" encoding="utf-8"?>
<calcChain xmlns="http://schemas.openxmlformats.org/spreadsheetml/2006/main">
  <c r="C23" i="12" l="1"/>
  <c r="K19" i="18"/>
  <c r="C24" i="12" l="1"/>
  <c r="F95" i="18" l="1"/>
  <c r="A29" i="12" l="1"/>
  <c r="R7" i="17" l="1"/>
  <c r="R8" i="17"/>
  <c r="R9" i="17"/>
  <c r="R10" i="17"/>
  <c r="R11" i="17"/>
  <c r="R12" i="17"/>
  <c r="R13" i="17"/>
  <c r="R14" i="17"/>
  <c r="R15" i="17"/>
  <c r="R16" i="17"/>
  <c r="R17" i="17"/>
  <c r="R18" i="17"/>
  <c r="R19" i="17"/>
  <c r="R20" i="17"/>
  <c r="R21" i="17"/>
  <c r="R22" i="17"/>
  <c r="R23" i="17"/>
  <c r="R24" i="17"/>
  <c r="R25" i="17"/>
  <c r="R26" i="17"/>
  <c r="R27" i="17"/>
  <c r="R28" i="17"/>
  <c r="R29" i="17"/>
  <c r="R30" i="17"/>
  <c r="R31" i="17"/>
  <c r="R32" i="17"/>
  <c r="R33" i="17"/>
  <c r="R34" i="17"/>
  <c r="R35" i="17"/>
  <c r="R36" i="17"/>
  <c r="R37" i="17"/>
  <c r="R38" i="17"/>
  <c r="R39" i="17"/>
  <c r="R40" i="17"/>
  <c r="R41" i="17"/>
  <c r="R42" i="17"/>
  <c r="R43" i="17"/>
  <c r="R44" i="17"/>
  <c r="R45" i="17"/>
  <c r="R46" i="17"/>
  <c r="R47" i="17"/>
  <c r="R48" i="17"/>
  <c r="R49" i="17"/>
  <c r="R50" i="17"/>
  <c r="R51" i="17"/>
  <c r="R52" i="17"/>
  <c r="R53" i="17"/>
  <c r="R54" i="17"/>
  <c r="R55" i="17"/>
  <c r="R56" i="17"/>
  <c r="R57" i="17"/>
  <c r="R58" i="17"/>
  <c r="R59" i="17"/>
  <c r="R60" i="17"/>
  <c r="R61" i="17"/>
  <c r="R62" i="17"/>
  <c r="R63" i="17"/>
  <c r="R64" i="17"/>
  <c r="R65" i="17"/>
  <c r="R66" i="17"/>
  <c r="R67" i="17"/>
  <c r="R68" i="17"/>
  <c r="R69" i="17"/>
  <c r="R70" i="17"/>
  <c r="R71" i="17"/>
  <c r="R72" i="17"/>
  <c r="R73" i="17"/>
  <c r="R74" i="17"/>
  <c r="R75" i="17"/>
  <c r="R76" i="17"/>
  <c r="R77" i="17"/>
  <c r="R78" i="17"/>
  <c r="R79" i="17"/>
  <c r="R80" i="17"/>
  <c r="R81" i="17"/>
  <c r="R82" i="17"/>
  <c r="R83" i="17"/>
  <c r="R84" i="17"/>
  <c r="R85" i="17"/>
  <c r="R86" i="17"/>
  <c r="R87" i="17"/>
  <c r="R88" i="17"/>
  <c r="R89" i="17"/>
  <c r="R90" i="17"/>
  <c r="R91" i="17"/>
  <c r="R92" i="17"/>
  <c r="R93" i="17"/>
  <c r="R94" i="17"/>
  <c r="R95" i="17"/>
  <c r="R96" i="17"/>
  <c r="R97" i="17"/>
  <c r="R98" i="17"/>
  <c r="R99" i="17"/>
  <c r="R100" i="17"/>
  <c r="R101" i="17"/>
  <c r="R102" i="17"/>
  <c r="R103" i="17"/>
  <c r="R104" i="17"/>
  <c r="R105" i="17"/>
  <c r="R106" i="17"/>
  <c r="R107" i="17"/>
  <c r="R108" i="17"/>
  <c r="R109" i="17"/>
  <c r="R110" i="17"/>
  <c r="R111" i="17"/>
  <c r="R112" i="17"/>
  <c r="R113" i="17"/>
  <c r="R114" i="17"/>
  <c r="R115" i="17"/>
  <c r="R116" i="17"/>
  <c r="R117" i="17"/>
  <c r="R118" i="17"/>
  <c r="R119" i="17"/>
  <c r="R120" i="17"/>
  <c r="R121" i="17"/>
  <c r="R122" i="17"/>
  <c r="R123" i="17"/>
  <c r="R124" i="17"/>
  <c r="R125" i="17"/>
  <c r="R126" i="17"/>
  <c r="R127" i="17"/>
  <c r="R128" i="17"/>
  <c r="R129" i="17"/>
  <c r="R130" i="17"/>
  <c r="R131" i="17"/>
  <c r="R132" i="17"/>
  <c r="R133" i="17"/>
  <c r="R134" i="17"/>
  <c r="R135" i="17"/>
  <c r="R136" i="17"/>
  <c r="R137" i="17"/>
  <c r="R138" i="17"/>
  <c r="R139" i="17"/>
  <c r="R140" i="17"/>
  <c r="R141" i="17"/>
  <c r="R142" i="17"/>
  <c r="R143" i="17"/>
  <c r="R144" i="17"/>
  <c r="R145" i="17"/>
  <c r="R146" i="17"/>
  <c r="R147" i="17"/>
  <c r="R148" i="17"/>
  <c r="R149" i="17"/>
  <c r="R150" i="17"/>
  <c r="R151" i="17"/>
  <c r="R152" i="17"/>
  <c r="R153" i="17"/>
  <c r="R154" i="17"/>
  <c r="R155" i="17"/>
  <c r="R156" i="17"/>
  <c r="R157" i="17"/>
  <c r="R158" i="17"/>
  <c r="R159" i="17"/>
  <c r="R160" i="17"/>
  <c r="R161" i="17"/>
  <c r="R162" i="17"/>
  <c r="R163" i="17"/>
  <c r="R164" i="17"/>
  <c r="R165" i="17"/>
  <c r="R166" i="17"/>
  <c r="R167" i="17"/>
  <c r="R168" i="17"/>
  <c r="R169" i="17"/>
  <c r="R170" i="17"/>
  <c r="R171" i="17"/>
  <c r="R172" i="17"/>
  <c r="R173" i="17"/>
  <c r="R174" i="17"/>
  <c r="R175" i="17"/>
  <c r="R176" i="17"/>
  <c r="R177" i="17"/>
  <c r="R178" i="17"/>
  <c r="R179" i="17"/>
  <c r="R180" i="17"/>
  <c r="R181" i="17"/>
  <c r="R182" i="17"/>
  <c r="R183" i="17"/>
  <c r="R184" i="17"/>
  <c r="R185" i="17"/>
  <c r="R186" i="17"/>
  <c r="R187" i="17"/>
  <c r="R188" i="17"/>
  <c r="R189" i="17"/>
  <c r="R190" i="17"/>
  <c r="R191" i="17"/>
  <c r="R192" i="17"/>
  <c r="R193" i="17"/>
  <c r="R194" i="17"/>
  <c r="R195" i="17"/>
  <c r="R196" i="17"/>
  <c r="R197" i="17"/>
  <c r="R198" i="17"/>
  <c r="R199" i="17"/>
  <c r="R200" i="17"/>
  <c r="R201" i="17"/>
  <c r="R202" i="17"/>
  <c r="R203" i="17"/>
  <c r="R204" i="17"/>
  <c r="R205" i="17"/>
  <c r="R206" i="17"/>
  <c r="R207" i="17"/>
  <c r="R208" i="17"/>
  <c r="R209" i="17"/>
  <c r="R210" i="17"/>
  <c r="R211" i="17"/>
  <c r="R212" i="17"/>
  <c r="R213" i="17"/>
  <c r="R214" i="17"/>
  <c r="R215" i="17"/>
  <c r="R216" i="17"/>
  <c r="R217" i="17"/>
  <c r="R218" i="17"/>
  <c r="R219" i="17"/>
  <c r="R220" i="17"/>
  <c r="R221" i="17"/>
  <c r="R222" i="17"/>
  <c r="R223" i="17"/>
  <c r="R224" i="17"/>
  <c r="R225" i="17"/>
  <c r="R226" i="17"/>
  <c r="R227" i="17"/>
  <c r="R228" i="17"/>
  <c r="R229" i="17"/>
  <c r="R230" i="17"/>
  <c r="R231" i="17"/>
  <c r="R232" i="17"/>
  <c r="R233" i="17"/>
  <c r="R234" i="17"/>
  <c r="R235" i="17"/>
  <c r="R236" i="17"/>
  <c r="R237" i="17"/>
  <c r="R238" i="17"/>
  <c r="R239" i="17"/>
  <c r="R240" i="17"/>
  <c r="R241" i="17"/>
  <c r="R242" i="17"/>
  <c r="R243" i="17"/>
  <c r="R244" i="17"/>
  <c r="R245" i="17"/>
  <c r="R246" i="17"/>
  <c r="R247" i="17"/>
  <c r="R248" i="17"/>
  <c r="R249" i="17"/>
  <c r="R250" i="17"/>
  <c r="R251" i="17"/>
  <c r="R252" i="17"/>
  <c r="R253" i="17"/>
  <c r="R254" i="17"/>
  <c r="R255" i="17"/>
  <c r="R256" i="17"/>
  <c r="R257" i="17"/>
  <c r="R258" i="17"/>
  <c r="R259" i="17"/>
  <c r="R260" i="17"/>
  <c r="R261" i="17"/>
  <c r="R262" i="17"/>
  <c r="R263" i="17"/>
  <c r="R264" i="17"/>
  <c r="R265" i="17"/>
  <c r="R266" i="17"/>
  <c r="R267" i="17"/>
  <c r="R268" i="17"/>
  <c r="R269" i="17"/>
  <c r="R270" i="17"/>
  <c r="R271" i="17"/>
  <c r="R272" i="17"/>
  <c r="R273" i="17"/>
  <c r="R274" i="17"/>
  <c r="R275" i="17"/>
  <c r="R276" i="17"/>
  <c r="R277" i="17"/>
  <c r="R278" i="17"/>
  <c r="R279" i="17"/>
  <c r="R280" i="17"/>
  <c r="R281" i="17"/>
  <c r="R282" i="17"/>
  <c r="R283" i="17"/>
  <c r="R284" i="17"/>
  <c r="R285" i="17"/>
  <c r="R286" i="17"/>
  <c r="R287" i="17"/>
  <c r="R288" i="17"/>
  <c r="R289" i="17"/>
  <c r="R290" i="17"/>
  <c r="R291" i="17"/>
  <c r="R292" i="17"/>
  <c r="R293" i="17"/>
  <c r="R294" i="17"/>
  <c r="R295" i="17"/>
  <c r="R296" i="17"/>
  <c r="R297" i="17"/>
  <c r="R298" i="17"/>
  <c r="R299" i="17"/>
  <c r="R300" i="17"/>
  <c r="R301" i="17"/>
  <c r="R302" i="17"/>
  <c r="R303" i="17"/>
  <c r="R304" i="17"/>
  <c r="R305" i="17"/>
  <c r="R306" i="17"/>
  <c r="R307" i="17"/>
  <c r="R308" i="17"/>
  <c r="R309" i="17"/>
  <c r="R310" i="17"/>
  <c r="R311" i="17"/>
  <c r="R312" i="17"/>
  <c r="R313" i="17"/>
  <c r="R314" i="17"/>
  <c r="R315" i="17"/>
  <c r="R316" i="17"/>
  <c r="R317" i="17"/>
  <c r="R318" i="17"/>
  <c r="R319" i="17"/>
  <c r="R320" i="17"/>
  <c r="R321" i="17"/>
  <c r="R322" i="17"/>
  <c r="R323" i="17"/>
  <c r="R324" i="17"/>
  <c r="R325" i="17"/>
  <c r="R326" i="17"/>
  <c r="R327" i="17"/>
  <c r="R328" i="17"/>
  <c r="R329" i="17"/>
  <c r="R330" i="17"/>
  <c r="R331" i="17"/>
  <c r="R332" i="17"/>
  <c r="R333" i="17"/>
  <c r="R334" i="17"/>
  <c r="R335" i="17"/>
  <c r="R336" i="17"/>
  <c r="R337" i="17"/>
  <c r="R338" i="17"/>
  <c r="R339" i="17"/>
  <c r="R340" i="17"/>
  <c r="R341" i="17"/>
  <c r="R342" i="17"/>
  <c r="R343" i="17"/>
  <c r="R344" i="17"/>
  <c r="R345" i="17"/>
  <c r="R346" i="17"/>
  <c r="R347" i="17"/>
  <c r="R348" i="17"/>
  <c r="R349" i="17"/>
  <c r="R350" i="17"/>
  <c r="R351" i="17"/>
  <c r="R352" i="17"/>
  <c r="R353" i="17"/>
  <c r="R354" i="17"/>
  <c r="R355" i="17"/>
  <c r="R356" i="17"/>
  <c r="R357" i="17"/>
  <c r="R358" i="17"/>
  <c r="R359" i="17"/>
  <c r="R360" i="17"/>
  <c r="R361" i="17"/>
  <c r="R362" i="17"/>
  <c r="R363" i="17"/>
  <c r="R364" i="17"/>
  <c r="R365" i="17"/>
  <c r="R366" i="17"/>
  <c r="R367" i="17"/>
  <c r="R368" i="17"/>
  <c r="R369" i="17"/>
  <c r="R370" i="17"/>
  <c r="R371" i="17"/>
  <c r="R372" i="17"/>
  <c r="R373" i="17"/>
  <c r="R374" i="17"/>
  <c r="R375" i="17"/>
  <c r="R376" i="17"/>
  <c r="R377" i="17"/>
  <c r="R378" i="17"/>
  <c r="R379" i="17"/>
  <c r="R380" i="17"/>
  <c r="R381" i="17"/>
  <c r="R382" i="17"/>
  <c r="R383" i="17"/>
  <c r="R384" i="17"/>
  <c r="R385" i="17"/>
  <c r="R386" i="17"/>
  <c r="R387" i="17"/>
  <c r="R388" i="17"/>
  <c r="R389" i="17"/>
  <c r="R390" i="17"/>
  <c r="R391" i="17"/>
  <c r="R392" i="17"/>
  <c r="R393" i="17"/>
  <c r="R394" i="17"/>
  <c r="R395" i="17"/>
  <c r="R396" i="17"/>
  <c r="R397" i="17"/>
  <c r="R398" i="17"/>
  <c r="R399" i="17"/>
  <c r="R400" i="17"/>
  <c r="R401" i="17"/>
  <c r="R402" i="17"/>
  <c r="R403" i="17"/>
  <c r="R404" i="17"/>
  <c r="R405" i="17"/>
  <c r="R406" i="17"/>
  <c r="R407" i="17"/>
  <c r="R408" i="17"/>
  <c r="R409" i="17"/>
  <c r="R410" i="17"/>
  <c r="R411" i="17"/>
  <c r="R412" i="17"/>
  <c r="R413" i="17"/>
  <c r="R414" i="17"/>
  <c r="R415" i="17"/>
  <c r="R416" i="17"/>
  <c r="R417" i="17"/>
  <c r="R418" i="17"/>
  <c r="R419" i="17"/>
  <c r="R420" i="17"/>
  <c r="R421" i="17"/>
  <c r="R422" i="17"/>
  <c r="R423" i="17"/>
  <c r="R424" i="17"/>
  <c r="R425" i="17"/>
  <c r="R426" i="17"/>
  <c r="R427" i="17"/>
  <c r="R428" i="17"/>
  <c r="R429" i="17"/>
  <c r="R430" i="17"/>
  <c r="R431" i="17"/>
  <c r="R432" i="17"/>
  <c r="R433" i="17"/>
  <c r="R434" i="17"/>
  <c r="R435" i="17"/>
  <c r="R436" i="17"/>
  <c r="R437" i="17"/>
  <c r="R438" i="17"/>
  <c r="R439" i="17"/>
  <c r="R440" i="17"/>
  <c r="R441" i="17"/>
  <c r="R442" i="17"/>
  <c r="R443" i="17"/>
  <c r="R444" i="17"/>
  <c r="R445" i="17"/>
  <c r="R446" i="17"/>
  <c r="R447" i="17"/>
  <c r="R448" i="17"/>
  <c r="R449" i="17"/>
  <c r="R450" i="17"/>
  <c r="R451" i="17"/>
  <c r="R452" i="17"/>
  <c r="R453" i="17"/>
  <c r="R454" i="17"/>
  <c r="R455" i="17"/>
  <c r="R456" i="17"/>
  <c r="R457" i="17"/>
  <c r="R458" i="17"/>
  <c r="R459" i="17"/>
  <c r="R460" i="17"/>
  <c r="R461" i="17"/>
  <c r="R462" i="17"/>
  <c r="R463" i="17"/>
  <c r="R464" i="17"/>
  <c r="R465" i="17"/>
  <c r="R466" i="17"/>
  <c r="R467" i="17"/>
  <c r="R468" i="17"/>
  <c r="R469" i="17"/>
  <c r="R470" i="17"/>
  <c r="R471" i="17"/>
  <c r="R472" i="17"/>
  <c r="R473" i="17"/>
  <c r="R474" i="17"/>
  <c r="R475" i="17"/>
  <c r="R476" i="17"/>
  <c r="R477" i="17"/>
  <c r="R478" i="17"/>
  <c r="R479" i="17"/>
  <c r="R480" i="17"/>
  <c r="R481" i="17"/>
  <c r="R482" i="17"/>
  <c r="R483" i="17"/>
  <c r="R484" i="17"/>
  <c r="R485" i="17"/>
  <c r="R486" i="17"/>
  <c r="R487" i="17"/>
  <c r="R488" i="17"/>
  <c r="R489" i="17"/>
  <c r="R490" i="17"/>
  <c r="R491" i="17"/>
  <c r="R492" i="17"/>
  <c r="R493" i="17"/>
  <c r="R494" i="17"/>
  <c r="R495" i="17"/>
  <c r="R496" i="17"/>
  <c r="R497" i="17"/>
  <c r="R498" i="17"/>
  <c r="R499" i="17"/>
  <c r="R500" i="17"/>
  <c r="R501" i="17"/>
  <c r="R502" i="17"/>
  <c r="R503" i="17"/>
  <c r="R504" i="17"/>
  <c r="R505" i="17"/>
  <c r="R506" i="17"/>
  <c r="R507" i="17"/>
  <c r="R508" i="17"/>
  <c r="R509" i="17"/>
  <c r="R510" i="17"/>
  <c r="R511" i="17"/>
  <c r="R512" i="17"/>
  <c r="R513" i="17"/>
  <c r="R514" i="17"/>
  <c r="R515" i="17"/>
  <c r="R516" i="17"/>
  <c r="R517" i="17"/>
  <c r="R518" i="17"/>
  <c r="R519" i="17"/>
  <c r="R520" i="17"/>
  <c r="R521" i="17"/>
  <c r="R522" i="17"/>
  <c r="R523" i="17"/>
  <c r="R524" i="17"/>
  <c r="R525" i="17"/>
  <c r="R526" i="17"/>
  <c r="R527" i="17"/>
  <c r="R528" i="17"/>
  <c r="R529" i="17"/>
  <c r="R530" i="17"/>
  <c r="R531" i="17"/>
  <c r="R532" i="17"/>
  <c r="R533" i="17"/>
  <c r="R534" i="17"/>
  <c r="R535" i="17"/>
  <c r="R536" i="17"/>
  <c r="R537" i="17"/>
  <c r="R538" i="17"/>
  <c r="R539" i="17"/>
  <c r="R540" i="17"/>
  <c r="R541" i="17"/>
  <c r="R542" i="17"/>
  <c r="R543" i="17"/>
  <c r="R544" i="17"/>
  <c r="R545" i="17"/>
  <c r="R546" i="17"/>
  <c r="R547" i="17"/>
  <c r="R548" i="17"/>
  <c r="R549" i="17"/>
  <c r="R550" i="17"/>
  <c r="R551" i="17"/>
  <c r="R552" i="17"/>
  <c r="R553" i="17"/>
  <c r="R554" i="17"/>
  <c r="R555" i="17"/>
  <c r="R556" i="17"/>
  <c r="R557" i="17"/>
  <c r="R558" i="17"/>
  <c r="R559" i="17"/>
  <c r="R560" i="17"/>
  <c r="R561" i="17"/>
  <c r="R562" i="17"/>
  <c r="R563" i="17"/>
  <c r="R564" i="17"/>
  <c r="R565" i="17"/>
  <c r="R566" i="17"/>
  <c r="R567" i="17"/>
  <c r="R568" i="17"/>
  <c r="R569" i="17"/>
  <c r="R570" i="17"/>
  <c r="R571" i="17"/>
  <c r="R572" i="17"/>
  <c r="R573" i="17"/>
  <c r="R574" i="17"/>
  <c r="R575" i="17"/>
  <c r="R576" i="17"/>
  <c r="R577" i="17"/>
  <c r="R578" i="17"/>
  <c r="R579" i="17"/>
  <c r="R580" i="17"/>
  <c r="R581" i="17"/>
  <c r="R582" i="17"/>
  <c r="R583" i="17"/>
  <c r="R584" i="17"/>
  <c r="R585" i="17"/>
  <c r="R586" i="17"/>
  <c r="R587" i="17"/>
  <c r="R588" i="17"/>
  <c r="R589" i="17"/>
  <c r="R590" i="17"/>
  <c r="R591" i="17"/>
  <c r="R592" i="17"/>
  <c r="R593" i="17"/>
  <c r="R594" i="17"/>
  <c r="R595" i="17"/>
  <c r="R596" i="17"/>
  <c r="R597" i="17"/>
  <c r="R598" i="17"/>
  <c r="R599" i="17"/>
  <c r="R600" i="17"/>
  <c r="R601" i="17"/>
  <c r="R602" i="17"/>
  <c r="R603" i="17"/>
  <c r="R604" i="17"/>
  <c r="R605" i="17"/>
  <c r="R606" i="17"/>
  <c r="R607" i="17"/>
  <c r="R608" i="17"/>
  <c r="R609" i="17"/>
  <c r="R610" i="17"/>
  <c r="R611" i="17"/>
  <c r="R612" i="17"/>
  <c r="R613" i="17"/>
  <c r="R614" i="17"/>
  <c r="R615" i="17"/>
  <c r="R616" i="17"/>
  <c r="R617" i="17"/>
  <c r="R618" i="17"/>
  <c r="R619" i="17"/>
  <c r="R620" i="17"/>
  <c r="R621" i="17"/>
  <c r="R622" i="17"/>
  <c r="R623" i="17"/>
  <c r="R624" i="17"/>
  <c r="R625" i="17"/>
  <c r="R626" i="17"/>
  <c r="R627" i="17"/>
  <c r="R628" i="17"/>
  <c r="R629" i="17"/>
  <c r="R630" i="17"/>
  <c r="R631" i="17"/>
  <c r="R632" i="17"/>
  <c r="R633" i="17"/>
  <c r="R634" i="17"/>
  <c r="R635" i="17"/>
  <c r="R636" i="17"/>
  <c r="R637" i="17"/>
  <c r="R638" i="17"/>
  <c r="R639" i="17"/>
  <c r="R640" i="17"/>
  <c r="R641" i="17"/>
  <c r="R642" i="17"/>
  <c r="R643" i="17"/>
  <c r="R644" i="17"/>
  <c r="R645" i="17"/>
  <c r="R646" i="17"/>
  <c r="R647" i="17"/>
  <c r="R648" i="17"/>
  <c r="R649" i="17"/>
  <c r="R650" i="17"/>
  <c r="R651" i="17"/>
  <c r="R652" i="17"/>
  <c r="R653" i="17"/>
  <c r="R654" i="17"/>
  <c r="R655" i="17"/>
  <c r="R656" i="17"/>
  <c r="R657" i="17"/>
  <c r="R658" i="17"/>
  <c r="R659" i="17"/>
  <c r="R660" i="17"/>
  <c r="R661" i="17"/>
  <c r="R662" i="17"/>
  <c r="R663" i="17"/>
  <c r="R664" i="17"/>
  <c r="R665" i="17"/>
  <c r="R666" i="17"/>
  <c r="R667" i="17"/>
  <c r="R668" i="17"/>
  <c r="R669" i="17"/>
  <c r="R670" i="17"/>
  <c r="R671" i="17"/>
  <c r="R672" i="17"/>
  <c r="R673" i="17"/>
  <c r="R674" i="17"/>
  <c r="R675" i="17"/>
  <c r="R676" i="17"/>
  <c r="R677" i="17"/>
  <c r="R678" i="17"/>
  <c r="R679" i="17"/>
  <c r="R680" i="17"/>
  <c r="R681" i="17"/>
  <c r="R682" i="17"/>
  <c r="R683" i="17"/>
  <c r="R684" i="17"/>
  <c r="R685" i="17"/>
  <c r="R686" i="17"/>
  <c r="R687" i="17"/>
  <c r="R688" i="17"/>
  <c r="R689" i="17"/>
  <c r="R690" i="17"/>
  <c r="R691" i="17"/>
  <c r="R692" i="17"/>
  <c r="R693" i="17"/>
  <c r="R694" i="17"/>
  <c r="R695" i="17"/>
  <c r="R696" i="17"/>
  <c r="R697" i="17"/>
  <c r="R698" i="17"/>
  <c r="R699" i="17"/>
  <c r="R700" i="17"/>
  <c r="R701" i="17"/>
  <c r="R702" i="17"/>
  <c r="R703" i="17"/>
  <c r="R704" i="17"/>
  <c r="R705" i="17"/>
  <c r="R706" i="17"/>
  <c r="R707" i="17"/>
  <c r="R708" i="17"/>
  <c r="R709" i="17"/>
  <c r="R710" i="17"/>
  <c r="R711" i="17"/>
  <c r="R712" i="17"/>
  <c r="R713" i="17"/>
  <c r="R714" i="17"/>
  <c r="R715" i="17"/>
  <c r="R716" i="17"/>
  <c r="R717" i="17"/>
  <c r="R718" i="17"/>
  <c r="R719" i="17"/>
  <c r="R720" i="17"/>
  <c r="R721" i="17"/>
  <c r="R722" i="17"/>
  <c r="R723" i="17"/>
  <c r="R724" i="17"/>
  <c r="R725" i="17"/>
  <c r="R726" i="17"/>
  <c r="R727" i="17"/>
  <c r="R728" i="17"/>
  <c r="R729" i="17"/>
  <c r="R730" i="17"/>
  <c r="R731" i="17"/>
  <c r="R732" i="17"/>
  <c r="R733" i="17"/>
  <c r="R734" i="17"/>
  <c r="R735" i="17"/>
  <c r="R736" i="17"/>
  <c r="R737" i="17"/>
  <c r="R738" i="17"/>
  <c r="R739" i="17"/>
  <c r="R740" i="17"/>
  <c r="R741" i="17"/>
  <c r="R742" i="17"/>
  <c r="R743" i="17"/>
  <c r="R744" i="17"/>
  <c r="R745" i="17"/>
  <c r="R746" i="17"/>
  <c r="R747" i="17"/>
  <c r="R748" i="17"/>
  <c r="R749" i="17"/>
  <c r="R750" i="17"/>
  <c r="R751" i="17"/>
  <c r="R752" i="17"/>
  <c r="R753" i="17"/>
  <c r="R754" i="17"/>
  <c r="R755" i="17"/>
  <c r="R756" i="17"/>
  <c r="R757" i="17"/>
  <c r="R758" i="17"/>
  <c r="R759" i="17"/>
  <c r="R760" i="17"/>
  <c r="R761" i="17"/>
  <c r="R762" i="17"/>
  <c r="R763" i="17"/>
  <c r="R764" i="17"/>
  <c r="R765" i="17"/>
  <c r="R766" i="17"/>
  <c r="R767" i="17"/>
  <c r="R768" i="17"/>
  <c r="R769" i="17"/>
  <c r="R770" i="17"/>
  <c r="R771" i="17"/>
  <c r="R772" i="17"/>
  <c r="R773" i="17"/>
  <c r="R774" i="17"/>
  <c r="R775" i="17"/>
  <c r="R776" i="17"/>
  <c r="R777" i="17"/>
  <c r="R778" i="17"/>
  <c r="R779" i="17"/>
  <c r="R780" i="17"/>
  <c r="R781" i="17"/>
  <c r="R782" i="17"/>
  <c r="R783" i="17"/>
  <c r="R784" i="17"/>
  <c r="R785" i="17"/>
  <c r="R786" i="17"/>
  <c r="R787" i="17"/>
  <c r="R788" i="17"/>
  <c r="R789" i="17"/>
  <c r="R790" i="17"/>
  <c r="R791" i="17"/>
  <c r="R792" i="17"/>
  <c r="R793" i="17"/>
  <c r="R794" i="17"/>
  <c r="R795" i="17"/>
  <c r="R796" i="17"/>
  <c r="R797" i="17"/>
  <c r="R798" i="17"/>
  <c r="R799" i="17"/>
  <c r="R800" i="17"/>
  <c r="R801" i="17"/>
  <c r="R802" i="17"/>
  <c r="R803" i="17"/>
  <c r="R804" i="17"/>
  <c r="R805" i="17"/>
  <c r="R806" i="17"/>
  <c r="R807" i="17"/>
  <c r="R808" i="17"/>
  <c r="R809" i="17"/>
  <c r="R810" i="17"/>
  <c r="R811" i="17"/>
  <c r="R812" i="17"/>
  <c r="R813" i="17"/>
  <c r="R814" i="17"/>
  <c r="R815" i="17"/>
  <c r="R816" i="17"/>
  <c r="R817" i="17"/>
  <c r="R818" i="17"/>
  <c r="R819" i="17"/>
  <c r="R820" i="17"/>
  <c r="R821" i="17"/>
  <c r="R822" i="17"/>
  <c r="R823" i="17"/>
  <c r="R824" i="17"/>
  <c r="R825" i="17"/>
  <c r="R826" i="17"/>
  <c r="R827" i="17"/>
  <c r="R828" i="17"/>
  <c r="R829" i="17"/>
  <c r="R830" i="17"/>
  <c r="R831" i="17"/>
  <c r="R832" i="17"/>
  <c r="R833" i="17"/>
  <c r="R834" i="17"/>
  <c r="R835" i="17"/>
  <c r="R836" i="17"/>
  <c r="R837" i="17"/>
  <c r="R838" i="17"/>
  <c r="R839" i="17"/>
  <c r="R840" i="17"/>
  <c r="R841" i="17"/>
  <c r="R842" i="17"/>
  <c r="R843" i="17"/>
  <c r="R844" i="17"/>
  <c r="R845" i="17"/>
  <c r="R846" i="17"/>
  <c r="R847" i="17"/>
  <c r="R848" i="17"/>
  <c r="R849" i="17"/>
  <c r="R850" i="17"/>
  <c r="R851" i="17"/>
  <c r="R852" i="17"/>
  <c r="R853" i="17"/>
  <c r="R854" i="17"/>
  <c r="R855" i="17"/>
  <c r="R856" i="17"/>
  <c r="R857" i="17"/>
  <c r="R858" i="17"/>
  <c r="R859" i="17"/>
  <c r="R860" i="17"/>
  <c r="R861" i="17"/>
  <c r="R862" i="17"/>
  <c r="R863" i="17"/>
  <c r="R864" i="17"/>
  <c r="R865" i="17"/>
  <c r="R866" i="17"/>
  <c r="R867" i="17"/>
  <c r="R868" i="17"/>
  <c r="R869" i="17"/>
  <c r="R870" i="17"/>
  <c r="R871" i="17"/>
  <c r="R872" i="17"/>
  <c r="R873" i="17"/>
  <c r="R874" i="17"/>
  <c r="R875" i="17"/>
  <c r="R876" i="17"/>
  <c r="R877" i="17"/>
  <c r="R878" i="17"/>
  <c r="R879" i="17"/>
  <c r="R880" i="17"/>
  <c r="R881" i="17"/>
  <c r="R882" i="17"/>
  <c r="R883" i="17"/>
  <c r="R884" i="17"/>
  <c r="R885" i="17"/>
  <c r="R886" i="17"/>
  <c r="R887" i="17"/>
  <c r="R888" i="17"/>
  <c r="R889" i="17"/>
  <c r="R890" i="17"/>
  <c r="R891" i="17"/>
  <c r="R892" i="17"/>
  <c r="R893" i="17"/>
  <c r="R894" i="17"/>
  <c r="R895" i="17"/>
  <c r="R896" i="17"/>
  <c r="R897" i="17"/>
  <c r="R898" i="17"/>
  <c r="R899" i="17"/>
  <c r="R900" i="17"/>
  <c r="R901" i="17"/>
  <c r="R902" i="17"/>
  <c r="R903" i="17"/>
  <c r="R904" i="17"/>
  <c r="R905" i="17"/>
  <c r="R6" i="17"/>
  <c r="E42" i="18" l="1"/>
  <c r="A31" i="12" l="1"/>
  <c r="A33" i="12" l="1"/>
  <c r="C897" i="19" l="1"/>
  <c r="F19" i="18" s="1"/>
  <c r="F94" i="18" l="1"/>
  <c r="E94" i="18"/>
  <c r="V907" i="17"/>
  <c r="V28" i="18" s="1"/>
  <c r="U907" i="17"/>
  <c r="U28" i="18" s="1"/>
  <c r="T907" i="17"/>
  <c r="T28" i="18" s="1"/>
  <c r="Q907" i="17"/>
  <c r="R28" i="18" s="1"/>
  <c r="P907" i="17"/>
  <c r="Q28" i="18" s="1"/>
  <c r="O907" i="17"/>
  <c r="P28" i="18" s="1"/>
  <c r="N907" i="17"/>
  <c r="O28" i="18" s="1"/>
  <c r="L907" i="17"/>
  <c r="M28" i="18" s="1"/>
  <c r="K907" i="17"/>
  <c r="L28" i="18" s="1"/>
  <c r="J907" i="17"/>
  <c r="K28" i="18" s="1"/>
  <c r="I907" i="17"/>
  <c r="J28" i="18" s="1"/>
  <c r="G907" i="17"/>
  <c r="F907" i="17"/>
  <c r="G28" i="18" s="1"/>
  <c r="E907" i="17"/>
  <c r="F28" i="18" s="1"/>
  <c r="D907" i="17"/>
  <c r="C907" i="17"/>
  <c r="H28" i="18" l="1"/>
  <c r="G19" i="18"/>
  <c r="N908" i="16"/>
  <c r="P906" i="16"/>
  <c r="K906" i="16"/>
  <c r="P905" i="16"/>
  <c r="K905" i="16"/>
  <c r="T904" i="16"/>
  <c r="P904" i="16"/>
  <c r="K904" i="16"/>
  <c r="P903" i="16"/>
  <c r="K903" i="16"/>
  <c r="P902" i="16"/>
  <c r="K902" i="16"/>
  <c r="P901" i="16"/>
  <c r="K901" i="16"/>
  <c r="P900" i="16"/>
  <c r="K900" i="16"/>
  <c r="P899" i="16"/>
  <c r="K899" i="16"/>
  <c r="P898" i="16"/>
  <c r="K898" i="16"/>
  <c r="T897" i="16"/>
  <c r="P897" i="16"/>
  <c r="K897" i="16"/>
  <c r="P896" i="16"/>
  <c r="K896" i="16"/>
  <c r="P895" i="16"/>
  <c r="K895" i="16"/>
  <c r="P894" i="16"/>
  <c r="K894" i="16"/>
  <c r="T893" i="16"/>
  <c r="P893" i="16"/>
  <c r="K893" i="16"/>
  <c r="P892" i="16"/>
  <c r="K892" i="16"/>
  <c r="P891" i="16"/>
  <c r="K891" i="16"/>
  <c r="T890" i="16"/>
  <c r="P890" i="16"/>
  <c r="K890" i="16"/>
  <c r="P889" i="16"/>
  <c r="K889" i="16"/>
  <c r="P888" i="16"/>
  <c r="K888" i="16"/>
  <c r="P887" i="16"/>
  <c r="K887" i="16"/>
  <c r="P886" i="16"/>
  <c r="K886" i="16"/>
  <c r="P885" i="16"/>
  <c r="K885" i="16"/>
  <c r="T884" i="16"/>
  <c r="P884" i="16"/>
  <c r="K884" i="16"/>
  <c r="P883" i="16"/>
  <c r="K883" i="16"/>
  <c r="P882" i="16"/>
  <c r="K882" i="16"/>
  <c r="T881" i="16"/>
  <c r="P881" i="16"/>
  <c r="K881" i="16"/>
  <c r="T880" i="16"/>
  <c r="P880" i="16"/>
  <c r="K880" i="16"/>
  <c r="P879" i="16"/>
  <c r="K879" i="16"/>
  <c r="P878" i="16"/>
  <c r="K878" i="16"/>
  <c r="P877" i="16"/>
  <c r="K877" i="16"/>
  <c r="P876" i="16"/>
  <c r="K876" i="16"/>
  <c r="P875" i="16"/>
  <c r="K875" i="16"/>
  <c r="P874" i="16"/>
  <c r="K874" i="16"/>
  <c r="P873" i="16"/>
  <c r="K873" i="16"/>
  <c r="P872" i="16"/>
  <c r="K872" i="16"/>
  <c r="T871" i="16"/>
  <c r="P871" i="16"/>
  <c r="K871" i="16"/>
  <c r="P870" i="16"/>
  <c r="K870" i="16"/>
  <c r="P869" i="16"/>
  <c r="K869" i="16"/>
  <c r="P868" i="16"/>
  <c r="K868" i="16"/>
  <c r="P867" i="16"/>
  <c r="K867" i="16"/>
  <c r="P866" i="16"/>
  <c r="K866" i="16"/>
  <c r="P865" i="16"/>
  <c r="K865" i="16"/>
  <c r="P864" i="16"/>
  <c r="K864" i="16"/>
  <c r="T863" i="16"/>
  <c r="P863" i="16"/>
  <c r="K863" i="16"/>
  <c r="P862" i="16"/>
  <c r="K862" i="16"/>
  <c r="P861" i="16"/>
  <c r="K861" i="16"/>
  <c r="P860" i="16"/>
  <c r="K860" i="16"/>
  <c r="P859" i="16"/>
  <c r="K859" i="16"/>
  <c r="T858" i="16"/>
  <c r="P858" i="16"/>
  <c r="K858" i="16"/>
  <c r="P857" i="16"/>
  <c r="K857" i="16"/>
  <c r="P856" i="16"/>
  <c r="K856" i="16"/>
  <c r="P855" i="16"/>
  <c r="K855" i="16"/>
  <c r="P854" i="16"/>
  <c r="K854" i="16"/>
  <c r="T853" i="16"/>
  <c r="P853" i="16"/>
  <c r="K853" i="16"/>
  <c r="T852" i="16"/>
  <c r="P852" i="16"/>
  <c r="K852" i="16"/>
  <c r="P851" i="16"/>
  <c r="K851" i="16"/>
  <c r="P850" i="16"/>
  <c r="K850" i="16"/>
  <c r="P849" i="16"/>
  <c r="K849" i="16"/>
  <c r="P848" i="16"/>
  <c r="K848" i="16"/>
  <c r="P847" i="16"/>
  <c r="K847" i="16"/>
  <c r="P846" i="16"/>
  <c r="K846" i="16"/>
  <c r="T845" i="16"/>
  <c r="P845" i="16"/>
  <c r="K845" i="16"/>
  <c r="P844" i="16"/>
  <c r="K844" i="16"/>
  <c r="P843" i="16"/>
  <c r="K843" i="16"/>
  <c r="P842" i="16"/>
  <c r="K842" i="16"/>
  <c r="P841" i="16"/>
  <c r="K841" i="16"/>
  <c r="T840" i="16"/>
  <c r="P840" i="16"/>
  <c r="K840" i="16"/>
  <c r="P839" i="16"/>
  <c r="K839" i="16"/>
  <c r="T838" i="16"/>
  <c r="P838" i="16"/>
  <c r="K838" i="16"/>
  <c r="T837" i="16"/>
  <c r="P837" i="16"/>
  <c r="K837" i="16"/>
  <c r="P836" i="16"/>
  <c r="K836" i="16"/>
  <c r="P835" i="16"/>
  <c r="K835" i="16"/>
  <c r="T834" i="16"/>
  <c r="P834" i="16"/>
  <c r="K834" i="16"/>
  <c r="P833" i="16"/>
  <c r="K833" i="16"/>
  <c r="P832" i="16"/>
  <c r="K832" i="16"/>
  <c r="P831" i="16"/>
  <c r="K831" i="16"/>
  <c r="P830" i="16"/>
  <c r="K830" i="16"/>
  <c r="P829" i="16"/>
  <c r="K829" i="16"/>
  <c r="P828" i="16"/>
  <c r="K828" i="16"/>
  <c r="T827" i="16"/>
  <c r="P827" i="16"/>
  <c r="K827" i="16"/>
  <c r="T826" i="16"/>
  <c r="P826" i="16"/>
  <c r="K826" i="16"/>
  <c r="P825" i="16"/>
  <c r="K825" i="16"/>
  <c r="T824" i="16"/>
  <c r="P824" i="16"/>
  <c r="K824" i="16"/>
  <c r="T823" i="16"/>
  <c r="P823" i="16"/>
  <c r="K823" i="16"/>
  <c r="P822" i="16"/>
  <c r="K822" i="16"/>
  <c r="P821" i="16"/>
  <c r="K821" i="16"/>
  <c r="T820" i="16"/>
  <c r="P820" i="16"/>
  <c r="K820" i="16"/>
  <c r="T819" i="16"/>
  <c r="P819" i="16"/>
  <c r="K819" i="16"/>
  <c r="P818" i="16"/>
  <c r="K818" i="16"/>
  <c r="P817" i="16"/>
  <c r="K817" i="16"/>
  <c r="P816" i="16"/>
  <c r="K816" i="16"/>
  <c r="T815" i="16"/>
  <c r="P815" i="16"/>
  <c r="K815" i="16"/>
  <c r="P814" i="16"/>
  <c r="K814" i="16"/>
  <c r="P813" i="16"/>
  <c r="K813" i="16"/>
  <c r="T812" i="16"/>
  <c r="P812" i="16"/>
  <c r="K812" i="16"/>
  <c r="P811" i="16"/>
  <c r="K811" i="16"/>
  <c r="P810" i="16"/>
  <c r="K810" i="16"/>
  <c r="P809" i="16"/>
  <c r="K809" i="16"/>
  <c r="T808" i="16"/>
  <c r="P808" i="16"/>
  <c r="K808" i="16"/>
  <c r="P807" i="16"/>
  <c r="K807" i="16"/>
  <c r="P806" i="16"/>
  <c r="K806" i="16"/>
  <c r="T805" i="16"/>
  <c r="P805" i="16"/>
  <c r="K805" i="16"/>
  <c r="P804" i="16"/>
  <c r="K804" i="16"/>
  <c r="P803" i="16"/>
  <c r="K803" i="16"/>
  <c r="P802" i="16"/>
  <c r="K802" i="16"/>
  <c r="P801" i="16"/>
  <c r="K801" i="16"/>
  <c r="P800" i="16"/>
  <c r="K800" i="16"/>
  <c r="T799" i="16"/>
  <c r="P799" i="16"/>
  <c r="K799" i="16"/>
  <c r="P798" i="16"/>
  <c r="K798" i="16"/>
  <c r="P797" i="16"/>
  <c r="K797" i="16"/>
  <c r="T796" i="16"/>
  <c r="P796" i="16"/>
  <c r="K796" i="16"/>
  <c r="T795" i="16"/>
  <c r="P795" i="16"/>
  <c r="K795" i="16"/>
  <c r="P794" i="16"/>
  <c r="K794" i="16"/>
  <c r="P793" i="16"/>
  <c r="K793" i="16"/>
  <c r="T792" i="16"/>
  <c r="S792" i="16"/>
  <c r="O792" i="16"/>
  <c r="P792" i="16" s="1"/>
  <c r="J792" i="16"/>
  <c r="K792" i="16" s="1"/>
  <c r="P791" i="16"/>
  <c r="K791" i="16"/>
  <c r="P790" i="16"/>
  <c r="K790" i="16"/>
  <c r="P789" i="16"/>
  <c r="K789" i="16"/>
  <c r="T788" i="16"/>
  <c r="P788" i="16"/>
  <c r="K788" i="16"/>
  <c r="P787" i="16"/>
  <c r="K787" i="16"/>
  <c r="T786" i="16"/>
  <c r="P786" i="16"/>
  <c r="K786" i="16"/>
  <c r="P785" i="16"/>
  <c r="K785" i="16"/>
  <c r="P784" i="16"/>
  <c r="K784" i="16"/>
  <c r="T783" i="16"/>
  <c r="P783" i="16"/>
  <c r="K783" i="16"/>
  <c r="T782" i="16"/>
  <c r="P782" i="16"/>
  <c r="K782" i="16"/>
  <c r="P781" i="16"/>
  <c r="K781" i="16"/>
  <c r="P780" i="16"/>
  <c r="K780" i="16"/>
  <c r="T779" i="16"/>
  <c r="S779" i="16"/>
  <c r="R779" i="16"/>
  <c r="R908" i="16" s="1"/>
  <c r="T19" i="18" s="1"/>
  <c r="O779" i="16"/>
  <c r="M779" i="16"/>
  <c r="M908" i="16" s="1"/>
  <c r="O19" i="18" s="1"/>
  <c r="I779" i="16"/>
  <c r="I908" i="16" s="1"/>
  <c r="L19" i="18" s="1"/>
  <c r="G779" i="16"/>
  <c r="G908" i="16" s="1"/>
  <c r="J19" i="18" s="1"/>
  <c r="E779" i="16"/>
  <c r="E908" i="16" s="1"/>
  <c r="H19" i="18" s="1"/>
  <c r="F59" i="18" s="1"/>
  <c r="C779" i="16"/>
  <c r="P778" i="16"/>
  <c r="K778" i="16"/>
  <c r="T777" i="16"/>
  <c r="P777" i="16"/>
  <c r="K777" i="16"/>
  <c r="P776" i="16"/>
  <c r="K776" i="16"/>
  <c r="T775" i="16"/>
  <c r="P775" i="16"/>
  <c r="K775" i="16"/>
  <c r="P774" i="16"/>
  <c r="K774" i="16"/>
  <c r="P773" i="16"/>
  <c r="K773" i="16"/>
  <c r="T772" i="16"/>
  <c r="P772" i="16"/>
  <c r="K772" i="16"/>
  <c r="P771" i="16"/>
  <c r="K771" i="16"/>
  <c r="T770" i="16"/>
  <c r="P770" i="16"/>
  <c r="K770" i="16"/>
  <c r="P769" i="16"/>
  <c r="K769" i="16"/>
  <c r="T768" i="16"/>
  <c r="P768" i="16"/>
  <c r="K768" i="16"/>
  <c r="P767" i="16"/>
  <c r="K767" i="16"/>
  <c r="P766" i="16"/>
  <c r="K766" i="16"/>
  <c r="T765" i="16"/>
  <c r="P765" i="16"/>
  <c r="K765" i="16"/>
  <c r="P764" i="16"/>
  <c r="K764" i="16"/>
  <c r="P763" i="16"/>
  <c r="K763" i="16"/>
  <c r="P762" i="16"/>
  <c r="K762" i="16"/>
  <c r="P761" i="16"/>
  <c r="K761" i="16"/>
  <c r="P760" i="16"/>
  <c r="K760" i="16"/>
  <c r="T759" i="16"/>
  <c r="P759" i="16"/>
  <c r="K759" i="16"/>
  <c r="P758" i="16"/>
  <c r="K758" i="16"/>
  <c r="P757" i="16"/>
  <c r="K757" i="16"/>
  <c r="T756" i="16"/>
  <c r="P756" i="16"/>
  <c r="K756" i="16"/>
  <c r="P755" i="16"/>
  <c r="K755" i="16"/>
  <c r="P754" i="16"/>
  <c r="K754" i="16"/>
  <c r="T753" i="16"/>
  <c r="P753" i="16"/>
  <c r="K753" i="16"/>
  <c r="T752" i="16"/>
  <c r="P752" i="16"/>
  <c r="K752" i="16"/>
  <c r="P751" i="16"/>
  <c r="K751" i="16"/>
  <c r="P750" i="16"/>
  <c r="K750" i="16"/>
  <c r="P749" i="16"/>
  <c r="K749" i="16"/>
  <c r="P748" i="16"/>
  <c r="K748" i="16"/>
  <c r="P747" i="16"/>
  <c r="K747" i="16"/>
  <c r="T746" i="16"/>
  <c r="P746" i="16"/>
  <c r="K746" i="16"/>
  <c r="P745" i="16"/>
  <c r="K745" i="16"/>
  <c r="P744" i="16"/>
  <c r="K744" i="16"/>
  <c r="P743" i="16"/>
  <c r="K743" i="16"/>
  <c r="P742" i="16"/>
  <c r="K742" i="16"/>
  <c r="P741" i="16"/>
  <c r="K741" i="16"/>
  <c r="P740" i="16"/>
  <c r="K740" i="16"/>
  <c r="T739" i="16"/>
  <c r="P739" i="16"/>
  <c r="K739" i="16"/>
  <c r="P738" i="16"/>
  <c r="K738" i="16"/>
  <c r="P737" i="16"/>
  <c r="K737" i="16"/>
  <c r="T736" i="16"/>
  <c r="P736" i="16"/>
  <c r="K736" i="16"/>
  <c r="P735" i="16"/>
  <c r="K735" i="16"/>
  <c r="P734" i="16"/>
  <c r="K734" i="16"/>
  <c r="T733" i="16"/>
  <c r="P733" i="16"/>
  <c r="K733" i="16"/>
  <c r="P732" i="16"/>
  <c r="K732" i="16"/>
  <c r="P731" i="16"/>
  <c r="K731" i="16"/>
  <c r="P730" i="16"/>
  <c r="K730" i="16"/>
  <c r="T729" i="16"/>
  <c r="P729" i="16"/>
  <c r="K729" i="16"/>
  <c r="T728" i="16"/>
  <c r="P728" i="16"/>
  <c r="K728" i="16"/>
  <c r="P727" i="16"/>
  <c r="K727" i="16"/>
  <c r="P726" i="16"/>
  <c r="K726" i="16"/>
  <c r="P725" i="16"/>
  <c r="K725" i="16"/>
  <c r="P724" i="16"/>
  <c r="K724" i="16"/>
  <c r="P723" i="16"/>
  <c r="K723" i="16"/>
  <c r="T722" i="16"/>
  <c r="P722" i="16"/>
  <c r="K722" i="16"/>
  <c r="T721" i="16"/>
  <c r="P721" i="16"/>
  <c r="K721" i="16"/>
  <c r="P720" i="16"/>
  <c r="K720" i="16"/>
  <c r="P719" i="16"/>
  <c r="K719" i="16"/>
  <c r="T718" i="16"/>
  <c r="P718" i="16"/>
  <c r="K718" i="16"/>
  <c r="T717" i="16"/>
  <c r="P717" i="16"/>
  <c r="K717" i="16"/>
  <c r="T716" i="16"/>
  <c r="P716" i="16"/>
  <c r="K716" i="16"/>
  <c r="T715" i="16"/>
  <c r="P715" i="16"/>
  <c r="K715" i="16"/>
  <c r="P714" i="16"/>
  <c r="K714" i="16"/>
  <c r="P713" i="16"/>
  <c r="K713" i="16"/>
  <c r="P712" i="16"/>
  <c r="K712" i="16"/>
  <c r="P711" i="16"/>
  <c r="K711" i="16"/>
  <c r="P710" i="16"/>
  <c r="K710" i="16"/>
  <c r="P709" i="16"/>
  <c r="K709" i="16"/>
  <c r="P708" i="16"/>
  <c r="K708" i="16"/>
  <c r="T707" i="16"/>
  <c r="P707" i="16"/>
  <c r="K707" i="16"/>
  <c r="P706" i="16"/>
  <c r="K706" i="16"/>
  <c r="T705" i="16"/>
  <c r="P705" i="16"/>
  <c r="K705" i="16"/>
  <c r="P704" i="16"/>
  <c r="K704" i="16"/>
  <c r="P703" i="16"/>
  <c r="K703" i="16"/>
  <c r="P702" i="16"/>
  <c r="K702" i="16"/>
  <c r="P701" i="16"/>
  <c r="K701" i="16"/>
  <c r="P700" i="16"/>
  <c r="K700" i="16"/>
  <c r="P699" i="16"/>
  <c r="K699" i="16"/>
  <c r="P698" i="16"/>
  <c r="K698" i="16"/>
  <c r="P697" i="16"/>
  <c r="K697" i="16"/>
  <c r="T696" i="16"/>
  <c r="P696" i="16"/>
  <c r="K696" i="16"/>
  <c r="P695" i="16"/>
  <c r="K695" i="16"/>
  <c r="P694" i="16"/>
  <c r="K694" i="16"/>
  <c r="P693" i="16"/>
  <c r="K693" i="16"/>
  <c r="P692" i="16"/>
  <c r="K692" i="16"/>
  <c r="P691" i="16"/>
  <c r="K691" i="16"/>
  <c r="P690" i="16"/>
  <c r="K690" i="16"/>
  <c r="P689" i="16"/>
  <c r="K689" i="16"/>
  <c r="P688" i="16"/>
  <c r="K688" i="16"/>
  <c r="T687" i="16"/>
  <c r="P687" i="16"/>
  <c r="K687" i="16"/>
  <c r="P686" i="16"/>
  <c r="K686" i="16"/>
  <c r="P685" i="16"/>
  <c r="K685" i="16"/>
  <c r="P684" i="16"/>
  <c r="K684" i="16"/>
  <c r="T683" i="16"/>
  <c r="P683" i="16"/>
  <c r="K683" i="16"/>
  <c r="P682" i="16"/>
  <c r="K682" i="16"/>
  <c r="P681" i="16"/>
  <c r="K681" i="16"/>
  <c r="P680" i="16"/>
  <c r="K680" i="16"/>
  <c r="T679" i="16"/>
  <c r="P679" i="16"/>
  <c r="K679" i="16"/>
  <c r="P678" i="16"/>
  <c r="K678" i="16"/>
  <c r="P677" i="16"/>
  <c r="K677" i="16"/>
  <c r="P676" i="16"/>
  <c r="K676" i="16"/>
  <c r="P675" i="16"/>
  <c r="K675" i="16"/>
  <c r="P674" i="16"/>
  <c r="K674" i="16"/>
  <c r="P673" i="16"/>
  <c r="K673" i="16"/>
  <c r="P672" i="16"/>
  <c r="K672" i="16"/>
  <c r="P671" i="16"/>
  <c r="K671" i="16"/>
  <c r="P670" i="16"/>
  <c r="K670" i="16"/>
  <c r="P669" i="16"/>
  <c r="K669" i="16"/>
  <c r="P668" i="16"/>
  <c r="K668" i="16"/>
  <c r="P667" i="16"/>
  <c r="K667" i="16"/>
  <c r="P666" i="16"/>
  <c r="K666" i="16"/>
  <c r="P665" i="16"/>
  <c r="K665" i="16"/>
  <c r="P664" i="16"/>
  <c r="K664" i="16"/>
  <c r="P663" i="16"/>
  <c r="K663" i="16"/>
  <c r="P662" i="16"/>
  <c r="K662" i="16"/>
  <c r="P661" i="16"/>
  <c r="K661" i="16"/>
  <c r="T660" i="16"/>
  <c r="P660" i="16"/>
  <c r="K660" i="16"/>
  <c r="T659" i="16"/>
  <c r="P659" i="16"/>
  <c r="K659" i="16"/>
  <c r="P658" i="16"/>
  <c r="K658" i="16"/>
  <c r="P657" i="16"/>
  <c r="K657" i="16"/>
  <c r="T656" i="16"/>
  <c r="P656" i="16"/>
  <c r="K656" i="16"/>
  <c r="P655" i="16"/>
  <c r="K655" i="16"/>
  <c r="P654" i="16"/>
  <c r="K654" i="16"/>
  <c r="P653" i="16"/>
  <c r="K653" i="16"/>
  <c r="P652" i="16"/>
  <c r="K652" i="16"/>
  <c r="P651" i="16"/>
  <c r="K651" i="16"/>
  <c r="T650" i="16"/>
  <c r="P650" i="16"/>
  <c r="K650" i="16"/>
  <c r="P649" i="16"/>
  <c r="K649" i="16"/>
  <c r="P648" i="16"/>
  <c r="K648" i="16"/>
  <c r="P647" i="16"/>
  <c r="K647" i="16"/>
  <c r="P646" i="16"/>
  <c r="K646" i="16"/>
  <c r="P645" i="16"/>
  <c r="K645" i="16"/>
  <c r="P644" i="16"/>
  <c r="K644" i="16"/>
  <c r="P643" i="16"/>
  <c r="K643" i="16"/>
  <c r="P642" i="16"/>
  <c r="K642" i="16"/>
  <c r="P641" i="16"/>
  <c r="K641" i="16"/>
  <c r="P640" i="16"/>
  <c r="K640" i="16"/>
  <c r="P639" i="16"/>
  <c r="K639" i="16"/>
  <c r="P638" i="16"/>
  <c r="K638" i="16"/>
  <c r="P637" i="16"/>
  <c r="K637" i="16"/>
  <c r="T636" i="16"/>
  <c r="P636" i="16"/>
  <c r="K636" i="16"/>
  <c r="T635" i="16"/>
  <c r="P635" i="16"/>
  <c r="K635" i="16"/>
  <c r="P634" i="16"/>
  <c r="K634" i="16"/>
  <c r="P633" i="16"/>
  <c r="K633" i="16"/>
  <c r="P632" i="16"/>
  <c r="K632" i="16"/>
  <c r="T631" i="16"/>
  <c r="P631" i="16"/>
  <c r="K631" i="16"/>
  <c r="P630" i="16"/>
  <c r="K630" i="16"/>
  <c r="P629" i="16"/>
  <c r="K629" i="16"/>
  <c r="P628" i="16"/>
  <c r="K628" i="16"/>
  <c r="P627" i="16"/>
  <c r="K627" i="16"/>
  <c r="P626" i="16"/>
  <c r="K626" i="16"/>
  <c r="P625" i="16"/>
  <c r="K625" i="16"/>
  <c r="P624" i="16"/>
  <c r="K624" i="16"/>
  <c r="P623" i="16"/>
  <c r="K623" i="16"/>
  <c r="P622" i="16"/>
  <c r="K622" i="16"/>
  <c r="P621" i="16"/>
  <c r="K621" i="16"/>
  <c r="P620" i="16"/>
  <c r="K620" i="16"/>
  <c r="P619" i="16"/>
  <c r="K619" i="16"/>
  <c r="P618" i="16"/>
  <c r="K618" i="16"/>
  <c r="P617" i="16"/>
  <c r="K617" i="16"/>
  <c r="P616" i="16"/>
  <c r="K616" i="16"/>
  <c r="T615" i="16"/>
  <c r="P615" i="16"/>
  <c r="K615" i="16"/>
  <c r="P614" i="16"/>
  <c r="K614" i="16"/>
  <c r="P613" i="16"/>
  <c r="K613" i="16"/>
  <c r="T612" i="16"/>
  <c r="P612" i="16"/>
  <c r="K612" i="16"/>
  <c r="T611" i="16"/>
  <c r="P611" i="16"/>
  <c r="K611" i="16"/>
  <c r="P610" i="16"/>
  <c r="K610" i="16"/>
  <c r="T609" i="16"/>
  <c r="P609" i="16"/>
  <c r="K609" i="16"/>
  <c r="P608" i="16"/>
  <c r="K608" i="16"/>
  <c r="T607" i="16"/>
  <c r="P607" i="16"/>
  <c r="K607" i="16"/>
  <c r="T606" i="16"/>
  <c r="P606" i="16"/>
  <c r="K606" i="16"/>
  <c r="P605" i="16"/>
  <c r="K605" i="16"/>
  <c r="P604" i="16"/>
  <c r="K604" i="16"/>
  <c r="T603" i="16"/>
  <c r="P603" i="16"/>
  <c r="K603" i="16"/>
  <c r="P602" i="16"/>
  <c r="K602" i="16"/>
  <c r="T601" i="16"/>
  <c r="P601" i="16"/>
  <c r="K601" i="16"/>
  <c r="P600" i="16"/>
  <c r="K600" i="16"/>
  <c r="P599" i="16"/>
  <c r="K599" i="16"/>
  <c r="P598" i="16"/>
  <c r="K598" i="16"/>
  <c r="P597" i="16"/>
  <c r="K597" i="16"/>
  <c r="T596" i="16"/>
  <c r="P596" i="16"/>
  <c r="K596" i="16"/>
  <c r="P595" i="16"/>
  <c r="K595" i="16"/>
  <c r="P594" i="16"/>
  <c r="K594" i="16"/>
  <c r="T593" i="16"/>
  <c r="P593" i="16"/>
  <c r="K593" i="16"/>
  <c r="T592" i="16"/>
  <c r="P592" i="16"/>
  <c r="K592" i="16"/>
  <c r="P591" i="16"/>
  <c r="K591" i="16"/>
  <c r="P590" i="16"/>
  <c r="K590" i="16"/>
  <c r="P589" i="16"/>
  <c r="K589" i="16"/>
  <c r="P588" i="16"/>
  <c r="K588" i="16"/>
  <c r="P587" i="16"/>
  <c r="K587" i="16"/>
  <c r="P586" i="16"/>
  <c r="K586" i="16"/>
  <c r="P585" i="16"/>
  <c r="K585" i="16"/>
  <c r="P584" i="16"/>
  <c r="K584" i="16"/>
  <c r="P583" i="16"/>
  <c r="K583" i="16"/>
  <c r="P582" i="16"/>
  <c r="K582" i="16"/>
  <c r="P581" i="16"/>
  <c r="K581" i="16"/>
  <c r="T580" i="16"/>
  <c r="P580" i="16"/>
  <c r="K580" i="16"/>
  <c r="P579" i="16"/>
  <c r="K579" i="16"/>
  <c r="P578" i="16"/>
  <c r="K578" i="16"/>
  <c r="P577" i="16"/>
  <c r="K577" i="16"/>
  <c r="P576" i="16"/>
  <c r="K576" i="16"/>
  <c r="P575" i="16"/>
  <c r="K575" i="16"/>
  <c r="P574" i="16"/>
  <c r="K574" i="16"/>
  <c r="P573" i="16"/>
  <c r="K573" i="16"/>
  <c r="P572" i="16"/>
  <c r="K572" i="16"/>
  <c r="P571" i="16"/>
  <c r="K571" i="16"/>
  <c r="P570" i="16"/>
  <c r="K570" i="16"/>
  <c r="P569" i="16"/>
  <c r="K569" i="16"/>
  <c r="P568" i="16"/>
  <c r="K568" i="16"/>
  <c r="P567" i="16"/>
  <c r="K567" i="16"/>
  <c r="T566" i="16"/>
  <c r="P566" i="16"/>
  <c r="K566" i="16"/>
  <c r="P565" i="16"/>
  <c r="K565" i="16"/>
  <c r="T564" i="16"/>
  <c r="P564" i="16"/>
  <c r="K564" i="16"/>
  <c r="P563" i="16"/>
  <c r="K563" i="16"/>
  <c r="T562" i="16"/>
  <c r="P562" i="16"/>
  <c r="K562" i="16"/>
  <c r="P561" i="16"/>
  <c r="K561" i="16"/>
  <c r="P560" i="16"/>
  <c r="K560" i="16"/>
  <c r="P559" i="16"/>
  <c r="K559" i="16"/>
  <c r="P558" i="16"/>
  <c r="K558" i="16"/>
  <c r="P557" i="16"/>
  <c r="K557" i="16"/>
  <c r="P556" i="16"/>
  <c r="K556" i="16"/>
  <c r="P555" i="16"/>
  <c r="K555" i="16"/>
  <c r="P554" i="16"/>
  <c r="K554" i="16"/>
  <c r="P553" i="16"/>
  <c r="K553" i="16"/>
  <c r="P552" i="16"/>
  <c r="K552" i="16"/>
  <c r="P551" i="16"/>
  <c r="K551" i="16"/>
  <c r="P550" i="16"/>
  <c r="K550" i="16"/>
  <c r="P549" i="16"/>
  <c r="K549" i="16"/>
  <c r="P548" i="16"/>
  <c r="K548" i="16"/>
  <c r="P547" i="16"/>
  <c r="K547" i="16"/>
  <c r="P546" i="16"/>
  <c r="K546" i="16"/>
  <c r="P545" i="16"/>
  <c r="K545" i="16"/>
  <c r="P544" i="16"/>
  <c r="K544" i="16"/>
  <c r="T543" i="16"/>
  <c r="P543" i="16"/>
  <c r="K543" i="16"/>
  <c r="P542" i="16"/>
  <c r="K542" i="16"/>
  <c r="P541" i="16"/>
  <c r="K541" i="16"/>
  <c r="P540" i="16"/>
  <c r="K540" i="16"/>
  <c r="P539" i="16"/>
  <c r="K539" i="16"/>
  <c r="P538" i="16"/>
  <c r="K538" i="16"/>
  <c r="P537" i="16"/>
  <c r="K537" i="16"/>
  <c r="P536" i="16"/>
  <c r="K536" i="16"/>
  <c r="T535" i="16"/>
  <c r="P535" i="16"/>
  <c r="K535" i="16"/>
  <c r="P534" i="16"/>
  <c r="K534" i="16"/>
  <c r="P533" i="16"/>
  <c r="K533" i="16"/>
  <c r="P532" i="16"/>
  <c r="K532" i="16"/>
  <c r="P531" i="16"/>
  <c r="K531" i="16"/>
  <c r="P530" i="16"/>
  <c r="K530" i="16"/>
  <c r="T529" i="16"/>
  <c r="P529" i="16"/>
  <c r="K529" i="16"/>
  <c r="T528" i="16"/>
  <c r="P528" i="16"/>
  <c r="K528" i="16"/>
  <c r="P527" i="16"/>
  <c r="K527" i="16"/>
  <c r="P526" i="16"/>
  <c r="K526" i="16"/>
  <c r="P525" i="16"/>
  <c r="K525" i="16"/>
  <c r="T524" i="16"/>
  <c r="P524" i="16"/>
  <c r="K524" i="16"/>
  <c r="P523" i="16"/>
  <c r="K523" i="16"/>
  <c r="P522" i="16"/>
  <c r="K522" i="16"/>
  <c r="T521" i="16"/>
  <c r="P521" i="16"/>
  <c r="K521" i="16"/>
  <c r="P520" i="16"/>
  <c r="K520" i="16"/>
  <c r="T519" i="16"/>
  <c r="P519" i="16"/>
  <c r="K519" i="16"/>
  <c r="P518" i="16"/>
  <c r="K518" i="16"/>
  <c r="P517" i="16"/>
  <c r="K517" i="16"/>
  <c r="P516" i="16"/>
  <c r="K516" i="16"/>
  <c r="P515" i="16"/>
  <c r="K515" i="16"/>
  <c r="T514" i="16"/>
  <c r="P514" i="16"/>
  <c r="K514" i="16"/>
  <c r="P513" i="16"/>
  <c r="K513" i="16"/>
  <c r="P512" i="16"/>
  <c r="K512" i="16"/>
  <c r="T511" i="16"/>
  <c r="P511" i="16"/>
  <c r="K511" i="16"/>
  <c r="P510" i="16"/>
  <c r="K510" i="16"/>
  <c r="P509" i="16"/>
  <c r="K509" i="16"/>
  <c r="P508" i="16"/>
  <c r="K508" i="16"/>
  <c r="T507" i="16"/>
  <c r="P507" i="16"/>
  <c r="K507" i="16"/>
  <c r="P506" i="16"/>
  <c r="K506" i="16"/>
  <c r="P505" i="16"/>
  <c r="K505" i="16"/>
  <c r="P504" i="16"/>
  <c r="K504" i="16"/>
  <c r="P503" i="16"/>
  <c r="K503" i="16"/>
  <c r="P502" i="16"/>
  <c r="K502" i="16"/>
  <c r="P501" i="16"/>
  <c r="K501" i="16"/>
  <c r="T500" i="16"/>
  <c r="P500" i="16"/>
  <c r="K500" i="16"/>
  <c r="P499" i="16"/>
  <c r="K499" i="16"/>
  <c r="P498" i="16"/>
  <c r="K498" i="16"/>
  <c r="P497" i="16"/>
  <c r="K497" i="16"/>
  <c r="P496" i="16"/>
  <c r="K496" i="16"/>
  <c r="P495" i="16"/>
  <c r="K495" i="16"/>
  <c r="P494" i="16"/>
  <c r="K494" i="16"/>
  <c r="P493" i="16"/>
  <c r="K493" i="16"/>
  <c r="P492" i="16"/>
  <c r="K492" i="16"/>
  <c r="P491" i="16"/>
  <c r="K491" i="16"/>
  <c r="P490" i="16"/>
  <c r="K490" i="16"/>
  <c r="P489" i="16"/>
  <c r="K489" i="16"/>
  <c r="P488" i="16"/>
  <c r="K488" i="16"/>
  <c r="P487" i="16"/>
  <c r="K487" i="16"/>
  <c r="P486" i="16"/>
  <c r="K486" i="16"/>
  <c r="P485" i="16"/>
  <c r="K485" i="16"/>
  <c r="P484" i="16"/>
  <c r="K484" i="16"/>
  <c r="P483" i="16"/>
  <c r="K483" i="16"/>
  <c r="P482" i="16"/>
  <c r="K482" i="16"/>
  <c r="P481" i="16"/>
  <c r="K481" i="16"/>
  <c r="P480" i="16"/>
  <c r="K480" i="16"/>
  <c r="P479" i="16"/>
  <c r="K479" i="16"/>
  <c r="P478" i="16"/>
  <c r="K478" i="16"/>
  <c r="P477" i="16"/>
  <c r="K477" i="16"/>
  <c r="P476" i="16"/>
  <c r="K476" i="16"/>
  <c r="P475" i="16"/>
  <c r="K475" i="16"/>
  <c r="P474" i="16"/>
  <c r="K474" i="16"/>
  <c r="P473" i="16"/>
  <c r="K473" i="16"/>
  <c r="P472" i="16"/>
  <c r="K472" i="16"/>
  <c r="P471" i="16"/>
  <c r="K471" i="16"/>
  <c r="P470" i="16"/>
  <c r="K470" i="16"/>
  <c r="P469" i="16"/>
  <c r="K469" i="16"/>
  <c r="P468" i="16"/>
  <c r="K468" i="16"/>
  <c r="P467" i="16"/>
  <c r="K467" i="16"/>
  <c r="P466" i="16"/>
  <c r="K466" i="16"/>
  <c r="P465" i="16"/>
  <c r="K465" i="16"/>
  <c r="P464" i="16"/>
  <c r="K464" i="16"/>
  <c r="P463" i="16"/>
  <c r="K463" i="16"/>
  <c r="P462" i="16"/>
  <c r="K462" i="16"/>
  <c r="P461" i="16"/>
  <c r="K461" i="16"/>
  <c r="P460" i="16"/>
  <c r="K460" i="16"/>
  <c r="P459" i="16"/>
  <c r="K459" i="16"/>
  <c r="P458" i="16"/>
  <c r="K458" i="16"/>
  <c r="P457" i="16"/>
  <c r="K457" i="16"/>
  <c r="P456" i="16"/>
  <c r="K456" i="16"/>
  <c r="P455" i="16"/>
  <c r="K455" i="16"/>
  <c r="P454" i="16"/>
  <c r="K454" i="16"/>
  <c r="P453" i="16"/>
  <c r="K453" i="16"/>
  <c r="P452" i="16"/>
  <c r="K452" i="16"/>
  <c r="P451" i="16"/>
  <c r="K451" i="16"/>
  <c r="P450" i="16"/>
  <c r="K450" i="16"/>
  <c r="P449" i="16"/>
  <c r="K449" i="16"/>
  <c r="P448" i="16"/>
  <c r="K448" i="16"/>
  <c r="P447" i="16"/>
  <c r="K447" i="16"/>
  <c r="P446" i="16"/>
  <c r="K446" i="16"/>
  <c r="P445" i="16"/>
  <c r="K445" i="16"/>
  <c r="P444" i="16"/>
  <c r="K444" i="16"/>
  <c r="P443" i="16"/>
  <c r="K443" i="16"/>
  <c r="P442" i="16"/>
  <c r="K442" i="16"/>
  <c r="P441" i="16"/>
  <c r="K441" i="16"/>
  <c r="P440" i="16"/>
  <c r="K440" i="16"/>
  <c r="P439" i="16"/>
  <c r="K439" i="16"/>
  <c r="P438" i="16"/>
  <c r="K438" i="16"/>
  <c r="P437" i="16"/>
  <c r="K437" i="16"/>
  <c r="P436" i="16"/>
  <c r="K436" i="16"/>
  <c r="P435" i="16"/>
  <c r="K435" i="16"/>
  <c r="P434" i="16"/>
  <c r="K434" i="16"/>
  <c r="P433" i="16"/>
  <c r="K433" i="16"/>
  <c r="P432" i="16"/>
  <c r="K432" i="16"/>
  <c r="P431" i="16"/>
  <c r="K431" i="16"/>
  <c r="P430" i="16"/>
  <c r="K430" i="16"/>
  <c r="P429" i="16"/>
  <c r="K429" i="16"/>
  <c r="P428" i="16"/>
  <c r="K428" i="16"/>
  <c r="P427" i="16"/>
  <c r="K427" i="16"/>
  <c r="P426" i="16"/>
  <c r="K426" i="16"/>
  <c r="P425" i="16"/>
  <c r="K425" i="16"/>
  <c r="P424" i="16"/>
  <c r="K424" i="16"/>
  <c r="P423" i="16"/>
  <c r="K423" i="16"/>
  <c r="P422" i="16"/>
  <c r="K422" i="16"/>
  <c r="P421" i="16"/>
  <c r="K421" i="16"/>
  <c r="P420" i="16"/>
  <c r="K420" i="16"/>
  <c r="P419" i="16"/>
  <c r="K419" i="16"/>
  <c r="P418" i="16"/>
  <c r="K418" i="16"/>
  <c r="P417" i="16"/>
  <c r="K417" i="16"/>
  <c r="P416" i="16"/>
  <c r="K416" i="16"/>
  <c r="P415" i="16"/>
  <c r="K415" i="16"/>
  <c r="P414" i="16"/>
  <c r="K414" i="16"/>
  <c r="P413" i="16"/>
  <c r="K413" i="16"/>
  <c r="P412" i="16"/>
  <c r="K412" i="16"/>
  <c r="P411" i="16"/>
  <c r="K411" i="16"/>
  <c r="P410" i="16"/>
  <c r="K410" i="16"/>
  <c r="P409" i="16"/>
  <c r="K409" i="16"/>
  <c r="P408" i="16"/>
  <c r="K408" i="16"/>
  <c r="P407" i="16"/>
  <c r="K407" i="16"/>
  <c r="P406" i="16"/>
  <c r="K406" i="16"/>
  <c r="P405" i="16"/>
  <c r="K405" i="16"/>
  <c r="P404" i="16"/>
  <c r="K404" i="16"/>
  <c r="P403" i="16"/>
  <c r="K403" i="16"/>
  <c r="P402" i="16"/>
  <c r="K402" i="16"/>
  <c r="P401" i="16"/>
  <c r="K401" i="16"/>
  <c r="P400" i="16"/>
  <c r="K400" i="16"/>
  <c r="P399" i="16"/>
  <c r="K399" i="16"/>
  <c r="P398" i="16"/>
  <c r="K398" i="16"/>
  <c r="P397" i="16"/>
  <c r="K397" i="16"/>
  <c r="P396" i="16"/>
  <c r="K396" i="16"/>
  <c r="P395" i="16"/>
  <c r="K395" i="16"/>
  <c r="P394" i="16"/>
  <c r="K394" i="16"/>
  <c r="P393" i="16"/>
  <c r="K393" i="16"/>
  <c r="P392" i="16"/>
  <c r="K392" i="16"/>
  <c r="P391" i="16"/>
  <c r="K391" i="16"/>
  <c r="P390" i="16"/>
  <c r="K390" i="16"/>
  <c r="P389" i="16"/>
  <c r="K389" i="16"/>
  <c r="P388" i="16"/>
  <c r="K388" i="16"/>
  <c r="P387" i="16"/>
  <c r="K387" i="16"/>
  <c r="P386" i="16"/>
  <c r="K386" i="16"/>
  <c r="P385" i="16"/>
  <c r="K385" i="16"/>
  <c r="P384" i="16"/>
  <c r="K384" i="16"/>
  <c r="P383" i="16"/>
  <c r="K383" i="16"/>
  <c r="P382" i="16"/>
  <c r="K382" i="16"/>
  <c r="P381" i="16"/>
  <c r="K381" i="16"/>
  <c r="P380" i="16"/>
  <c r="K380" i="16"/>
  <c r="P379" i="16"/>
  <c r="K379" i="16"/>
  <c r="P378" i="16"/>
  <c r="K378" i="16"/>
  <c r="P377" i="16"/>
  <c r="K377" i="16"/>
  <c r="P376" i="16"/>
  <c r="K376" i="16"/>
  <c r="P375" i="16"/>
  <c r="K375" i="16"/>
  <c r="P374" i="16"/>
  <c r="K374" i="16"/>
  <c r="P373" i="16"/>
  <c r="K373" i="16"/>
  <c r="T372" i="16"/>
  <c r="P372" i="16"/>
  <c r="K372" i="16"/>
  <c r="P371" i="16"/>
  <c r="K371" i="16"/>
  <c r="P370" i="16"/>
  <c r="K370" i="16"/>
  <c r="P369" i="16"/>
  <c r="K369" i="16"/>
  <c r="P368" i="16"/>
  <c r="K368" i="16"/>
  <c r="P367" i="16"/>
  <c r="K367" i="16"/>
  <c r="P366" i="16"/>
  <c r="K366" i="16"/>
  <c r="T365" i="16"/>
  <c r="P365" i="16"/>
  <c r="K365" i="16"/>
  <c r="P364" i="16"/>
  <c r="K364" i="16"/>
  <c r="P363" i="16"/>
  <c r="K363" i="16"/>
  <c r="P362" i="16"/>
  <c r="K362" i="16"/>
  <c r="T361" i="16"/>
  <c r="P361" i="16"/>
  <c r="K361" i="16"/>
  <c r="P360" i="16"/>
  <c r="K360" i="16"/>
  <c r="P359" i="16"/>
  <c r="K359" i="16"/>
  <c r="P358" i="16"/>
  <c r="K358" i="16"/>
  <c r="P357" i="16"/>
  <c r="K357" i="16"/>
  <c r="T356" i="16"/>
  <c r="P356" i="16"/>
  <c r="K356" i="16"/>
  <c r="P355" i="16"/>
  <c r="K355" i="16"/>
  <c r="P354" i="16"/>
  <c r="K354" i="16"/>
  <c r="P353" i="16"/>
  <c r="K353" i="16"/>
  <c r="T352" i="16"/>
  <c r="P352" i="16"/>
  <c r="K352" i="16"/>
  <c r="P351" i="16"/>
  <c r="K351" i="16"/>
  <c r="P350" i="16"/>
  <c r="K350" i="16"/>
  <c r="T349" i="16"/>
  <c r="P349" i="16"/>
  <c r="K349" i="16"/>
  <c r="T348" i="16"/>
  <c r="P348" i="16"/>
  <c r="K348" i="16"/>
  <c r="P347" i="16"/>
  <c r="K347" i="16"/>
  <c r="P346" i="16"/>
  <c r="K346" i="16"/>
  <c r="T345" i="16"/>
  <c r="P345" i="16"/>
  <c r="K345" i="16"/>
  <c r="T344" i="16"/>
  <c r="P344" i="16"/>
  <c r="K344" i="16"/>
  <c r="P343" i="16"/>
  <c r="K343" i="16"/>
  <c r="P342" i="16"/>
  <c r="K342" i="16"/>
  <c r="P341" i="16"/>
  <c r="K341" i="16"/>
  <c r="P340" i="16"/>
  <c r="K340" i="16"/>
  <c r="T339" i="16"/>
  <c r="P339" i="16"/>
  <c r="K339" i="16"/>
  <c r="T338" i="16"/>
  <c r="P338" i="16"/>
  <c r="K338" i="16"/>
  <c r="P337" i="16"/>
  <c r="K337" i="16"/>
  <c r="P336" i="16"/>
  <c r="K336" i="16"/>
  <c r="P335" i="16"/>
  <c r="K335" i="16"/>
  <c r="P334" i="16"/>
  <c r="K334" i="16"/>
  <c r="P333" i="16"/>
  <c r="K333" i="16"/>
  <c r="P332" i="16"/>
  <c r="K332" i="16"/>
  <c r="P331" i="16"/>
  <c r="K331" i="16"/>
  <c r="P330" i="16"/>
  <c r="K330" i="16"/>
  <c r="T329" i="16"/>
  <c r="P329" i="16"/>
  <c r="K329" i="16"/>
  <c r="T328" i="16"/>
  <c r="P328" i="16"/>
  <c r="K328" i="16"/>
  <c r="P327" i="16"/>
  <c r="K327" i="16"/>
  <c r="T326" i="16"/>
  <c r="P326" i="16"/>
  <c r="K326" i="16"/>
  <c r="P325" i="16"/>
  <c r="K325" i="16"/>
  <c r="P324" i="16"/>
  <c r="K324" i="16"/>
  <c r="P323" i="16"/>
  <c r="K323" i="16"/>
  <c r="P322" i="16"/>
  <c r="K322" i="16"/>
  <c r="T321" i="16"/>
  <c r="P321" i="16"/>
  <c r="K321" i="16"/>
  <c r="T320" i="16"/>
  <c r="P320" i="16"/>
  <c r="K320" i="16"/>
  <c r="P319" i="16"/>
  <c r="K319" i="16"/>
  <c r="P318" i="16"/>
  <c r="K318" i="16"/>
  <c r="P317" i="16"/>
  <c r="K317" i="16"/>
  <c r="P316" i="16"/>
  <c r="K316" i="16"/>
  <c r="T315" i="16"/>
  <c r="P315" i="16"/>
  <c r="K315" i="16"/>
  <c r="T314" i="16"/>
  <c r="P314" i="16"/>
  <c r="K314" i="16"/>
  <c r="P313" i="16"/>
  <c r="K313" i="16"/>
  <c r="P312" i="16"/>
  <c r="K312" i="16"/>
  <c r="P311" i="16"/>
  <c r="K311" i="16"/>
  <c r="P310" i="16"/>
  <c r="K310" i="16"/>
  <c r="P309" i="16"/>
  <c r="K309" i="16"/>
  <c r="T308" i="16"/>
  <c r="P308" i="16"/>
  <c r="K308" i="16"/>
  <c r="P307" i="16"/>
  <c r="K307" i="16"/>
  <c r="P306" i="16"/>
  <c r="K306" i="16"/>
  <c r="P305" i="16"/>
  <c r="K305" i="16"/>
  <c r="P304" i="16"/>
  <c r="K304" i="16"/>
  <c r="T303" i="16"/>
  <c r="P303" i="16"/>
  <c r="K303" i="16"/>
  <c r="T302" i="16"/>
  <c r="P302" i="16"/>
  <c r="K302" i="16"/>
  <c r="P301" i="16"/>
  <c r="K301" i="16"/>
  <c r="P300" i="16"/>
  <c r="K300" i="16"/>
  <c r="P299" i="16"/>
  <c r="K299" i="16"/>
  <c r="P298" i="16"/>
  <c r="K298" i="16"/>
  <c r="T297" i="16"/>
  <c r="P297" i="16"/>
  <c r="K297" i="16"/>
  <c r="T296" i="16"/>
  <c r="P296" i="16"/>
  <c r="K296" i="16"/>
  <c r="P295" i="16"/>
  <c r="K295" i="16"/>
  <c r="P294" i="16"/>
  <c r="K294" i="16"/>
  <c r="P293" i="16"/>
  <c r="K293" i="16"/>
  <c r="P292" i="16"/>
  <c r="K292" i="16"/>
  <c r="P291" i="16"/>
  <c r="K291" i="16"/>
  <c r="P290" i="16"/>
  <c r="K290" i="16"/>
  <c r="P289" i="16"/>
  <c r="K289" i="16"/>
  <c r="P288" i="16"/>
  <c r="K288" i="16"/>
  <c r="P287" i="16"/>
  <c r="K287" i="16"/>
  <c r="P286" i="16"/>
  <c r="K286" i="16"/>
  <c r="P285" i="16"/>
  <c r="K285" i="16"/>
  <c r="P284" i="16"/>
  <c r="K284" i="16"/>
  <c r="T283" i="16"/>
  <c r="P283" i="16"/>
  <c r="K283" i="16"/>
  <c r="P282" i="16"/>
  <c r="K282" i="16"/>
  <c r="P281" i="16"/>
  <c r="K281" i="16"/>
  <c r="P280" i="16"/>
  <c r="K280" i="16"/>
  <c r="T279" i="16"/>
  <c r="P279" i="16"/>
  <c r="K279" i="16"/>
  <c r="T278" i="16"/>
  <c r="P278" i="16"/>
  <c r="K278" i="16"/>
  <c r="P277" i="16"/>
  <c r="K277" i="16"/>
  <c r="P276" i="16"/>
  <c r="K276" i="16"/>
  <c r="T275" i="16"/>
  <c r="P275" i="16"/>
  <c r="K275" i="16"/>
  <c r="P274" i="16"/>
  <c r="K274" i="16"/>
  <c r="P273" i="16"/>
  <c r="K273" i="16"/>
  <c r="P272" i="16"/>
  <c r="K272" i="16"/>
  <c r="P271" i="16"/>
  <c r="K271" i="16"/>
  <c r="T270" i="16"/>
  <c r="P270" i="16"/>
  <c r="K270" i="16"/>
  <c r="T269" i="16"/>
  <c r="P269" i="16"/>
  <c r="K269" i="16"/>
  <c r="T268" i="16"/>
  <c r="P268" i="16"/>
  <c r="K268" i="16"/>
  <c r="P267" i="16"/>
  <c r="K267" i="16"/>
  <c r="T266" i="16"/>
  <c r="P266" i="16"/>
  <c r="K266" i="16"/>
  <c r="P265" i="16"/>
  <c r="K265" i="16"/>
  <c r="T264" i="16"/>
  <c r="P264" i="16"/>
  <c r="K264" i="16"/>
  <c r="P263" i="16"/>
  <c r="K263" i="16"/>
  <c r="P262" i="16"/>
  <c r="K262" i="16"/>
  <c r="P261" i="16"/>
  <c r="K261" i="16"/>
  <c r="P260" i="16"/>
  <c r="K260" i="16"/>
  <c r="P259" i="16"/>
  <c r="K259" i="16"/>
  <c r="P258" i="16"/>
  <c r="K258" i="16"/>
  <c r="P257" i="16"/>
  <c r="K257" i="16"/>
  <c r="T256" i="16"/>
  <c r="P256" i="16"/>
  <c r="K256" i="16"/>
  <c r="P255" i="16"/>
  <c r="K255" i="16"/>
  <c r="P254" i="16"/>
  <c r="K254" i="16"/>
  <c r="T253" i="16"/>
  <c r="P253" i="16"/>
  <c r="K253" i="16"/>
  <c r="P252" i="16"/>
  <c r="K252" i="16"/>
  <c r="T251" i="16"/>
  <c r="P251" i="16"/>
  <c r="K251" i="16"/>
  <c r="P250" i="16"/>
  <c r="K250" i="16"/>
  <c r="P249" i="16"/>
  <c r="K249" i="16"/>
  <c r="P248" i="16"/>
  <c r="K248" i="16"/>
  <c r="P247" i="16"/>
  <c r="K247" i="16"/>
  <c r="T246" i="16"/>
  <c r="S246" i="16"/>
  <c r="O246" i="16"/>
  <c r="J246" i="16"/>
  <c r="J908" i="16" s="1"/>
  <c r="M19" i="18" s="1"/>
  <c r="T245" i="16"/>
  <c r="P245" i="16"/>
  <c r="K245" i="16"/>
  <c r="P244" i="16"/>
  <c r="K244" i="16"/>
  <c r="T243" i="16"/>
  <c r="P243" i="16"/>
  <c r="K243" i="16"/>
  <c r="P242" i="16"/>
  <c r="K242" i="16"/>
  <c r="P241" i="16"/>
  <c r="K241" i="16"/>
  <c r="P240" i="16"/>
  <c r="K240" i="16"/>
  <c r="P239" i="16"/>
  <c r="K239" i="16"/>
  <c r="P238" i="16"/>
  <c r="K238" i="16"/>
  <c r="T237" i="16"/>
  <c r="P237" i="16"/>
  <c r="K237" i="16"/>
  <c r="P236" i="16"/>
  <c r="K236" i="16"/>
  <c r="P235" i="16"/>
  <c r="K235" i="16"/>
  <c r="T234" i="16"/>
  <c r="P234" i="16"/>
  <c r="K234" i="16"/>
  <c r="P233" i="16"/>
  <c r="K233" i="16"/>
  <c r="P232" i="16"/>
  <c r="K232" i="16"/>
  <c r="P231" i="16"/>
  <c r="K231" i="16"/>
  <c r="P230" i="16"/>
  <c r="K230" i="16"/>
  <c r="P229" i="16"/>
  <c r="K229" i="16"/>
  <c r="P228" i="16"/>
  <c r="K228" i="16"/>
  <c r="T227" i="16"/>
  <c r="P227" i="16"/>
  <c r="K227" i="16"/>
  <c r="P226" i="16"/>
  <c r="K226" i="16"/>
  <c r="T225" i="16"/>
  <c r="P225" i="16"/>
  <c r="K225" i="16"/>
  <c r="T224" i="16"/>
  <c r="P224" i="16"/>
  <c r="K224" i="16"/>
  <c r="P223" i="16"/>
  <c r="K223" i="16"/>
  <c r="P222" i="16"/>
  <c r="K222" i="16"/>
  <c r="P221" i="16"/>
  <c r="K221" i="16"/>
  <c r="P220" i="16"/>
  <c r="K220" i="16"/>
  <c r="P219" i="16"/>
  <c r="K219" i="16"/>
  <c r="P218" i="16"/>
  <c r="K218" i="16"/>
  <c r="P217" i="16"/>
  <c r="K217" i="16"/>
  <c r="P216" i="16"/>
  <c r="K216" i="16"/>
  <c r="P215" i="16"/>
  <c r="K215" i="16"/>
  <c r="P214" i="16"/>
  <c r="K214" i="16"/>
  <c r="P213" i="16"/>
  <c r="K213" i="16"/>
  <c r="T212" i="16"/>
  <c r="P212" i="16"/>
  <c r="K212" i="16"/>
  <c r="P211" i="16"/>
  <c r="K211" i="16"/>
  <c r="T210" i="16"/>
  <c r="P210" i="16"/>
  <c r="K210" i="16"/>
  <c r="T209" i="16"/>
  <c r="P209" i="16"/>
  <c r="K209" i="16"/>
  <c r="P208" i="16"/>
  <c r="K208" i="16"/>
  <c r="T207" i="16"/>
  <c r="P207" i="16"/>
  <c r="K207" i="16"/>
  <c r="T206" i="16"/>
  <c r="P206" i="16"/>
  <c r="K206" i="16"/>
  <c r="P205" i="16"/>
  <c r="K205" i="16"/>
  <c r="P204" i="16"/>
  <c r="K204" i="16"/>
  <c r="P203" i="16"/>
  <c r="K203" i="16"/>
  <c r="P202" i="16"/>
  <c r="K202" i="16"/>
  <c r="P201" i="16"/>
  <c r="K201" i="16"/>
  <c r="P200" i="16"/>
  <c r="K200" i="16"/>
  <c r="P199" i="16"/>
  <c r="K199" i="16"/>
  <c r="P198" i="16"/>
  <c r="K198" i="16"/>
  <c r="P197" i="16"/>
  <c r="K197" i="16"/>
  <c r="T196" i="16"/>
  <c r="P196" i="16"/>
  <c r="K196" i="16"/>
  <c r="P195" i="16"/>
  <c r="K195" i="16"/>
  <c r="P194" i="16"/>
  <c r="K194" i="16"/>
  <c r="P193" i="16"/>
  <c r="K193" i="16"/>
  <c r="T192" i="16"/>
  <c r="P192" i="16"/>
  <c r="K192" i="16"/>
  <c r="P191" i="16"/>
  <c r="K191" i="16"/>
  <c r="T190" i="16"/>
  <c r="P190" i="16"/>
  <c r="K190" i="16"/>
  <c r="P189" i="16"/>
  <c r="K189" i="16"/>
  <c r="P188" i="16"/>
  <c r="K188" i="16"/>
  <c r="P187" i="16"/>
  <c r="K187" i="16"/>
  <c r="P186" i="16"/>
  <c r="K186" i="16"/>
  <c r="T185" i="16"/>
  <c r="P185" i="16"/>
  <c r="K185" i="16"/>
  <c r="P184" i="16"/>
  <c r="K184" i="16"/>
  <c r="P183" i="16"/>
  <c r="K183" i="16"/>
  <c r="P182" i="16"/>
  <c r="K182" i="16"/>
  <c r="P181" i="16"/>
  <c r="K181" i="16"/>
  <c r="T180" i="16"/>
  <c r="P180" i="16"/>
  <c r="K180" i="16"/>
  <c r="P179" i="16"/>
  <c r="K179" i="16"/>
  <c r="P178" i="16"/>
  <c r="K178" i="16"/>
  <c r="P177" i="16"/>
  <c r="K177" i="16"/>
  <c r="P176" i="16"/>
  <c r="K176" i="16"/>
  <c r="P175" i="16"/>
  <c r="K175" i="16"/>
  <c r="T174" i="16"/>
  <c r="P174" i="16"/>
  <c r="K174" i="16"/>
  <c r="P173" i="16"/>
  <c r="K173" i="16"/>
  <c r="P172" i="16"/>
  <c r="K172" i="16"/>
  <c r="T171" i="16"/>
  <c r="P171" i="16"/>
  <c r="K171" i="16"/>
  <c r="T170" i="16"/>
  <c r="P170" i="16"/>
  <c r="K170" i="16"/>
  <c r="P169" i="16"/>
  <c r="K169" i="16"/>
  <c r="P168" i="16"/>
  <c r="K168" i="16"/>
  <c r="P167" i="16"/>
  <c r="K167" i="16"/>
  <c r="P166" i="16"/>
  <c r="K166" i="16"/>
  <c r="T165" i="16"/>
  <c r="P165" i="16"/>
  <c r="K165" i="16"/>
  <c r="P164" i="16"/>
  <c r="K164" i="16"/>
  <c r="P163" i="16"/>
  <c r="K163" i="16"/>
  <c r="P162" i="16"/>
  <c r="K162" i="16"/>
  <c r="P161" i="16"/>
  <c r="K161" i="16"/>
  <c r="T160" i="16"/>
  <c r="P160" i="16"/>
  <c r="K160" i="16"/>
  <c r="P159" i="16"/>
  <c r="K159" i="16"/>
  <c r="P158" i="16"/>
  <c r="K158" i="16"/>
  <c r="P157" i="16"/>
  <c r="K157" i="16"/>
  <c r="P156" i="16"/>
  <c r="K156" i="16"/>
  <c r="T155" i="16"/>
  <c r="P155" i="16"/>
  <c r="K155" i="16"/>
  <c r="P154" i="16"/>
  <c r="K154" i="16"/>
  <c r="P153" i="16"/>
  <c r="K153" i="16"/>
  <c r="P152" i="16"/>
  <c r="K152" i="16"/>
  <c r="T151" i="16"/>
  <c r="P151" i="16"/>
  <c r="K151" i="16"/>
  <c r="P150" i="16"/>
  <c r="K150" i="16"/>
  <c r="T149" i="16"/>
  <c r="P149" i="16"/>
  <c r="K149" i="16"/>
  <c r="P148" i="16"/>
  <c r="K148" i="16"/>
  <c r="P147" i="16"/>
  <c r="K147" i="16"/>
  <c r="P146" i="16"/>
  <c r="K146" i="16"/>
  <c r="P145" i="16"/>
  <c r="K145" i="16"/>
  <c r="T144" i="16"/>
  <c r="P144" i="16"/>
  <c r="K144" i="16"/>
  <c r="P143" i="16"/>
  <c r="K143" i="16"/>
  <c r="T142" i="16"/>
  <c r="P142" i="16"/>
  <c r="K142" i="16"/>
  <c r="P141" i="16"/>
  <c r="K141" i="16"/>
  <c r="P140" i="16"/>
  <c r="K140" i="16"/>
  <c r="P139" i="16"/>
  <c r="K139" i="16"/>
  <c r="P138" i="16"/>
  <c r="K138" i="16"/>
  <c r="P137" i="16"/>
  <c r="K137" i="16"/>
  <c r="P136" i="16"/>
  <c r="K136" i="16"/>
  <c r="P135" i="16"/>
  <c r="K135" i="16"/>
  <c r="P134" i="16"/>
  <c r="K134" i="16"/>
  <c r="T133" i="16"/>
  <c r="P133" i="16"/>
  <c r="K133" i="16"/>
  <c r="P132" i="16"/>
  <c r="K132" i="16"/>
  <c r="P131" i="16"/>
  <c r="K131" i="16"/>
  <c r="T130" i="16"/>
  <c r="P130" i="16"/>
  <c r="K130" i="16"/>
  <c r="P129" i="16"/>
  <c r="K129" i="16"/>
  <c r="T128" i="16"/>
  <c r="P128" i="16"/>
  <c r="K128" i="16"/>
  <c r="T127" i="16"/>
  <c r="P127" i="16"/>
  <c r="K127" i="16"/>
  <c r="T126" i="16"/>
  <c r="P126" i="16"/>
  <c r="K126" i="16"/>
  <c r="P125" i="16"/>
  <c r="K125" i="16"/>
  <c r="P124" i="16"/>
  <c r="K124" i="16"/>
  <c r="P123" i="16"/>
  <c r="K123" i="16"/>
  <c r="P122" i="16"/>
  <c r="K122" i="16"/>
  <c r="T121" i="16"/>
  <c r="P121" i="16"/>
  <c r="K121" i="16"/>
  <c r="P120" i="16"/>
  <c r="K120" i="16"/>
  <c r="P119" i="16"/>
  <c r="K119" i="16"/>
  <c r="P118" i="16"/>
  <c r="K118" i="16"/>
  <c r="P117" i="16"/>
  <c r="K117" i="16"/>
  <c r="P116" i="16"/>
  <c r="K116" i="16"/>
  <c r="P115" i="16"/>
  <c r="K115" i="16"/>
  <c r="P114" i="16"/>
  <c r="K114" i="16"/>
  <c r="T113" i="16"/>
  <c r="P113" i="16"/>
  <c r="K113" i="16"/>
  <c r="P112" i="16"/>
  <c r="K112" i="16"/>
  <c r="T111" i="16"/>
  <c r="P111" i="16"/>
  <c r="K111" i="16"/>
  <c r="P110" i="16"/>
  <c r="K110" i="16"/>
  <c r="T109" i="16"/>
  <c r="P109" i="16"/>
  <c r="K109" i="16"/>
  <c r="P108" i="16"/>
  <c r="K108" i="16"/>
  <c r="P107" i="16"/>
  <c r="K107" i="16"/>
  <c r="P106" i="16"/>
  <c r="K106" i="16"/>
  <c r="P105" i="16"/>
  <c r="K105" i="16"/>
  <c r="T104" i="16"/>
  <c r="P104" i="16"/>
  <c r="K104" i="16"/>
  <c r="P103" i="16"/>
  <c r="K103" i="16"/>
  <c r="T102" i="16"/>
  <c r="P102" i="16"/>
  <c r="K102" i="16"/>
  <c r="P101" i="16"/>
  <c r="K101" i="16"/>
  <c r="P100" i="16"/>
  <c r="K100" i="16"/>
  <c r="T99" i="16"/>
  <c r="P99" i="16"/>
  <c r="K99" i="16"/>
  <c r="P98" i="16"/>
  <c r="K98" i="16"/>
  <c r="T97" i="16"/>
  <c r="P97" i="16"/>
  <c r="K97" i="16"/>
  <c r="P96" i="16"/>
  <c r="K96" i="16"/>
  <c r="P95" i="16"/>
  <c r="K95" i="16"/>
  <c r="P94" i="16"/>
  <c r="K94" i="16"/>
  <c r="T93" i="16"/>
  <c r="P93" i="16"/>
  <c r="K93" i="16"/>
  <c r="P92" i="16"/>
  <c r="K92" i="16"/>
  <c r="T91" i="16"/>
  <c r="P91" i="16"/>
  <c r="K91" i="16"/>
  <c r="P90" i="16"/>
  <c r="K90" i="16"/>
  <c r="P89" i="16"/>
  <c r="K89" i="16"/>
  <c r="P88" i="16"/>
  <c r="K88" i="16"/>
  <c r="P87" i="16"/>
  <c r="K87" i="16"/>
  <c r="P86" i="16"/>
  <c r="K86" i="16"/>
  <c r="P85" i="16"/>
  <c r="K85" i="16"/>
  <c r="P84" i="16"/>
  <c r="K84" i="16"/>
  <c r="P83" i="16"/>
  <c r="K83" i="16"/>
  <c r="P82" i="16"/>
  <c r="K82" i="16"/>
  <c r="P81" i="16"/>
  <c r="K81" i="16"/>
  <c r="T80" i="16"/>
  <c r="P80" i="16"/>
  <c r="K80" i="16"/>
  <c r="P79" i="16"/>
  <c r="K79" i="16"/>
  <c r="P78" i="16"/>
  <c r="K78" i="16"/>
  <c r="T77" i="16"/>
  <c r="P77" i="16"/>
  <c r="K77" i="16"/>
  <c r="P76" i="16"/>
  <c r="K76" i="16"/>
  <c r="P75" i="16"/>
  <c r="K75" i="16"/>
  <c r="P74" i="16"/>
  <c r="K74" i="16"/>
  <c r="P73" i="16"/>
  <c r="K73" i="16"/>
  <c r="T72" i="16"/>
  <c r="P72" i="16"/>
  <c r="K72" i="16"/>
  <c r="P71" i="16"/>
  <c r="K71" i="16"/>
  <c r="P70" i="16"/>
  <c r="K70" i="16"/>
  <c r="T69" i="16"/>
  <c r="P69" i="16"/>
  <c r="K69" i="16"/>
  <c r="P68" i="16"/>
  <c r="K68" i="16"/>
  <c r="P67" i="16"/>
  <c r="K67" i="16"/>
  <c r="P66" i="16"/>
  <c r="K66" i="16"/>
  <c r="P65" i="16"/>
  <c r="K65" i="16"/>
  <c r="P64" i="16"/>
  <c r="K64" i="16"/>
  <c r="P63" i="16"/>
  <c r="K63" i="16"/>
  <c r="T62" i="16"/>
  <c r="P62" i="16"/>
  <c r="K62" i="16"/>
  <c r="P61" i="16"/>
  <c r="K61" i="16"/>
  <c r="P60" i="16"/>
  <c r="K60" i="16"/>
  <c r="P59" i="16"/>
  <c r="K59" i="16"/>
  <c r="T58" i="16"/>
  <c r="P58" i="16"/>
  <c r="K58" i="16"/>
  <c r="P57" i="16"/>
  <c r="K57" i="16"/>
  <c r="T56" i="16"/>
  <c r="P56" i="16"/>
  <c r="K56" i="16"/>
  <c r="P55" i="16"/>
  <c r="K55" i="16"/>
  <c r="T54" i="16"/>
  <c r="P54" i="16"/>
  <c r="K54" i="16"/>
  <c r="P53" i="16"/>
  <c r="K53" i="16"/>
  <c r="P52" i="16"/>
  <c r="K52" i="16"/>
  <c r="P51" i="16"/>
  <c r="K51" i="16"/>
  <c r="T50" i="16"/>
  <c r="P50" i="16"/>
  <c r="K50" i="16"/>
  <c r="T49" i="16"/>
  <c r="P49" i="16"/>
  <c r="K49" i="16"/>
  <c r="P48" i="16"/>
  <c r="K48" i="16"/>
  <c r="P47" i="16"/>
  <c r="K47" i="16"/>
  <c r="T46" i="16"/>
  <c r="P46" i="16"/>
  <c r="K46" i="16"/>
  <c r="P45" i="16"/>
  <c r="K45" i="16"/>
  <c r="P44" i="16"/>
  <c r="K44" i="16"/>
  <c r="T43" i="16"/>
  <c r="P43" i="16"/>
  <c r="K43" i="16"/>
  <c r="T42" i="16"/>
  <c r="P42" i="16"/>
  <c r="K42" i="16"/>
  <c r="P41" i="16"/>
  <c r="K41" i="16"/>
  <c r="P40" i="16"/>
  <c r="K40" i="16"/>
  <c r="P39" i="16"/>
  <c r="K39" i="16"/>
  <c r="T38" i="16"/>
  <c r="P38" i="16"/>
  <c r="K38" i="16"/>
  <c r="P37" i="16"/>
  <c r="K37" i="16"/>
  <c r="P36" i="16"/>
  <c r="K36" i="16"/>
  <c r="P35" i="16"/>
  <c r="K35" i="16"/>
  <c r="P34" i="16"/>
  <c r="K34" i="16"/>
  <c r="P33" i="16"/>
  <c r="K33" i="16"/>
  <c r="P32" i="16"/>
  <c r="K32" i="16"/>
  <c r="P31" i="16"/>
  <c r="K31" i="16"/>
  <c r="P30" i="16"/>
  <c r="K30" i="16"/>
  <c r="P29" i="16"/>
  <c r="K29" i="16"/>
  <c r="P28" i="16"/>
  <c r="K28" i="16"/>
  <c r="P27" i="16"/>
  <c r="K27" i="16"/>
  <c r="P26" i="16"/>
  <c r="K26" i="16"/>
  <c r="P25" i="16"/>
  <c r="K25" i="16"/>
  <c r="P24" i="16"/>
  <c r="K24" i="16"/>
  <c r="P23" i="16"/>
  <c r="K23" i="16"/>
  <c r="P22" i="16"/>
  <c r="K22" i="16"/>
  <c r="T21" i="16"/>
  <c r="P21" i="16"/>
  <c r="K21" i="16"/>
  <c r="P20" i="16"/>
  <c r="K20" i="16"/>
  <c r="P19" i="16"/>
  <c r="K19" i="16"/>
  <c r="T18" i="16"/>
  <c r="P18" i="16"/>
  <c r="K18" i="16"/>
  <c r="P17" i="16"/>
  <c r="K17" i="16"/>
  <c r="P16" i="16"/>
  <c r="K16" i="16"/>
  <c r="P15" i="16"/>
  <c r="K15" i="16"/>
  <c r="T14" i="16"/>
  <c r="P14" i="16"/>
  <c r="K14" i="16"/>
  <c r="P13" i="16"/>
  <c r="K13" i="16"/>
  <c r="P12" i="16"/>
  <c r="K12" i="16"/>
  <c r="T11" i="16"/>
  <c r="P11" i="16"/>
  <c r="K11" i="16"/>
  <c r="P10" i="16"/>
  <c r="K10" i="16"/>
  <c r="P9" i="16"/>
  <c r="K9" i="16"/>
  <c r="P8" i="16"/>
  <c r="K8" i="16"/>
  <c r="P7" i="16"/>
  <c r="K7" i="16"/>
  <c r="P19" i="18" l="1"/>
  <c r="Q19" i="18"/>
  <c r="P779" i="16"/>
  <c r="O908" i="16"/>
  <c r="R19" i="18" s="1"/>
  <c r="T908" i="16"/>
  <c r="V19" i="18" s="1"/>
  <c r="P246" i="16"/>
  <c r="S908" i="16"/>
  <c r="U19" i="18" s="1"/>
  <c r="P908" i="16"/>
  <c r="K246" i="16"/>
  <c r="K908" i="16" s="1"/>
  <c r="K779" i="16"/>
  <c r="C27" i="12" l="1"/>
  <c r="C3" i="18" l="1"/>
  <c r="C2" i="18" l="1"/>
  <c r="A15" i="18"/>
  <c r="A24" i="18"/>
  <c r="B24" i="18" s="1"/>
  <c r="G15" i="18" l="1"/>
  <c r="B15" i="18"/>
  <c r="F24" i="18"/>
  <c r="U24" i="18"/>
  <c r="T24" i="18"/>
  <c r="H24" i="18"/>
  <c r="G24" i="18"/>
  <c r="V24" i="18"/>
  <c r="K24" i="18"/>
  <c r="J24" i="18"/>
  <c r="R24" i="18"/>
  <c r="Q24" i="18"/>
  <c r="P24" i="18"/>
  <c r="O24" i="18"/>
  <c r="D24" i="18"/>
  <c r="M24" i="18"/>
  <c r="C24" i="18"/>
  <c r="L24" i="18"/>
  <c r="A22" i="18"/>
  <c r="B22" i="18" s="1"/>
  <c r="A13" i="18"/>
  <c r="U15" i="18"/>
  <c r="J15" i="18"/>
  <c r="T15" i="18"/>
  <c r="R15" i="18"/>
  <c r="Q15" i="18"/>
  <c r="O15" i="18"/>
  <c r="M15" i="18"/>
  <c r="L15" i="18"/>
  <c r="V15" i="18"/>
  <c r="K15" i="18"/>
  <c r="D15" i="18"/>
  <c r="C15" i="18"/>
  <c r="F15" i="18"/>
  <c r="H15" i="18"/>
  <c r="P17" i="18"/>
  <c r="B13" i="18" l="1"/>
  <c r="F13" i="18"/>
  <c r="D50" i="18"/>
  <c r="D52" i="18"/>
  <c r="D51" i="18"/>
  <c r="V22" i="18"/>
  <c r="V26" i="18" s="1"/>
  <c r="U22" i="18"/>
  <c r="U26" i="18" s="1"/>
  <c r="T22" i="18"/>
  <c r="T26" i="18" s="1"/>
  <c r="F22" i="18"/>
  <c r="F26" i="18" s="1"/>
  <c r="J22" i="18"/>
  <c r="J26" i="18" s="1"/>
  <c r="R22" i="18"/>
  <c r="R26" i="18" s="1"/>
  <c r="H22" i="18"/>
  <c r="H26" i="18" s="1"/>
  <c r="Q22" i="18"/>
  <c r="Q26" i="18" s="1"/>
  <c r="F91" i="18" s="1"/>
  <c r="G22" i="18"/>
  <c r="G26" i="18" s="1"/>
  <c r="P22" i="18"/>
  <c r="P26" i="18" s="1"/>
  <c r="D22" i="18"/>
  <c r="D26" i="18" s="1"/>
  <c r="L22" i="18"/>
  <c r="L26" i="18" s="1"/>
  <c r="O22" i="18"/>
  <c r="O26" i="18" s="1"/>
  <c r="C22" i="18"/>
  <c r="C26" i="18" s="1"/>
  <c r="K22" i="18"/>
  <c r="K26" i="18" s="1"/>
  <c r="M22" i="18"/>
  <c r="M26" i="18" s="1"/>
  <c r="D54" i="18"/>
  <c r="D53" i="18"/>
  <c r="U13" i="18"/>
  <c r="U17" i="18" s="1"/>
  <c r="R13" i="18"/>
  <c r="R17" i="18" s="1"/>
  <c r="Q13" i="18"/>
  <c r="Q17" i="18" s="1"/>
  <c r="O13" i="18"/>
  <c r="O17" i="18" s="1"/>
  <c r="T13" i="18"/>
  <c r="T17" i="18" s="1"/>
  <c r="V13" i="18"/>
  <c r="V17" i="18" s="1"/>
  <c r="K13" i="18"/>
  <c r="J13" i="18"/>
  <c r="J17" i="18" s="1"/>
  <c r="M13" i="18"/>
  <c r="M17" i="18" s="1"/>
  <c r="L13" i="18"/>
  <c r="L17" i="18" s="1"/>
  <c r="G13" i="18"/>
  <c r="G17" i="18" s="1"/>
  <c r="H13" i="18"/>
  <c r="H17" i="18" s="1"/>
  <c r="D13" i="18"/>
  <c r="D17" i="18" s="1"/>
  <c r="C13" i="18"/>
  <c r="E24" i="18"/>
  <c r="E15" i="18"/>
  <c r="E92" i="18" l="1"/>
  <c r="F92" i="18"/>
  <c r="F90" i="18"/>
  <c r="E93" i="18"/>
  <c r="F96" i="18"/>
  <c r="E96" i="18"/>
  <c r="E87" i="18"/>
  <c r="F99" i="18"/>
  <c r="F86" i="18"/>
  <c r="F89" i="18"/>
  <c r="F39" i="18"/>
  <c r="E91" i="18"/>
  <c r="E99" i="18"/>
  <c r="F93" i="18"/>
  <c r="E89" i="18"/>
  <c r="E86" i="18"/>
  <c r="F87" i="18"/>
  <c r="E90" i="18"/>
  <c r="E13" i="18"/>
  <c r="D56" i="18"/>
  <c r="E41" i="18"/>
  <c r="F41" i="18"/>
  <c r="F38" i="18"/>
  <c r="F61" i="18"/>
  <c r="E39" i="18"/>
  <c r="E38" i="18"/>
  <c r="E22" i="18"/>
  <c r="K17" i="18"/>
  <c r="E88" i="18" s="1"/>
  <c r="C17" i="18"/>
  <c r="G61" i="18" s="1"/>
  <c r="C31" i="18"/>
  <c r="F17" i="18"/>
  <c r="E26" i="18"/>
  <c r="E97" i="18" l="1"/>
  <c r="F97" i="18"/>
  <c r="F88" i="18"/>
  <c r="C33" i="18"/>
  <c r="E40" i="18"/>
  <c r="F40" i="18" s="1"/>
  <c r="E61" i="18"/>
  <c r="E17" i="18"/>
  <c r="E98" i="18" l="1"/>
  <c r="C32" i="18" s="1"/>
  <c r="C34" i="18"/>
  <c r="D34" i="18" s="1"/>
  <c r="F98" i="18"/>
  <c r="F43" i="18" l="1"/>
  <c r="E43" i="18"/>
  <c r="E100" i="18" l="1"/>
  <c r="F100" i="18"/>
  <c r="G100" i="18" l="1"/>
</calcChain>
</file>

<file path=xl/sharedStrings.xml><?xml version="1.0" encoding="utf-8"?>
<sst xmlns="http://schemas.openxmlformats.org/spreadsheetml/2006/main" count="5634" uniqueCount="2644">
  <si>
    <t>Agency Number</t>
  </si>
  <si>
    <t>Agency</t>
  </si>
  <si>
    <t>TOTAL</t>
  </si>
  <si>
    <t>Deferred Outflows Of Resources</t>
  </si>
  <si>
    <t>Deferred Inflows Of Resources</t>
  </si>
  <si>
    <t>Pension Expense</t>
  </si>
  <si>
    <t>Differences Between Expected And Actual Experience</t>
  </si>
  <si>
    <t>Net Difference Between Projected And Actual Investment Earnings On Plan Investments</t>
  </si>
  <si>
    <t>Changes Of Assumptions</t>
  </si>
  <si>
    <t>Changes In Proportion And Differences Between Employer Contributions And Proportional Share Of Contributions</t>
  </si>
  <si>
    <t>Proportional Share Of Pension Expense</t>
  </si>
  <si>
    <t>Net Amortization Of Deferred Amounts From Changes In Proportion And Differences Between Employer Contributions And Proportional Share Of Contributions</t>
  </si>
  <si>
    <t>Total Employer Pension Expense</t>
  </si>
  <si>
    <t>Net Pension Liability - End of Year</t>
  </si>
  <si>
    <t>Total Plan</t>
  </si>
  <si>
    <t>Tables for Disclosure</t>
  </si>
  <si>
    <t>Differences between expected and actual experience</t>
  </si>
  <si>
    <t>Changes of assumptions</t>
  </si>
  <si>
    <t>Net difference between projected and actual earnings on pension plan investments</t>
  </si>
  <si>
    <t>Changes in proportion and differences between employer contributions and proportionate share of contributions</t>
  </si>
  <si>
    <t xml:space="preserve">      Total</t>
  </si>
  <si>
    <t>Deferred Outflows of Resources</t>
  </si>
  <si>
    <t>Deferred Inflows of Resources</t>
  </si>
  <si>
    <t>Future amortization:</t>
  </si>
  <si>
    <t>Year ended June 30:</t>
  </si>
  <si>
    <t>Thereafter</t>
  </si>
  <si>
    <t>Eastern Band Of Cherokee Indians</t>
  </si>
  <si>
    <t>Misenheimer, Village Of</t>
  </si>
  <si>
    <t>Piedmont Triad Airport Authority</t>
  </si>
  <si>
    <t>Sparta, Town Of</t>
  </si>
  <si>
    <t>Yancey County</t>
  </si>
  <si>
    <t>Yancey Soil &amp; Water Conservation District</t>
  </si>
  <si>
    <t>Burnsville, Town Of</t>
  </si>
  <si>
    <t>Martin-Tyrell-Washington D.H.D</t>
  </si>
  <si>
    <t xml:space="preserve">Toe River District Health Department </t>
  </si>
  <si>
    <t>Appalachian District Health Department</t>
  </si>
  <si>
    <t>Alamance County</t>
  </si>
  <si>
    <t>Burlington, City Of</t>
  </si>
  <si>
    <t>Mebane, Town Of</t>
  </si>
  <si>
    <t>Graham, City Of</t>
  </si>
  <si>
    <t>Elon College, Town Of</t>
  </si>
  <si>
    <t>Haw River, Town Of</t>
  </si>
  <si>
    <t>Alamance, Village Of</t>
  </si>
  <si>
    <t>Green Level, Town Of</t>
  </si>
  <si>
    <t>Alexander County</t>
  </si>
  <si>
    <t>Alexander County Health Department</t>
  </si>
  <si>
    <t>Alexander County Library</t>
  </si>
  <si>
    <t>Alexander County Welfare Department</t>
  </si>
  <si>
    <t>Taylorsville, Town Of</t>
  </si>
  <si>
    <t>Alleghany County</t>
  </si>
  <si>
    <t>Northwestern Regional Library</t>
  </si>
  <si>
    <t>Sparta A.B.C. Board</t>
  </si>
  <si>
    <t>Anson County</t>
  </si>
  <si>
    <t>Wadesboro, Town Of</t>
  </si>
  <si>
    <t>Wadesboro Housing Authority</t>
  </si>
  <si>
    <t>Wadesboro A.B.C. Board</t>
  </si>
  <si>
    <t>Lilesville, Town Of</t>
  </si>
  <si>
    <t>Polkton, Town Of</t>
  </si>
  <si>
    <t>Peachland, Town Of</t>
  </si>
  <si>
    <t>Ansonville, Town Of</t>
  </si>
  <si>
    <t>Morven, Town Of</t>
  </si>
  <si>
    <t>Ashe County</t>
  </si>
  <si>
    <t>WEST JEFFERSON ABC BOARD</t>
  </si>
  <si>
    <t>Jefferson, Town Of</t>
  </si>
  <si>
    <t>West Jefferson, Town Of</t>
  </si>
  <si>
    <t>Avery County</t>
  </si>
  <si>
    <t>Avery-Mitchell-Yancey Dist. Library</t>
  </si>
  <si>
    <t>Banner Elk, Town Of</t>
  </si>
  <si>
    <t>High Country Municipal A.B.C. Board</t>
  </si>
  <si>
    <t>Newland, Town Of</t>
  </si>
  <si>
    <t>Beech Mountain, Town Of</t>
  </si>
  <si>
    <t>Elk Park, Town Of</t>
  </si>
  <si>
    <t>Sugar Mountain, Town Of</t>
  </si>
  <si>
    <t>Beaufort County</t>
  </si>
  <si>
    <t>Beaufort County A.B.C. Board</t>
  </si>
  <si>
    <t>B.H.M. Regional Library</t>
  </si>
  <si>
    <t>Washington, City Of</t>
  </si>
  <si>
    <t>Aurora, Town Of</t>
  </si>
  <si>
    <t>Belhaven, Town Of</t>
  </si>
  <si>
    <t>Washington Park, Town Of</t>
  </si>
  <si>
    <t>Chocowinity, Town Of</t>
  </si>
  <si>
    <t>Bertie County</t>
  </si>
  <si>
    <t>Bertie County A.B.C. Board</t>
  </si>
  <si>
    <t>Albemarle Regional Library</t>
  </si>
  <si>
    <t>Bertie-Martin Regional Jail Comm</t>
  </si>
  <si>
    <t>Aulander, Town Of</t>
  </si>
  <si>
    <t>Windsor, Town Of</t>
  </si>
  <si>
    <t>Colerain, Town Of</t>
  </si>
  <si>
    <t>Lewiston-Woodville, Town Of</t>
  </si>
  <si>
    <t>Bladen County</t>
  </si>
  <si>
    <t>Elizabethtown, Town Of</t>
  </si>
  <si>
    <t>Elizabethtown A.B.C. Board</t>
  </si>
  <si>
    <t>Southeastern Economic Develop. Com</t>
  </si>
  <si>
    <t>White Lake, Town Of</t>
  </si>
  <si>
    <t>Clarkton, Town Of</t>
  </si>
  <si>
    <t>Bladenboro, Town Of</t>
  </si>
  <si>
    <t>Brunswick County</t>
  </si>
  <si>
    <t>Leland, Town Of</t>
  </si>
  <si>
    <t>Brunswick County Health Department</t>
  </si>
  <si>
    <t>Brunswick County A.B.C. Board</t>
  </si>
  <si>
    <t>Calabash A.B.C. Board</t>
  </si>
  <si>
    <t>Cape Fear Council Of Governments</t>
  </si>
  <si>
    <t>Brunswick County Tourism Develop. Authority</t>
  </si>
  <si>
    <t>Calabash, Town Of</t>
  </si>
  <si>
    <t>Southport, City Of</t>
  </si>
  <si>
    <t>Northwest, City Of</t>
  </si>
  <si>
    <t>Holden Beach, Town Of</t>
  </si>
  <si>
    <t>Southport A.B.C. Board</t>
  </si>
  <si>
    <t>Belville, Town Of</t>
  </si>
  <si>
    <t>Oak Island, Town Of</t>
  </si>
  <si>
    <t>Carolina Shores, Town of</t>
  </si>
  <si>
    <t>TOWN OF NAVASSA</t>
  </si>
  <si>
    <t>Oak Island A.B.C. Board</t>
  </si>
  <si>
    <t>St. James, Town Of</t>
  </si>
  <si>
    <t>Sunset Beach, Town Of</t>
  </si>
  <si>
    <t>Sunset Beach A.B.C. Board</t>
  </si>
  <si>
    <t>Caswell Beach, Town Of</t>
  </si>
  <si>
    <t>Shallotte A.B.C. Board</t>
  </si>
  <si>
    <t>Ocean Isle Beach, Town Of</t>
  </si>
  <si>
    <t>Ocean Isle A.B.C. Board</t>
  </si>
  <si>
    <t>Boiling Spring Lakes, City Of</t>
  </si>
  <si>
    <t>Boiling Spring Lakes A.B.C. Board</t>
  </si>
  <si>
    <t>Shallotte, Town Of</t>
  </si>
  <si>
    <t>Bald Head Island, Village Of</t>
  </si>
  <si>
    <t>Buncombe County</t>
  </si>
  <si>
    <t>Land-Of-Sky Regional Council</t>
  </si>
  <si>
    <t>Woodfin ABC Commission</t>
  </si>
  <si>
    <t>Western NC Regional Air Pollution Control</t>
  </si>
  <si>
    <t>Metro Sewerage Dist Of Buncombe County</t>
  </si>
  <si>
    <t>Woodfin Sanitary Water &amp; Sewer District</t>
  </si>
  <si>
    <t>Biltmore Forest, Town Of</t>
  </si>
  <si>
    <t>WESTERN HIGHLAND AREA AUTHORITY</t>
  </si>
  <si>
    <t>West Buncombe Fire Department</t>
  </si>
  <si>
    <t>Asheville, City Of</t>
  </si>
  <si>
    <t>Asheville A.B.C. Board</t>
  </si>
  <si>
    <t>Asheville Regional Airport Authority</t>
  </si>
  <si>
    <t>Skyland Volunteer Fire Department</t>
  </si>
  <si>
    <t>Weaverville, Town Of</t>
  </si>
  <si>
    <t>Weaverville A.B.C. Board</t>
  </si>
  <si>
    <t>Black Mountain, Town Of</t>
  </si>
  <si>
    <t>Black Mountain A.B.C. Board</t>
  </si>
  <si>
    <t>Montreat, Town Of</t>
  </si>
  <si>
    <t>Woodfin, Town Of</t>
  </si>
  <si>
    <t>Burke County</t>
  </si>
  <si>
    <t>Burke-Catawba Dist. Confinement Fa</t>
  </si>
  <si>
    <t>Burke County Health Department</t>
  </si>
  <si>
    <t xml:space="preserve">Burke County Tourism Development Authority </t>
  </si>
  <si>
    <t>Valdese, Town Of</t>
  </si>
  <si>
    <t>Valdese Housing Authority</t>
  </si>
  <si>
    <t>Rutherford College, Town of</t>
  </si>
  <si>
    <t>Morganton A.B.C. Board</t>
  </si>
  <si>
    <t>Drexel, Town Of</t>
  </si>
  <si>
    <t>Morganton, City Of</t>
  </si>
  <si>
    <t>Morganton Housing Authority</t>
  </si>
  <si>
    <t>Glen Alpine, Town Of</t>
  </si>
  <si>
    <t>Hildebrand, Town Of</t>
  </si>
  <si>
    <t>Connelly Springs, Town Of</t>
  </si>
  <si>
    <t>Cabarrus County</t>
  </si>
  <si>
    <t>Water &amp; Sewer Authority Of Cabarrus County</t>
  </si>
  <si>
    <t>Cabarrus Co. Public Health Auth</t>
  </si>
  <si>
    <t>Cabarrus Co. Tourism Auth</t>
  </si>
  <si>
    <t>Concord, City Of</t>
  </si>
  <si>
    <t>Concord A.B.C. Board</t>
  </si>
  <si>
    <t>Mount Pleasant, Town Of</t>
  </si>
  <si>
    <t>Mt. Pleasant A.B.C. Board</t>
  </si>
  <si>
    <t>Kannapolis, Town Of</t>
  </si>
  <si>
    <t>Midland, Town of</t>
  </si>
  <si>
    <t>Caldwell County</t>
  </si>
  <si>
    <t>Granite Falls, Town Of</t>
  </si>
  <si>
    <t>Granite Falls A.B.C. Board</t>
  </si>
  <si>
    <t>Sawmills, Town Of</t>
  </si>
  <si>
    <t>Lenoir Housing Authority</t>
  </si>
  <si>
    <t>Hudson, Town Of</t>
  </si>
  <si>
    <t>Harrisburg, Town Of</t>
  </si>
  <si>
    <t>Lenoir, City Of</t>
  </si>
  <si>
    <t>Lenoir A.B.C. Board</t>
  </si>
  <si>
    <t>Cajah's Mountain, Town Of</t>
  </si>
  <si>
    <t>Camden County</t>
  </si>
  <si>
    <t>Camden County A.B.C. Board</t>
  </si>
  <si>
    <t>Carteret County</t>
  </si>
  <si>
    <t>Carteret County A.B.C. Board</t>
  </si>
  <si>
    <t>Western Cartert Interlocal Agency</t>
  </si>
  <si>
    <t>Morehead City, Town Of</t>
  </si>
  <si>
    <t>Newport, Town Of</t>
  </si>
  <si>
    <t>Beaufort, Town Of</t>
  </si>
  <si>
    <t>Beaufort Housing Authority</t>
  </si>
  <si>
    <t>Pine Knoll Shores, Town Of</t>
  </si>
  <si>
    <t>Emerald Isle, Town Of</t>
  </si>
  <si>
    <t>Indian Beach, Town Of</t>
  </si>
  <si>
    <t>Cape Carteret, Town Of</t>
  </si>
  <si>
    <t>Atlantic Beach, Town Of</t>
  </si>
  <si>
    <t>Cedar Point, Town Of</t>
  </si>
  <si>
    <t>Caswell County</t>
  </si>
  <si>
    <t>Caswell County A.B.C. Board</t>
  </si>
  <si>
    <t>Yanceyville, Town Of</t>
  </si>
  <si>
    <t>Catawba County</t>
  </si>
  <si>
    <t>Catawba County A.B.C. Board</t>
  </si>
  <si>
    <t>Hickory, City Of</t>
  </si>
  <si>
    <t>Hickory/Conover Tourism Dev. Authority</t>
  </si>
  <si>
    <t>Hickory Housing Authority</t>
  </si>
  <si>
    <t>Western Piedmont Council of Governments</t>
  </si>
  <si>
    <t>Western Piedmont Regional Transit Authority</t>
  </si>
  <si>
    <t>Claremont, Town Of</t>
  </si>
  <si>
    <t>Maiden, Town Of</t>
  </si>
  <si>
    <t>Long View, Town Of</t>
  </si>
  <si>
    <t>Conover, Town Of</t>
  </si>
  <si>
    <t>Brookford, Town Of</t>
  </si>
  <si>
    <t>Newton, Town Of</t>
  </si>
  <si>
    <t>Catawba, Town Of</t>
  </si>
  <si>
    <t>Chatham County</t>
  </si>
  <si>
    <t>Chatham County Housing Authority</t>
  </si>
  <si>
    <t>Chatham County A.B.C. Board</t>
  </si>
  <si>
    <t>Goldston-Gulf Sanitary District</t>
  </si>
  <si>
    <t>Siler City, Town Of</t>
  </si>
  <si>
    <t>Siler City A.B.C. Board</t>
  </si>
  <si>
    <t>Pittsboro, Town Of</t>
  </si>
  <si>
    <t>Cherokee County</t>
  </si>
  <si>
    <t>Nantahala Regional Library</t>
  </si>
  <si>
    <t>Murphy, Town Of</t>
  </si>
  <si>
    <t>Murphy A.B.C. Board</t>
  </si>
  <si>
    <t>Andrews, Town Of</t>
  </si>
  <si>
    <t>Chowan County</t>
  </si>
  <si>
    <t>Chowan County A.B.C. Board</t>
  </si>
  <si>
    <t>Albemarle Regional Plan. &amp; Develop. Com</t>
  </si>
  <si>
    <t>Edenton, Town Of</t>
  </si>
  <si>
    <t>The New Edenton Housing Authority</t>
  </si>
  <si>
    <t>Clay County</t>
  </si>
  <si>
    <t>Cleveland County</t>
  </si>
  <si>
    <t>Cleveland County Sanitary District</t>
  </si>
  <si>
    <t>Shelby, City Of</t>
  </si>
  <si>
    <t>Shelby A.B.C. Board</t>
  </si>
  <si>
    <t>Kings Mountain, City Of</t>
  </si>
  <si>
    <t>Kings Mountain A.B.C. Board</t>
  </si>
  <si>
    <t>Boiling Springs, Town Of</t>
  </si>
  <si>
    <t>Lawndale, Town Of</t>
  </si>
  <si>
    <t>Grover, Town Of</t>
  </si>
  <si>
    <t>Columbus County</t>
  </si>
  <si>
    <t>Whiteville Housing Authority</t>
  </si>
  <si>
    <t>Whiteville, City Of</t>
  </si>
  <si>
    <t>TOWN OF BOLTON</t>
  </si>
  <si>
    <t>Whiteville A.B.C. Board</t>
  </si>
  <si>
    <t>Brunswick, Town Of</t>
  </si>
  <si>
    <t>Lake Waccamaw A.B.C. Board</t>
  </si>
  <si>
    <t>Fair Bluff, Town Of</t>
  </si>
  <si>
    <t>Chadbourn, Town Of</t>
  </si>
  <si>
    <t>Tabor City, Town Of</t>
  </si>
  <si>
    <t>Lake Woccamaw, Town Of</t>
  </si>
  <si>
    <t>Craven County</t>
  </si>
  <si>
    <t>First Craven Sanitary District</t>
  </si>
  <si>
    <t>Craven County A.B.C. Board</t>
  </si>
  <si>
    <t>Craven-Pamlico-Carteret Regional Library</t>
  </si>
  <si>
    <t>Craven County Airport Authority</t>
  </si>
  <si>
    <t>Neuse River Council Of Governments</t>
  </si>
  <si>
    <t>Coastal Regional Waste Management Authority</t>
  </si>
  <si>
    <t>New Bern, City Of</t>
  </si>
  <si>
    <t>Trent Woods, Town Of</t>
  </si>
  <si>
    <t>Havelock, City Of</t>
  </si>
  <si>
    <t>River Bend, Town Of</t>
  </si>
  <si>
    <t>Vanceboro, Town Of</t>
  </si>
  <si>
    <t>Bridgeton, Town Of</t>
  </si>
  <si>
    <t>Cove City, Town Of</t>
  </si>
  <si>
    <t>Cumberland County</t>
  </si>
  <si>
    <t>Westarea Volunteer Fire Department</t>
  </si>
  <si>
    <t>Cumberland County A.B.C. Board</t>
  </si>
  <si>
    <t>Cumberland Memorial Auditorium Com</t>
  </si>
  <si>
    <t>Fayetteville, City Of</t>
  </si>
  <si>
    <t>Fayetteville Metro. Housing Authority</t>
  </si>
  <si>
    <t>Fayetteville Public Works Commission</t>
  </si>
  <si>
    <t>Stedman, Town Of</t>
  </si>
  <si>
    <t>Hope Mills, Town Of</t>
  </si>
  <si>
    <t>Wade, Town Of</t>
  </si>
  <si>
    <t>Linden, Town Of</t>
  </si>
  <si>
    <t>Spring Lake, Town Of</t>
  </si>
  <si>
    <t>Falcon, Town Of</t>
  </si>
  <si>
    <t>Eastover, Town Of</t>
  </si>
  <si>
    <t>Currituck County</t>
  </si>
  <si>
    <t>Currituck County A.B.C. Board</t>
  </si>
  <si>
    <t>Dare County</t>
  </si>
  <si>
    <t>Dare County Tourism Board</t>
  </si>
  <si>
    <t>Dare County A.B.C. Board</t>
  </si>
  <si>
    <t>Nags Head, Town Of</t>
  </si>
  <si>
    <t>Kill Devil Hills, Town Of</t>
  </si>
  <si>
    <t>Manteo, Town Of</t>
  </si>
  <si>
    <t>Southern Shores, Town Of</t>
  </si>
  <si>
    <t>Kitty Hawk, Town Of</t>
  </si>
  <si>
    <t>Duck, Town Of</t>
  </si>
  <si>
    <t>Davidson County</t>
  </si>
  <si>
    <t>Thomasville, City Of</t>
  </si>
  <si>
    <t>Thomasville Housing Authority</t>
  </si>
  <si>
    <t>Lexington A.B.C. Board</t>
  </si>
  <si>
    <t>Denton, Town Of</t>
  </si>
  <si>
    <t>Lexington, City Of</t>
  </si>
  <si>
    <t>TOWN OF MIDWAY</t>
  </si>
  <si>
    <t>Davie County</t>
  </si>
  <si>
    <t>Davie Soil &amp; Water Conservation District</t>
  </si>
  <si>
    <t>Mocksville, Town Of</t>
  </si>
  <si>
    <t>Bermuda Run, Town Of</t>
  </si>
  <si>
    <t>Cooleemee A.B.C. Board</t>
  </si>
  <si>
    <t>Cooleemee, Town Of</t>
  </si>
  <si>
    <t>Duplin County</t>
  </si>
  <si>
    <t>Beulaville, Town Of</t>
  </si>
  <si>
    <t>Kenansville, Town Of</t>
  </si>
  <si>
    <t>Kenansville A.B.C. Board</t>
  </si>
  <si>
    <t>Warsaw, Town Of</t>
  </si>
  <si>
    <t>Warsaw A.B.C. Board</t>
  </si>
  <si>
    <t>Faison, Town Of</t>
  </si>
  <si>
    <t>Wallace, Town Of</t>
  </si>
  <si>
    <t>Wallace A.B.C. Board</t>
  </si>
  <si>
    <t>Rose Hill, Town Of</t>
  </si>
  <si>
    <t>Calypso, Town Of</t>
  </si>
  <si>
    <t>Teachey, Town Of</t>
  </si>
  <si>
    <t>Magnolia, Town Of</t>
  </si>
  <si>
    <t>Durham County</t>
  </si>
  <si>
    <t>Parkwood Fire Department</t>
  </si>
  <si>
    <t>Durham County A.B.C. Board</t>
  </si>
  <si>
    <t>Alliance Behavioral Healthcare</t>
  </si>
  <si>
    <t>Durham, City Of</t>
  </si>
  <si>
    <t>Durham Convention and Visitors Bureau</t>
  </si>
  <si>
    <t>Triangle J Council Of Governments</t>
  </si>
  <si>
    <t>Edgecombe County</t>
  </si>
  <si>
    <t>Edgecombe County A.B.C. Board</t>
  </si>
  <si>
    <t>Edgecombe-Nash Memorial Library</t>
  </si>
  <si>
    <t>Tarboro, Town Of</t>
  </si>
  <si>
    <t>Tarboro Redevelopment Commission</t>
  </si>
  <si>
    <t>Rocky Mount, City Of</t>
  </si>
  <si>
    <t>Rocky Mount-Wilson Airport Authority</t>
  </si>
  <si>
    <t>Pinetops, Town Of</t>
  </si>
  <si>
    <t>Rocky Mount Housing Authority</t>
  </si>
  <si>
    <t>Macclesfield, Town Of</t>
  </si>
  <si>
    <t>Princeville, Town Of</t>
  </si>
  <si>
    <t>Forsyth County</t>
  </si>
  <si>
    <t>Airport Commission Of Forsyth County</t>
  </si>
  <si>
    <t>Piedmont Triad Regional Council</t>
  </si>
  <si>
    <t>Winston-Salem, City Of</t>
  </si>
  <si>
    <t>Winston-Salem Housing Authority</t>
  </si>
  <si>
    <t>Kernersville, Town Of</t>
  </si>
  <si>
    <t>Rural Hall, Town Of</t>
  </si>
  <si>
    <t>Clemmons,  Village Of</t>
  </si>
  <si>
    <t>Clemmons Fire Department</t>
  </si>
  <si>
    <t>Lewisville, Town Of</t>
  </si>
  <si>
    <t>Walkertown, Town Of</t>
  </si>
  <si>
    <t>Tobaccoville,  Village Of</t>
  </si>
  <si>
    <t>Franklin County</t>
  </si>
  <si>
    <t>Franklinton, Town Of</t>
  </si>
  <si>
    <t>Franklinton A.B.C. Board</t>
  </si>
  <si>
    <t>Louisburg, Town Of</t>
  </si>
  <si>
    <t>Louisburg A.B.C. Board</t>
  </si>
  <si>
    <t>Bunn, Town Of</t>
  </si>
  <si>
    <t>Bunn A.B.C. Board</t>
  </si>
  <si>
    <t>Youngsville, Town Of</t>
  </si>
  <si>
    <t>Gaston County</t>
  </si>
  <si>
    <t>Stanley, Town Of</t>
  </si>
  <si>
    <t>Mcadenville, Town Of</t>
  </si>
  <si>
    <t>Gastonia, City Of</t>
  </si>
  <si>
    <t>Gastonia A.B.C. Board</t>
  </si>
  <si>
    <t>Gaston Co. Economic Dev. Commission</t>
  </si>
  <si>
    <t>Belmont, City Of</t>
  </si>
  <si>
    <t>Belmont Housing Authority</t>
  </si>
  <si>
    <t>Cramerton, Town Of</t>
  </si>
  <si>
    <t>Cherryville, City Of</t>
  </si>
  <si>
    <t>Cherryville A.B.C. Board</t>
  </si>
  <si>
    <t>Dallas, Town Of</t>
  </si>
  <si>
    <t>Lowell, Town Of</t>
  </si>
  <si>
    <t>Bessemer City, City Of</t>
  </si>
  <si>
    <t>BESSEMER CITY A.B.C. BOARD</t>
  </si>
  <si>
    <t>Ranlo, Town Of</t>
  </si>
  <si>
    <t>Mt. Holly, City Of</t>
  </si>
  <si>
    <t>Gates County</t>
  </si>
  <si>
    <t>Gates County A.B.C. Board</t>
  </si>
  <si>
    <t>Graham County</t>
  </si>
  <si>
    <t>Graham County Health Department</t>
  </si>
  <si>
    <t>Robbinsville, Town of</t>
  </si>
  <si>
    <t>Granville County</t>
  </si>
  <si>
    <t>Granville County A.B.C. Board</t>
  </si>
  <si>
    <t>Granville County Hospital</t>
  </si>
  <si>
    <t>Granville-Vance Health District</t>
  </si>
  <si>
    <t>South Granville Water and Sewer Authority</t>
  </si>
  <si>
    <t>Oxford, City Of</t>
  </si>
  <si>
    <t>Oxford Housing Authority</t>
  </si>
  <si>
    <t>Stovall, Town Of</t>
  </si>
  <si>
    <t>Creedmoor, City Of</t>
  </si>
  <si>
    <t>Butner, Town Of</t>
  </si>
  <si>
    <t>Greene County</t>
  </si>
  <si>
    <t>Maury Sanitary Land District</t>
  </si>
  <si>
    <t>Greene County A.B.C. Board</t>
  </si>
  <si>
    <t>Neuse Regional Library - Greene County</t>
  </si>
  <si>
    <t>Hookerton, Town Of</t>
  </si>
  <si>
    <t>Snow Hill, Town Of</t>
  </si>
  <si>
    <t>Walstonburg, Town Of</t>
  </si>
  <si>
    <t>Guilford, County Of</t>
  </si>
  <si>
    <t>Guil-Rand Fire Department</t>
  </si>
  <si>
    <t>Pinecroft-Sedgefield Fire District</t>
  </si>
  <si>
    <t>Alamance Community Fire Dist.,Inc</t>
  </si>
  <si>
    <t>Greensboro, City Of</t>
  </si>
  <si>
    <t>Piedmont Triad Regional Water Authority</t>
  </si>
  <si>
    <t>Greensboro A.B.C. Board</t>
  </si>
  <si>
    <t>Guilford Fire District</t>
  </si>
  <si>
    <t>High Point, City Of</t>
  </si>
  <si>
    <t>High Point A.B.C. Board</t>
  </si>
  <si>
    <t>Jamestown, Town Of</t>
  </si>
  <si>
    <t>Gibsonville, Town Of</t>
  </si>
  <si>
    <t>Gibsonville A.B.C. Board</t>
  </si>
  <si>
    <t>Oak Ridge, Town Of</t>
  </si>
  <si>
    <t>Colfax Volunteer Fire Department</t>
  </si>
  <si>
    <t>Summerfield, Town Of</t>
  </si>
  <si>
    <t>Summerfield Fire District</t>
  </si>
  <si>
    <t>Halifax County</t>
  </si>
  <si>
    <t>Halifax County A.B.C. Board</t>
  </si>
  <si>
    <t>Halifax County Tourism Development Authority</t>
  </si>
  <si>
    <t>Roanoke Rapids Sanitary District</t>
  </si>
  <si>
    <t>Enfield, Town Of</t>
  </si>
  <si>
    <t>Roanoke Rapids, City Of</t>
  </si>
  <si>
    <t>Weldon, Town Of</t>
  </si>
  <si>
    <t>Scotland Neck, Town Of</t>
  </si>
  <si>
    <t>Hobgood, Town Of</t>
  </si>
  <si>
    <t>Littleton, Town Of</t>
  </si>
  <si>
    <t>Harnett County</t>
  </si>
  <si>
    <t>Dunn, Town Of</t>
  </si>
  <si>
    <t>Dunn Housing Authority</t>
  </si>
  <si>
    <t>Dunn A.B.C. Board</t>
  </si>
  <si>
    <t>Lillington, Town Of</t>
  </si>
  <si>
    <t>Erwin, Town Of</t>
  </si>
  <si>
    <t>Coats, Town Of</t>
  </si>
  <si>
    <t>Angier A.B.C. Board</t>
  </si>
  <si>
    <t>Angier, Town Of</t>
  </si>
  <si>
    <t>Haywood County</t>
  </si>
  <si>
    <t>Haywood Medical Center</t>
  </si>
  <si>
    <t>Junaluska Sanitary District</t>
  </si>
  <si>
    <t>Waynesville, Town Of</t>
  </si>
  <si>
    <t>Waynesville A.B.C. Board</t>
  </si>
  <si>
    <t>Maggie Valley, Town Of</t>
  </si>
  <si>
    <t>Maggie Valley A.B.C. Board</t>
  </si>
  <si>
    <t>Maggie Valley Sanitary District</t>
  </si>
  <si>
    <t>Canton, Town Of</t>
  </si>
  <si>
    <t>Canton A.B.C. Board</t>
  </si>
  <si>
    <t>Henderson County</t>
  </si>
  <si>
    <t>Hendersonville, City Of</t>
  </si>
  <si>
    <t>Hendersonville Water Commission</t>
  </si>
  <si>
    <t>Hendersonville A.B.C. Board</t>
  </si>
  <si>
    <t>Laurel Park, Town Of</t>
  </si>
  <si>
    <t>Laurel Park A.B.C. Board</t>
  </si>
  <si>
    <t>Flat Rock, Village Of</t>
  </si>
  <si>
    <t>Blue Ridge Fire Department</t>
  </si>
  <si>
    <t>Fletcher, Town Of</t>
  </si>
  <si>
    <t>Fletcher A.B.C. Board</t>
  </si>
  <si>
    <t>Mills River, Town Of</t>
  </si>
  <si>
    <t>Hertford County</t>
  </si>
  <si>
    <t>Hertford County A.B.C. Board</t>
  </si>
  <si>
    <t>Hertford County Public Health Authority</t>
  </si>
  <si>
    <t>Ahoskie, Town Of</t>
  </si>
  <si>
    <t>Murfreesboro, Town Of</t>
  </si>
  <si>
    <t>Winton, Town Of</t>
  </si>
  <si>
    <t>Cofield, Town Of</t>
  </si>
  <si>
    <t>Hoke County</t>
  </si>
  <si>
    <t>Hoke County A.B.C. Board</t>
  </si>
  <si>
    <t>Raeford, Town Of</t>
  </si>
  <si>
    <t>Hyde County</t>
  </si>
  <si>
    <t>Hyde County A.B.C. Board</t>
  </si>
  <si>
    <t>Ocracoke Sanitary District</t>
  </si>
  <si>
    <t>Iredell County</t>
  </si>
  <si>
    <t>Greater Statesville Development Co</t>
  </si>
  <si>
    <t>Statesville, City Of</t>
  </si>
  <si>
    <t>Statesville A.B.C. Board</t>
  </si>
  <si>
    <t>Mooresville, City Of</t>
  </si>
  <si>
    <t>Mooresville Housing Authority</t>
  </si>
  <si>
    <t>Mooresville A.B.C. Board</t>
  </si>
  <si>
    <t>Troutman, Town Of</t>
  </si>
  <si>
    <t>MI Connection Communications System</t>
  </si>
  <si>
    <t>Jackson County</t>
  </si>
  <si>
    <t>Tuckaseigee Water And Sewer Auth</t>
  </si>
  <si>
    <t>Fontana Regional Library</t>
  </si>
  <si>
    <t>Southwestern Plan. &amp; Econ. Dev. Co</t>
  </si>
  <si>
    <t>Smoky Mountain Mental Health Center</t>
  </si>
  <si>
    <t>Sylva, Town Of</t>
  </si>
  <si>
    <t>Johnston County</t>
  </si>
  <si>
    <t>Benson Housing Authority</t>
  </si>
  <si>
    <t>Johnston County A.B.C. Board</t>
  </si>
  <si>
    <t>Johnston County Public Library</t>
  </si>
  <si>
    <t>Archer Lodge, Town Of</t>
  </si>
  <si>
    <t>Smithfield, Town Of</t>
  </si>
  <si>
    <t>Smithfield Housing Authority</t>
  </si>
  <si>
    <t>Selma, Town Of</t>
  </si>
  <si>
    <t>Micro, Town of</t>
  </si>
  <si>
    <t>Selma Housing Authority</t>
  </si>
  <si>
    <t>Clayton, Town Of</t>
  </si>
  <si>
    <t>Benson, Town Of</t>
  </si>
  <si>
    <t>Four Oaks, Town Of</t>
  </si>
  <si>
    <t>Pine Level, Town Of</t>
  </si>
  <si>
    <t>Kenly, Town Of</t>
  </si>
  <si>
    <t>Princeton, Town Of</t>
  </si>
  <si>
    <t>Wilson's Mills, Town Of</t>
  </si>
  <si>
    <t>Jones County</t>
  </si>
  <si>
    <t>Jones County A.B.C. Board</t>
  </si>
  <si>
    <t>Neuse Regional Library - Jones County</t>
  </si>
  <si>
    <t>Pollocksville, Town Of</t>
  </si>
  <si>
    <t>Maysville, Town Of</t>
  </si>
  <si>
    <t>Lee County</t>
  </si>
  <si>
    <t>Sanford, City Of</t>
  </si>
  <si>
    <t>Sanford A.B.C. Board</t>
  </si>
  <si>
    <t>Broadway, Town Of</t>
  </si>
  <si>
    <t>Lenoir County</t>
  </si>
  <si>
    <t>Lenoir County A.B.C. Board</t>
  </si>
  <si>
    <t>Neuse Regional Library</t>
  </si>
  <si>
    <t>Kinston, City Of</t>
  </si>
  <si>
    <t>Global Transpark Development Comm</t>
  </si>
  <si>
    <t>Kinston Housing Authority</t>
  </si>
  <si>
    <t>Kinston-Lenoir County Library</t>
  </si>
  <si>
    <t>Pink Hill, Town Of</t>
  </si>
  <si>
    <t>Lagrange, Town Of</t>
  </si>
  <si>
    <t>Lincoln County</t>
  </si>
  <si>
    <t>Lincoln County A.B.C. Board</t>
  </si>
  <si>
    <t>Lincolnton, City Of</t>
  </si>
  <si>
    <t>Lincolnton Housing Authority</t>
  </si>
  <si>
    <t>Lincolnton A.B.C. Board</t>
  </si>
  <si>
    <t>Macon County</t>
  </si>
  <si>
    <t>Franklin, Town Of</t>
  </si>
  <si>
    <t>Highlands A.B.C. Board</t>
  </si>
  <si>
    <t>Highlands, Town Of</t>
  </si>
  <si>
    <t>Madison County</t>
  </si>
  <si>
    <t>Mars Hill, Town Of</t>
  </si>
  <si>
    <t>Marshall, Town Of</t>
  </si>
  <si>
    <t>Hot Springs Housing Authority</t>
  </si>
  <si>
    <t>Martin County</t>
  </si>
  <si>
    <t>Martin County Travel &amp; Tourism Authority</t>
  </si>
  <si>
    <t>Martin County A B C Board</t>
  </si>
  <si>
    <t>Williamston, City Of</t>
  </si>
  <si>
    <t>Williamston Housing Authority</t>
  </si>
  <si>
    <t>Oak City, Town Of</t>
  </si>
  <si>
    <t>Hamilton, Town Of</t>
  </si>
  <si>
    <t>Jamesville, Town Of</t>
  </si>
  <si>
    <t>Robersonville, Town Of</t>
  </si>
  <si>
    <t>Robersonville Housing Authority</t>
  </si>
  <si>
    <t>Pleasant Garden Fire Department</t>
  </si>
  <si>
    <t>Marion, Town Of</t>
  </si>
  <si>
    <t>Marion A.B.C. Board</t>
  </si>
  <si>
    <t>Old Fort, Town Of</t>
  </si>
  <si>
    <t>Mecklenburg County</t>
  </si>
  <si>
    <t>Charlott Housing Authority</t>
  </si>
  <si>
    <t>Mecklenburg County A.B.C. Board</t>
  </si>
  <si>
    <t>Charlotte-Mecklenburg Public Libra</t>
  </si>
  <si>
    <t>Mecklenburg County Ems Agency</t>
  </si>
  <si>
    <t>Centralina Council Of Governments</t>
  </si>
  <si>
    <t>Charlotte, City Of</t>
  </si>
  <si>
    <t>Charlotte Fire Ret Sys Board of Trust</t>
  </si>
  <si>
    <t>Pineville, Town Of</t>
  </si>
  <si>
    <t>Mint Hill, Town Of</t>
  </si>
  <si>
    <t>Huntersville, Town Of</t>
  </si>
  <si>
    <t>Cornelius, Town Of</t>
  </si>
  <si>
    <t>Stallings, Town Of</t>
  </si>
  <si>
    <t>Matthews, Town Of</t>
  </si>
  <si>
    <t>Davidson, Town Of</t>
  </si>
  <si>
    <t>Mitchell County</t>
  </si>
  <si>
    <t>Mitchell Soil &amp; Water Conserv. District</t>
  </si>
  <si>
    <t>Spruce Pine, Town Of</t>
  </si>
  <si>
    <t>Bakersville, Town Of</t>
  </si>
  <si>
    <t>Montgomery County</t>
  </si>
  <si>
    <t>Montgomery-Municipal A.B.C. Board</t>
  </si>
  <si>
    <t>Star, Town Of</t>
  </si>
  <si>
    <t>Troy, Town Of</t>
  </si>
  <si>
    <t>Biscoe, Town Of</t>
  </si>
  <si>
    <t>Candor, Town Of</t>
  </si>
  <si>
    <t>Mount Gilead, Town Of</t>
  </si>
  <si>
    <t>Moore County</t>
  </si>
  <si>
    <t>Taylortown, Town Of</t>
  </si>
  <si>
    <t>Moore County A.B.C. Board</t>
  </si>
  <si>
    <t>Moore County Tourism Develop. Auth.</t>
  </si>
  <si>
    <t>Moore County Airport Authority</t>
  </si>
  <si>
    <t>Southern Pines, Town Of</t>
  </si>
  <si>
    <t>Cameron, Town Of</t>
  </si>
  <si>
    <t>Vass, Town Of</t>
  </si>
  <si>
    <t>Aberdeen, Town Of</t>
  </si>
  <si>
    <t>Robbins, Town Of</t>
  </si>
  <si>
    <t>Pinehurst, Village Of</t>
  </si>
  <si>
    <t>Pinebluff, Town Of</t>
  </si>
  <si>
    <t>Whispering Pines, Village Of</t>
  </si>
  <si>
    <t>Foxfire Village</t>
  </si>
  <si>
    <t>Carthage, Town Of</t>
  </si>
  <si>
    <t>Nash County</t>
  </si>
  <si>
    <t>Nash County A.B.C. Board</t>
  </si>
  <si>
    <t>Braswell Memorial Library</t>
  </si>
  <si>
    <t>Spring Hope, Town Of</t>
  </si>
  <si>
    <t>Nashville, Town Of</t>
  </si>
  <si>
    <t>Middlesex, Town Of</t>
  </si>
  <si>
    <t>Whitakers, Town Of</t>
  </si>
  <si>
    <t>Bailey, Town Of</t>
  </si>
  <si>
    <t>Sharpsburg, Town of</t>
  </si>
  <si>
    <t>New Hanover County</t>
  </si>
  <si>
    <t>New Hanover Airport Authority</t>
  </si>
  <si>
    <t>Wilmington Housing Authority</t>
  </si>
  <si>
    <t>New Hanover County A.B.C. Board</t>
  </si>
  <si>
    <t>Cape Fear Public Utility Authority</t>
  </si>
  <si>
    <t>Lower Cape Fear Water &amp; Sewer Auth</t>
  </si>
  <si>
    <t>Wrightsville Beach, Town Of</t>
  </si>
  <si>
    <t>Cape Fear Public Transportation Authority</t>
  </si>
  <si>
    <t>Coastal Care</t>
  </si>
  <si>
    <t>Carolina Beach, Town Of</t>
  </si>
  <si>
    <t>Wilmington, City Of</t>
  </si>
  <si>
    <t>Kure Beach, Town Of</t>
  </si>
  <si>
    <t>Northampton County</t>
  </si>
  <si>
    <t>Northampton County A.B.C. Board</t>
  </si>
  <si>
    <t>Rich Square, Town Of</t>
  </si>
  <si>
    <t>Choanoke Public Transportation Authority</t>
  </si>
  <si>
    <t>Woodland, Town Of</t>
  </si>
  <si>
    <t>Garysburg, Town Of</t>
  </si>
  <si>
    <t>Conway, Town Of</t>
  </si>
  <si>
    <t>Gaston, Town Of</t>
  </si>
  <si>
    <t>Jackson, Town Of</t>
  </si>
  <si>
    <t>Severn, Town Of</t>
  </si>
  <si>
    <t>Seaboard, Town Of</t>
  </si>
  <si>
    <t>Onslow County</t>
  </si>
  <si>
    <t>Onslow County A.B.C. Board</t>
  </si>
  <si>
    <t>Onslow Water &amp; Sewage Authority</t>
  </si>
  <si>
    <t>Jacksonville, City Of</t>
  </si>
  <si>
    <t>Swansboro, Town Of</t>
  </si>
  <si>
    <t>Holly Ridge, Town Of</t>
  </si>
  <si>
    <t>Holly Ridge Housing Authority</t>
  </si>
  <si>
    <t>Richlands, Town Of</t>
  </si>
  <si>
    <t>North Topsail Beach, Town Of</t>
  </si>
  <si>
    <t>Orange County</t>
  </si>
  <si>
    <t>Orange County A.B.C. Board</t>
  </si>
  <si>
    <t>Orange Water &amp; Sewer Authority</t>
  </si>
  <si>
    <t>Chapel Hill, Town Of</t>
  </si>
  <si>
    <t>Carrboro, Town Of</t>
  </si>
  <si>
    <t>Hillsborough, Town Of</t>
  </si>
  <si>
    <t>Pamlico County</t>
  </si>
  <si>
    <t>Bayboro, Town Of</t>
  </si>
  <si>
    <t>Oriental, Town Of</t>
  </si>
  <si>
    <t>Bay River Metro Sewerage District</t>
  </si>
  <si>
    <t>Pasquotank County</t>
  </si>
  <si>
    <t>Pasquotank-Camden Ambulance Service</t>
  </si>
  <si>
    <t>Pasquotank County A.B.C Board</t>
  </si>
  <si>
    <t>East Albemarle Regional Library</t>
  </si>
  <si>
    <t>Albemarle District Jail Commission</t>
  </si>
  <si>
    <t>Albemarle Hospital Authority</t>
  </si>
  <si>
    <t>Elizabeth City</t>
  </si>
  <si>
    <t>Elizabeth-Pasquotank Co Airport Au</t>
  </si>
  <si>
    <t>Elizabeth City - Pasquotank Co. Tourism Dev. Auth.</t>
  </si>
  <si>
    <t>Pasquotank-Camden Library</t>
  </si>
  <si>
    <t>Elizabeth-Pasquotank Co Ind Dev Co</t>
  </si>
  <si>
    <t>Pender County</t>
  </si>
  <si>
    <t>Pender County A.B.C. Board</t>
  </si>
  <si>
    <t>Burgaw, Town Of</t>
  </si>
  <si>
    <t>Topsail Beach, Town Of</t>
  </si>
  <si>
    <t>Surf City</t>
  </si>
  <si>
    <t>Perquimans County</t>
  </si>
  <si>
    <t>Hertford, Town Of</t>
  </si>
  <si>
    <t>Hertford Housing Authority</t>
  </si>
  <si>
    <t>Hertford A.B.C. Board</t>
  </si>
  <si>
    <t>Winfall, Town Of</t>
  </si>
  <si>
    <t>Person County</t>
  </si>
  <si>
    <t>Person County A.B.C. Board</t>
  </si>
  <si>
    <t>Roxboro, City Of</t>
  </si>
  <si>
    <t>Pitt County</t>
  </si>
  <si>
    <t>Pitt-Greenville Convention &amp; Visitors Authority</t>
  </si>
  <si>
    <t>Pitt County A.B.C. Board</t>
  </si>
  <si>
    <t>Sheppard Memorial Library</t>
  </si>
  <si>
    <t>Greenville, City Of</t>
  </si>
  <si>
    <t>Greenville Utilities Commission</t>
  </si>
  <si>
    <t>Greenville Housing Authority</t>
  </si>
  <si>
    <t>Farmville, City Of</t>
  </si>
  <si>
    <t>Farmville Housing Authority</t>
  </si>
  <si>
    <t>Grifton, Town Of</t>
  </si>
  <si>
    <t>Bethel, Town Of</t>
  </si>
  <si>
    <t>Winterville, Town Of</t>
  </si>
  <si>
    <t>Ayden, Town Of</t>
  </si>
  <si>
    <t>Ayden Housing Authority</t>
  </si>
  <si>
    <t>Grimesland, Town Of</t>
  </si>
  <si>
    <t>Simpson, Village Of</t>
  </si>
  <si>
    <t>Fountain, Town of</t>
  </si>
  <si>
    <t>Polk County</t>
  </si>
  <si>
    <t>Tryon, Town Of</t>
  </si>
  <si>
    <t>Columbus, Town Of</t>
  </si>
  <si>
    <t>Saluda, Town Of</t>
  </si>
  <si>
    <t>Randolph County</t>
  </si>
  <si>
    <t>Asheboro A.B.C. Board</t>
  </si>
  <si>
    <t>Asheboro, City Of</t>
  </si>
  <si>
    <t>Asheboro Housing Authority</t>
  </si>
  <si>
    <t>Randleman, City Of</t>
  </si>
  <si>
    <t>Randleman Housing Authority</t>
  </si>
  <si>
    <t>Randleman A.B.C. Board</t>
  </si>
  <si>
    <t>Liberty, Town Of</t>
  </si>
  <si>
    <t>Liberty A.B.C. Board</t>
  </si>
  <si>
    <t>Ramseur, Town Of</t>
  </si>
  <si>
    <t>Archdale, City Of</t>
  </si>
  <si>
    <t>Trinity, City Of</t>
  </si>
  <si>
    <t>Richmond County</t>
  </si>
  <si>
    <t>Sandhill Regional Library</t>
  </si>
  <si>
    <t>Rockingham, City Of</t>
  </si>
  <si>
    <t>Rockingham Housing Authority</t>
  </si>
  <si>
    <t>Hamlet A.B.C. Board</t>
  </si>
  <si>
    <t>Hamlet, City Of</t>
  </si>
  <si>
    <t>Rockingham A.B.C. Board</t>
  </si>
  <si>
    <t>Ellerbe, Town Of</t>
  </si>
  <si>
    <t>Robeson County</t>
  </si>
  <si>
    <t>Lumber River Council Of Governments</t>
  </si>
  <si>
    <t>Robeson County Housing Authority</t>
  </si>
  <si>
    <t>Robeson County Public Library</t>
  </si>
  <si>
    <t>Lumberton, City Of</t>
  </si>
  <si>
    <t>Lumberton A.B.C. Board</t>
  </si>
  <si>
    <t>Lumberton Airport Commission</t>
  </si>
  <si>
    <t>Fairmont, Town Of</t>
  </si>
  <si>
    <t>Fairmont Housing Authority</t>
  </si>
  <si>
    <t>St. Pauls, Town Of</t>
  </si>
  <si>
    <t>Saint Paul's A.B.C. Board</t>
  </si>
  <si>
    <t>Maxton, Town Of</t>
  </si>
  <si>
    <t>Maxton A.B.C. Board</t>
  </si>
  <si>
    <t>Pembroke, Town Of</t>
  </si>
  <si>
    <t>Pembroke Housing Authority</t>
  </si>
  <si>
    <t>Rowland, Town Of</t>
  </si>
  <si>
    <t>Red Springs, Town of</t>
  </si>
  <si>
    <t>Red Springs A.B.C. Board</t>
  </si>
  <si>
    <t>Rockingham County</t>
  </si>
  <si>
    <t>Reidsville, Town Of</t>
  </si>
  <si>
    <t>New Reidsville Housing Authority</t>
  </si>
  <si>
    <t>Reidsville A.B.C. Board</t>
  </si>
  <si>
    <t>Mayodan, Town Of</t>
  </si>
  <si>
    <t>Stoneville, Town Of</t>
  </si>
  <si>
    <t>Madison, Town Of</t>
  </si>
  <si>
    <t>Madison A.B.C. Board</t>
  </si>
  <si>
    <t>Madison-Mayodan Recreation Comm</t>
  </si>
  <si>
    <t>Eden, City Of</t>
  </si>
  <si>
    <t>Eden A.B.C. Board</t>
  </si>
  <si>
    <t>Rowan County</t>
  </si>
  <si>
    <t>Rowan County Housing Authority</t>
  </si>
  <si>
    <t>Rowan County A.B.C. Board</t>
  </si>
  <si>
    <t>Rowan Soil and Water Conservation. Dist</t>
  </si>
  <si>
    <t>Salisbury, City Of</t>
  </si>
  <si>
    <t>Salisbury Housing Authority</t>
  </si>
  <si>
    <t>East Spencer, Town Of</t>
  </si>
  <si>
    <t>East Spencer Housing Authority</t>
  </si>
  <si>
    <t>Spencer, Town Of</t>
  </si>
  <si>
    <t>China Grove, Town Of</t>
  </si>
  <si>
    <t>Landis, Town Of</t>
  </si>
  <si>
    <t>Granite Quarry, Town Of</t>
  </si>
  <si>
    <t>Rockwell, Town Of</t>
  </si>
  <si>
    <t>Faith, Town Of</t>
  </si>
  <si>
    <t>Cleveland, Town Of</t>
  </si>
  <si>
    <t>Rutherford County</t>
  </si>
  <si>
    <t>Broad River Water Authority</t>
  </si>
  <si>
    <t>Rutherford-Polk-Mc Dowell D.H.D</t>
  </si>
  <si>
    <t>Forest City A.B.C. Board</t>
  </si>
  <si>
    <t>Isothermal Planning &amp; Develop Comm</t>
  </si>
  <si>
    <t>Forest City</t>
  </si>
  <si>
    <t>Forest City Housing Authority</t>
  </si>
  <si>
    <t>Spindale, Town Of</t>
  </si>
  <si>
    <t>Lake Lure, Town Of</t>
  </si>
  <si>
    <t>Rutherfordton, Town Of</t>
  </si>
  <si>
    <t>Rutherfordton A.B.C. Board</t>
  </si>
  <si>
    <t>Ellenboro, Town Of</t>
  </si>
  <si>
    <t>Sampson County</t>
  </si>
  <si>
    <t>J.C. Holliday Memorial Library</t>
  </si>
  <si>
    <t>Clinton, City Of</t>
  </si>
  <si>
    <t>Clinton A.B.C. Board</t>
  </si>
  <si>
    <t>Salemburg, Town Of</t>
  </si>
  <si>
    <t>Newton Grove, Town Of</t>
  </si>
  <si>
    <t>Roseboro A.B.C. Board</t>
  </si>
  <si>
    <t>Garland, Town Of</t>
  </si>
  <si>
    <t>Turkey, Town Of</t>
  </si>
  <si>
    <t>Roseboro, Town Of</t>
  </si>
  <si>
    <t>Autryville, Town Of</t>
  </si>
  <si>
    <t>Scotland County</t>
  </si>
  <si>
    <t>Scotland County A.B.C. Board</t>
  </si>
  <si>
    <t>Laurinburg-Maxton Airport Commission</t>
  </si>
  <si>
    <t>Laurinburg, City Of</t>
  </si>
  <si>
    <t>Laurenburg Housing Authority</t>
  </si>
  <si>
    <t>Wagram, Town Of</t>
  </si>
  <si>
    <t>Gibson, Town Of</t>
  </si>
  <si>
    <t>Stanly County</t>
  </si>
  <si>
    <t>Albemarle, City Of</t>
  </si>
  <si>
    <t>Albemarle A.B.C. Board</t>
  </si>
  <si>
    <t>Norwood, Town Of</t>
  </si>
  <si>
    <t>Norwood A.B.C. Board</t>
  </si>
  <si>
    <t>Locust, City Of</t>
  </si>
  <si>
    <t>Oakboro, Town Of</t>
  </si>
  <si>
    <t>Badin, Town Of</t>
  </si>
  <si>
    <t>Stanfield, Town Of</t>
  </si>
  <si>
    <t>Stokes County</t>
  </si>
  <si>
    <t>Walnut Cove, Town Of</t>
  </si>
  <si>
    <t>Walnut Cove A.B.C. Board</t>
  </si>
  <si>
    <t>King, Town Of</t>
  </si>
  <si>
    <t>Surry County</t>
  </si>
  <si>
    <t>Pilot Mountain A.B.C. Board</t>
  </si>
  <si>
    <t>Yadkin Valley Sewer Authority</t>
  </si>
  <si>
    <t>Pilot Mountain, Town Of</t>
  </si>
  <si>
    <t>Dobson, Town Of</t>
  </si>
  <si>
    <t>Dobson A.B.C. Board</t>
  </si>
  <si>
    <t>Mount Airy, Town Of</t>
  </si>
  <si>
    <t>Mt. Airy Alcoholic Board Of Control</t>
  </si>
  <si>
    <t>Elkin, Town Of</t>
  </si>
  <si>
    <t>Elkin A.B.C. Board</t>
  </si>
  <si>
    <t>Swain County</t>
  </si>
  <si>
    <t>Bryson City, Town Of</t>
  </si>
  <si>
    <t>Bryson City A.B.C. Board</t>
  </si>
  <si>
    <t>Transylvania County</t>
  </si>
  <si>
    <t>Brevard, City Of</t>
  </si>
  <si>
    <t>Brevard A.B.C. Board</t>
  </si>
  <si>
    <t>Tyrrell County</t>
  </si>
  <si>
    <t>Tyrrell County A.B.C. Board</t>
  </si>
  <si>
    <t>Columbia, Town Of</t>
  </si>
  <si>
    <t>Union County</t>
  </si>
  <si>
    <t>Monroe, City Of</t>
  </si>
  <si>
    <t>Monroe Housing Authority</t>
  </si>
  <si>
    <t>Monroe A.B.C. Board</t>
  </si>
  <si>
    <t>Marshville, Town Of</t>
  </si>
  <si>
    <t>TOWN OF MINERAL SPRINGS</t>
  </si>
  <si>
    <t>Wingate, Town Of</t>
  </si>
  <si>
    <t>Waxhaw, Town Of</t>
  </si>
  <si>
    <t>Waxhaw A.B.C. Board</t>
  </si>
  <si>
    <t>Indian Trail, Town Of</t>
  </si>
  <si>
    <t>Unionville, Town of</t>
  </si>
  <si>
    <t>Weddington, Town Of</t>
  </si>
  <si>
    <t>Marvin, Village Of</t>
  </si>
  <si>
    <t>Wesley Chapel, Village Of</t>
  </si>
  <si>
    <t>Vance County</t>
  </si>
  <si>
    <t>Vance County A.B.C. Board</t>
  </si>
  <si>
    <t>Kerr-Tar Regional Council Of Governments</t>
  </si>
  <si>
    <t>Kerr-Area Transportation Authority</t>
  </si>
  <si>
    <t>Henderson, City Of</t>
  </si>
  <si>
    <t>Wake County</t>
  </si>
  <si>
    <t>Holly Springs, Town Of</t>
  </si>
  <si>
    <t>Rolesville, Town Of</t>
  </si>
  <si>
    <t>Wake County A.B.C. Board</t>
  </si>
  <si>
    <t>Morrisville, Town Of</t>
  </si>
  <si>
    <t>Wake County Housing Authority</t>
  </si>
  <si>
    <t>Bayleaf Fire Department</t>
  </si>
  <si>
    <t>Electricities Of N.C., Inc</t>
  </si>
  <si>
    <t>Raleigh, City Of</t>
  </si>
  <si>
    <t>Durham Highway Fire Protection Age</t>
  </si>
  <si>
    <t>Raleigh Housing Authority</t>
  </si>
  <si>
    <t>Raleigh-Durham Airport Authority</t>
  </si>
  <si>
    <t>Cary, Town Of</t>
  </si>
  <si>
    <t>Centennial Authority, The</t>
  </si>
  <si>
    <t>Wendell, Town Of</t>
  </si>
  <si>
    <t>Zebulon, Town Of</t>
  </si>
  <si>
    <t>Garner, Town Of</t>
  </si>
  <si>
    <t>Garner Fire Department</t>
  </si>
  <si>
    <t>Fuquay-Varina, Town Of</t>
  </si>
  <si>
    <t>Apex, Town Of</t>
  </si>
  <si>
    <t>Wake Forest, Town Of</t>
  </si>
  <si>
    <t>Knightdale, Town Of</t>
  </si>
  <si>
    <t>Warren County</t>
  </si>
  <si>
    <t>Warren County A.B.C. Board</t>
  </si>
  <si>
    <t>Norlina, Town Of</t>
  </si>
  <si>
    <t>Warrenton, Town Of</t>
  </si>
  <si>
    <t>Washington County</t>
  </si>
  <si>
    <t>Washington County A.B.C. Board</t>
  </si>
  <si>
    <t>Pettigrew Regional Library</t>
  </si>
  <si>
    <t>Plymouth, Town Of</t>
  </si>
  <si>
    <t>Plymouth Housing Authority</t>
  </si>
  <si>
    <t>Roper, Town Of</t>
  </si>
  <si>
    <t>Creswell, Town Of</t>
  </si>
  <si>
    <t>Watauga County</t>
  </si>
  <si>
    <t>Region D Council Of Governments</t>
  </si>
  <si>
    <t>Blowing Rock Tourism Development Authority</t>
  </si>
  <si>
    <t>Watauga County Tourism Develop. Auth.</t>
  </si>
  <si>
    <t>Boone, Town Of</t>
  </si>
  <si>
    <t>Blowing Rock, Town Of</t>
  </si>
  <si>
    <t>Blowing Rock A.B.C. Board</t>
  </si>
  <si>
    <t>Seven Devils, Town Of</t>
  </si>
  <si>
    <t>Wayne County</t>
  </si>
  <si>
    <t>Fork Township Sanitary District</t>
  </si>
  <si>
    <t>Eastern Carolina Reg. Housing Auth</t>
  </si>
  <si>
    <t>Wayne County A.B.C. Board</t>
  </si>
  <si>
    <t>Southern Wayne Sanitary District</t>
  </si>
  <si>
    <t>Eastern Wayne Sanitary District</t>
  </si>
  <si>
    <t>Goldsboro, City Of</t>
  </si>
  <si>
    <t>Mount Olive, Town Of</t>
  </si>
  <si>
    <t>Mount Olive Housing Authority</t>
  </si>
  <si>
    <t>Fremont, Town Of</t>
  </si>
  <si>
    <t>Pikeville, Town Of</t>
  </si>
  <si>
    <t>Walnut Creek, Village Of</t>
  </si>
  <si>
    <t>Wilkes County</t>
  </si>
  <si>
    <t>Appalachian Regional Library</t>
  </si>
  <si>
    <t>North Wilkesboro, Town Of</t>
  </si>
  <si>
    <t>North Wilkesboro A.B.C. Board</t>
  </si>
  <si>
    <t>Wilkesboro, Town Of</t>
  </si>
  <si>
    <t>Wilkesboro A.B.C. Board</t>
  </si>
  <si>
    <t>Wilson County</t>
  </si>
  <si>
    <t>Wilson County Tourism Develop. Authority</t>
  </si>
  <si>
    <t>Wilson County A.B.C. Board</t>
  </si>
  <si>
    <t>Wilson, City Of</t>
  </si>
  <si>
    <t>Wilson Economic Development Council</t>
  </si>
  <si>
    <t>City of Wilson Cemetery Commission</t>
  </si>
  <si>
    <t>Stantonsburg, Town Of</t>
  </si>
  <si>
    <t>Black Creek, Town Of</t>
  </si>
  <si>
    <t>Lucama, Town Of</t>
  </si>
  <si>
    <t>Elm City, Town Of</t>
  </si>
  <si>
    <t>Yadkin County</t>
  </si>
  <si>
    <t>Yadkinville, Town Of</t>
  </si>
  <si>
    <t>Jonesville, Town Of</t>
  </si>
  <si>
    <t>East Bend, Town Of</t>
  </si>
  <si>
    <t>Boonville, Town Of</t>
  </si>
  <si>
    <t>N.C. Association Of County Comm</t>
  </si>
  <si>
    <t>N.C. League Of Municipalities</t>
  </si>
  <si>
    <t>Sensitivity of the net pension liability (asset) to changes in the discount rate</t>
  </si>
  <si>
    <t>GASB 68 Accounting Template – LGERS</t>
  </si>
  <si>
    <t>All LGERS Employers</t>
  </si>
  <si>
    <t>Choose Your Agency:</t>
  </si>
  <si>
    <t>Agency Number:</t>
  </si>
  <si>
    <t>Notes</t>
  </si>
  <si>
    <t>(a)</t>
  </si>
  <si>
    <t>At the beginning of the period in which the provisions of Statement 68 are adopted, there may be circumstances in which it is not practical for a government to determine the amounts of all applicable deferred inflows of resources and deferred outflows of resources related to pensions. In such circumstances, the government should recognize a beginning deferred outflow of resources only for its pension contributions, if any, made subsequent to the measurement date of the beginning net pension liability but before the start of the government’s fiscal year. Additionally, in those circumstances, no beginning balances for other deferred outflows of resources and deferred inflows of resources related to pensions should be recognized. (GASB 71, paragraph 3)</t>
  </si>
  <si>
    <t>(b1)</t>
  </si>
  <si>
    <t>Differences between expected and actual experience with regard to economic and demographic factors in the measurement of the total pension liability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</si>
  <si>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(b2)</t>
  </si>
  <si>
    <t>Experience gains represent actual experience that increases the total pension liability less than projected or decreases the total pension liability greater than projected. These amounts result in decreases in pension expense and increases in deferred inflows of resources. (GASB 68 Implementation Guide, page 142)</t>
  </si>
  <si>
    <t>(c1)</t>
  </si>
  <si>
    <t>The difference between projected and actual earnings on pension plan investments should be included in collective pension expense using a systematic and rational method over a closed five-year period, beginning in the current measurement period. The amount not included in collective pension expense should be included in collective deferred outflows of resources or deferred inflows of resources related to pensions. Collective deferred outflows of resources and deferred inflows of resources arising from differences between projected and actual pension plan investment earnings in different measurement periods should be aggregated and included as a net collective deferred outflow of resources related to pensions or a net collective deferred inflow of resources related to pensions. (GASB 68, paragraph 71b)</t>
  </si>
  <si>
    <t>(c2)</t>
  </si>
  <si>
    <t>Investment returns that are greater than projected decrease pension expense and increase deferred inflows of resources.</t>
  </si>
  <si>
    <t>(d)</t>
  </si>
  <si>
    <t>Changes of assumptions about future economic or demographic factors or of other inputs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</si>
  <si>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(e1)</t>
  </si>
  <si>
    <t>If there is a change in the employer’s proportion of the collective net pension liability since the prior measurement date, the net effect of that change on the employer’s proportionate shares of the collective net pension liability and collective deferred outflows of resources and deferred inflows of resources related to pensions, determined as of the beginning of the measurement period,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54)</t>
  </si>
  <si>
    <t>(e2)</t>
  </si>
  <si>
    <t>For contributions to the pension plan other than those to separately finance specific liabilities of an individual employer or nonemployer contributing entity to the pension plan, the difference during the measurement period between (a) the total amount of such contributions from the employer (and amounts associated with the employer from nonemployer contributing entities that are not in a special funding situation) and (b) the amount of the employer’s proportionate share of the total of such contributions from all employers and all nonemployer contributing entities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55)</t>
  </si>
  <si>
    <t>(e3)</t>
  </si>
  <si>
    <t>If the employer's actual contributions exceed its proportionate share of total contributions, the difference increases pension expense and results in a deferred outflow of resources. (GASB 68 Implementation Guide, page 164)</t>
  </si>
  <si>
    <t>(f)</t>
  </si>
  <si>
    <t>Contributions to the pension plan from the employer subsequent to the measurement date of the collective net pension liability and before the end of the employer’s reporting period should be reported as a deferred outflow of resources related to pensions. (GASB 68, paragraph 57)</t>
  </si>
  <si>
    <t>(g)</t>
  </si>
  <si>
    <t>Components of collective pension expense include—service cost, interest on the total pension liability, effect of changes in benefit terms, expected investment income, plan administrative costs, employee contributions, and expensed portions of deferred outflows/inflows of resources related to pensions. Contributions from employers or nonemployer contributing entities should not be included in pension expense. (GASB 68, paragraph 71c)</t>
  </si>
  <si>
    <t>* Amount reported as deferred outflows of resources related to pensions resulting from contributions subsequent to the measurement date will be recognized as a reduction of the net pension liability in the next fiscal year.</t>
  </si>
  <si>
    <t>AVERY COUNTY FIRE COMMISSION</t>
  </si>
  <si>
    <t>DUPLIN COUNTY TOURISM DEVELOPMENT AUTHORITY</t>
  </si>
  <si>
    <t>Note:</t>
  </si>
  <si>
    <t>FY201X refers to the fiscal year ending June 30, 201X</t>
  </si>
  <si>
    <t>Current Proportional Share</t>
  </si>
  <si>
    <t>Prior Proportional Share</t>
  </si>
  <si>
    <t>Change in Proportional Share</t>
  </si>
  <si>
    <t>ORBIT Unit Contributions to Plan in Measurement Year</t>
  </si>
  <si>
    <t>Net Pension Liability BOY</t>
  </si>
  <si>
    <t>Net Pension Liability EOY</t>
  </si>
  <si>
    <t>CURRENT YEAR</t>
  </si>
  <si>
    <t>PRIOR YEAR</t>
  </si>
  <si>
    <t>Net pension liability</t>
  </si>
  <si>
    <t>Pension expense</t>
  </si>
  <si>
    <t>In accordance with GASB 68, paragraph 33, deferred inflows and deferred outflows of resources related differences between projected and actual earnings resulting from different years should be netted in the schedule to the left.  All other categories should display deferred inflow balances separately from deferred outflow balances.</t>
  </si>
  <si>
    <t xml:space="preserve">Employer contributions subsequent to the measurement date * </t>
  </si>
  <si>
    <t>Unit's proportionate share (for footnote disclosure)</t>
  </si>
  <si>
    <t>Your fiscal year end:</t>
  </si>
  <si>
    <t>Misenheimer</t>
  </si>
  <si>
    <t>Alamance</t>
  </si>
  <si>
    <t>Bald Head Island</t>
  </si>
  <si>
    <t>Flat Rock</t>
  </si>
  <si>
    <t>Pinehurst</t>
  </si>
  <si>
    <t>Whispering Pines</t>
  </si>
  <si>
    <t>Simpson</t>
  </si>
  <si>
    <t>Marvin</t>
  </si>
  <si>
    <t>Wesley Chapel</t>
  </si>
  <si>
    <t>Walnut Creek</t>
  </si>
  <si>
    <t>Sparta</t>
  </si>
  <si>
    <t>Burnsville</t>
  </si>
  <si>
    <t>Mebane</t>
  </si>
  <si>
    <t>Haw River</t>
  </si>
  <si>
    <t>Green Level</t>
  </si>
  <si>
    <t>Taylorsville</t>
  </si>
  <si>
    <t>Wadesboro</t>
  </si>
  <si>
    <t>Lilesville</t>
  </si>
  <si>
    <t>Polkton</t>
  </si>
  <si>
    <t>Peachland</t>
  </si>
  <si>
    <t>Ansonville</t>
  </si>
  <si>
    <t>Morven</t>
  </si>
  <si>
    <t>Jefferson</t>
  </si>
  <si>
    <t>West Jefferson</t>
  </si>
  <si>
    <t>Banner Elk</t>
  </si>
  <si>
    <t>Newland</t>
  </si>
  <si>
    <t>Beech Mountain</t>
  </si>
  <si>
    <t>Elk Park</t>
  </si>
  <si>
    <t>Sugar Mountain</t>
  </si>
  <si>
    <t>Aurora</t>
  </si>
  <si>
    <t>Belhaven</t>
  </si>
  <si>
    <t>Washington Park</t>
  </si>
  <si>
    <t>Chocowinity</t>
  </si>
  <si>
    <t>Aulander</t>
  </si>
  <si>
    <t>Windsor</t>
  </si>
  <si>
    <t>Colerain</t>
  </si>
  <si>
    <t>Elizabethtown</t>
  </si>
  <si>
    <t>White Lake</t>
  </si>
  <si>
    <t>Clarkton</t>
  </si>
  <si>
    <t>Bladenboro</t>
  </si>
  <si>
    <t>Leland</t>
  </si>
  <si>
    <t>Calabash</t>
  </si>
  <si>
    <t>Holden Beach</t>
  </si>
  <si>
    <t>Belville</t>
  </si>
  <si>
    <t>Oak Island</t>
  </si>
  <si>
    <t>Carolina Shores</t>
  </si>
  <si>
    <t>Sunset Beach</t>
  </si>
  <si>
    <t>Caswell Beach</t>
  </si>
  <si>
    <t>Ocean Isle Beach</t>
  </si>
  <si>
    <t>Shallotte</t>
  </si>
  <si>
    <t>Biltmore Forest</t>
  </si>
  <si>
    <t>Weaverville</t>
  </si>
  <si>
    <t>Black Mountain</t>
  </si>
  <si>
    <t>Montreat</t>
  </si>
  <si>
    <t>Woodfin</t>
  </si>
  <si>
    <t>Valdese</t>
  </si>
  <si>
    <t>Rutherford College</t>
  </si>
  <si>
    <t>Drexel</t>
  </si>
  <si>
    <t>Glen Alpine</t>
  </si>
  <si>
    <t>Connelly Springs</t>
  </si>
  <si>
    <t>Mount Pleasant</t>
  </si>
  <si>
    <t>Kannapolis</t>
  </si>
  <si>
    <t>Midland</t>
  </si>
  <si>
    <t>Granite Falls</t>
  </si>
  <si>
    <t>Sawmills</t>
  </si>
  <si>
    <t>Hudson</t>
  </si>
  <si>
    <t>Harrisburg</t>
  </si>
  <si>
    <t>Morehead City</t>
  </si>
  <si>
    <t>Newport</t>
  </si>
  <si>
    <t>Beaufort</t>
  </si>
  <si>
    <t>Pine Knoll Shores</t>
  </si>
  <si>
    <t>Emerald Isle</t>
  </si>
  <si>
    <t>Indian Beach</t>
  </si>
  <si>
    <t>Cape Carteret</t>
  </si>
  <si>
    <t>Atlantic Beach</t>
  </si>
  <si>
    <t>Cedar Point</t>
  </si>
  <si>
    <t>Yanceyville</t>
  </si>
  <si>
    <t>Claremont</t>
  </si>
  <si>
    <t>Maiden</t>
  </si>
  <si>
    <t>Conover</t>
  </si>
  <si>
    <t>Brookford</t>
  </si>
  <si>
    <t>Newton</t>
  </si>
  <si>
    <t>Catawba</t>
  </si>
  <si>
    <t>Siler City</t>
  </si>
  <si>
    <t>Pittsboro</t>
  </si>
  <si>
    <t>Murphy</t>
  </si>
  <si>
    <t>Andrews</t>
  </si>
  <si>
    <t>Edenton</t>
  </si>
  <si>
    <t>Boiling Springs</t>
  </si>
  <si>
    <t>Lawndale</t>
  </si>
  <si>
    <t>Grover</t>
  </si>
  <si>
    <t>Brunswick</t>
  </si>
  <si>
    <t>Fair Bluff</t>
  </si>
  <si>
    <t>Chadbourn</t>
  </si>
  <si>
    <t>Tabor City</t>
  </si>
  <si>
    <t>Trent Woods</t>
  </si>
  <si>
    <t>River Bend</t>
  </si>
  <si>
    <t>Vanceboro</t>
  </si>
  <si>
    <t>Bridgeton</t>
  </si>
  <si>
    <t>Cove City</t>
  </si>
  <si>
    <t>Stedman</t>
  </si>
  <si>
    <t>Hope Mills</t>
  </si>
  <si>
    <t>Wade</t>
  </si>
  <si>
    <t>Linden</t>
  </si>
  <si>
    <t>Spring Lake</t>
  </si>
  <si>
    <t>Falcon</t>
  </si>
  <si>
    <t>Eastover</t>
  </si>
  <si>
    <t>Nags Head</t>
  </si>
  <si>
    <t>Kill Devil Hills</t>
  </si>
  <si>
    <t>Manteo</t>
  </si>
  <si>
    <t>Southern Shores</t>
  </si>
  <si>
    <t>Kitty Hawk</t>
  </si>
  <si>
    <t>Duck</t>
  </si>
  <si>
    <t>Denton</t>
  </si>
  <si>
    <t>Mocksville</t>
  </si>
  <si>
    <t>Bermuda Run</t>
  </si>
  <si>
    <t>Cooleemee</t>
  </si>
  <si>
    <t>Beulaville</t>
  </si>
  <si>
    <t>Kenansville</t>
  </si>
  <si>
    <t>Warsaw</t>
  </si>
  <si>
    <t>Faison</t>
  </si>
  <si>
    <t>Wallace</t>
  </si>
  <si>
    <t>Rose Hill</t>
  </si>
  <si>
    <t>Calypso</t>
  </si>
  <si>
    <t>Teachey</t>
  </si>
  <si>
    <t>Magnolia</t>
  </si>
  <si>
    <t>Tarboro</t>
  </si>
  <si>
    <t>Pinetops</t>
  </si>
  <si>
    <t>Macclesfield</t>
  </si>
  <si>
    <t>Princeville</t>
  </si>
  <si>
    <t>Kernersville</t>
  </si>
  <si>
    <t>Rural Hall</t>
  </si>
  <si>
    <t>Lewisville</t>
  </si>
  <si>
    <t>Walkertown</t>
  </si>
  <si>
    <t>Franklinton</t>
  </si>
  <si>
    <t>Louisburg</t>
  </si>
  <si>
    <t>Bunn</t>
  </si>
  <si>
    <t>Youngsville</t>
  </si>
  <si>
    <t>Stanley</t>
  </si>
  <si>
    <t>Mcadenville</t>
  </si>
  <si>
    <t>Cramerton</t>
  </si>
  <si>
    <t>Dallas</t>
  </si>
  <si>
    <t>Lowell</t>
  </si>
  <si>
    <t>Ranlo</t>
  </si>
  <si>
    <t>Robbinsville</t>
  </si>
  <si>
    <t>Stovall</t>
  </si>
  <si>
    <t>Butner</t>
  </si>
  <si>
    <t>Hookerton</t>
  </si>
  <si>
    <t>Snow Hill</t>
  </si>
  <si>
    <t>Walstonburg</t>
  </si>
  <si>
    <t>Jamestown</t>
  </si>
  <si>
    <t>Gibsonville</t>
  </si>
  <si>
    <t>Oak Ridge</t>
  </si>
  <si>
    <t>Summerfield</t>
  </si>
  <si>
    <t>Enfield</t>
  </si>
  <si>
    <t>Weldon</t>
  </si>
  <si>
    <t>Scotland Neck</t>
  </si>
  <si>
    <t>Hobgood</t>
  </si>
  <si>
    <t>Littleton</t>
  </si>
  <si>
    <t>Dunn</t>
  </si>
  <si>
    <t>Lillington</t>
  </si>
  <si>
    <t>Erwin</t>
  </si>
  <si>
    <t>Coats</t>
  </si>
  <si>
    <t>Angier</t>
  </si>
  <si>
    <t>Waynesville</t>
  </si>
  <si>
    <t>Maggie Valley</t>
  </si>
  <si>
    <t>Canton</t>
  </si>
  <si>
    <t>Laurel Park</t>
  </si>
  <si>
    <t>Fletcher</t>
  </si>
  <si>
    <t>Mills River</t>
  </si>
  <si>
    <t>Ahoskie</t>
  </si>
  <si>
    <t>Murfreesboro</t>
  </si>
  <si>
    <t>Winton</t>
  </si>
  <si>
    <t>Cofield</t>
  </si>
  <si>
    <t>Raeford</t>
  </si>
  <si>
    <t>Troutman</t>
  </si>
  <si>
    <t>Sylva</t>
  </si>
  <si>
    <t>Archer Lodge</t>
  </si>
  <si>
    <t>Smithfield</t>
  </si>
  <si>
    <t>Selma</t>
  </si>
  <si>
    <t>Micro</t>
  </si>
  <si>
    <t>Clayton</t>
  </si>
  <si>
    <t>Benson</t>
  </si>
  <si>
    <t>Four Oaks</t>
  </si>
  <si>
    <t>Pine Level</t>
  </si>
  <si>
    <t>Kenly</t>
  </si>
  <si>
    <t>Princeton</t>
  </si>
  <si>
    <t>Pollocksville</t>
  </si>
  <si>
    <t>Maysville</t>
  </si>
  <si>
    <t>Broadway</t>
  </si>
  <si>
    <t>Pink Hill</t>
  </si>
  <si>
    <t>Lagrange</t>
  </si>
  <si>
    <t>Franklin</t>
  </si>
  <si>
    <t>Highlands</t>
  </si>
  <si>
    <t>Mars Hill</t>
  </si>
  <si>
    <t>Marshall</t>
  </si>
  <si>
    <t>Oak City</t>
  </si>
  <si>
    <t>Hamilton</t>
  </si>
  <si>
    <t>Jamesville</t>
  </si>
  <si>
    <t>Robersonville</t>
  </si>
  <si>
    <t>Marion</t>
  </si>
  <si>
    <t>Old Fort</t>
  </si>
  <si>
    <t>Pineville</t>
  </si>
  <si>
    <t>Mint Hill</t>
  </si>
  <si>
    <t>Huntersville</t>
  </si>
  <si>
    <t>Cornelius</t>
  </si>
  <si>
    <t>Stallings</t>
  </si>
  <si>
    <t>Matthews</t>
  </si>
  <si>
    <t>Davidson</t>
  </si>
  <si>
    <t>Spruce Pine</t>
  </si>
  <si>
    <t>Bakersville</t>
  </si>
  <si>
    <t>Star</t>
  </si>
  <si>
    <t>Troy</t>
  </si>
  <si>
    <t>Biscoe</t>
  </si>
  <si>
    <t>Candor</t>
  </si>
  <si>
    <t>Mount Gilead</t>
  </si>
  <si>
    <t>Taylortown</t>
  </si>
  <si>
    <t>Southern Pines</t>
  </si>
  <si>
    <t>Cameron</t>
  </si>
  <si>
    <t>Vass</t>
  </si>
  <si>
    <t>Aberdeen</t>
  </si>
  <si>
    <t>Robbins</t>
  </si>
  <si>
    <t>Pinebluff</t>
  </si>
  <si>
    <t>Carthage</t>
  </si>
  <si>
    <t>Spring Hope</t>
  </si>
  <si>
    <t>Nashville</t>
  </si>
  <si>
    <t>Middlesex</t>
  </si>
  <si>
    <t>Whitakers</t>
  </si>
  <si>
    <t>Bailey</t>
  </si>
  <si>
    <t>Sharpsburg</t>
  </si>
  <si>
    <t>Wrightsville Beach</t>
  </si>
  <si>
    <t>Carolina Beach</t>
  </si>
  <si>
    <t>Kure Beach</t>
  </si>
  <si>
    <t>Rich Square</t>
  </si>
  <si>
    <t>Woodland</t>
  </si>
  <si>
    <t>Garysburg</t>
  </si>
  <si>
    <t>Conway</t>
  </si>
  <si>
    <t>Gaston</t>
  </si>
  <si>
    <t>Jackson</t>
  </si>
  <si>
    <t>Severn</t>
  </si>
  <si>
    <t>Seaboard</t>
  </si>
  <si>
    <t>Swansboro</t>
  </si>
  <si>
    <t>Holly Ridge</t>
  </si>
  <si>
    <t>Richlands</t>
  </si>
  <si>
    <t>North Topsail Beach</t>
  </si>
  <si>
    <t>Chapel Hill</t>
  </si>
  <si>
    <t>Carrboro</t>
  </si>
  <si>
    <t>Hillsborough</t>
  </si>
  <si>
    <t>Bayboro</t>
  </si>
  <si>
    <t>Oriental</t>
  </si>
  <si>
    <t>Burgaw</t>
  </si>
  <si>
    <t>Topsail Beach</t>
  </si>
  <si>
    <t>Hertford</t>
  </si>
  <si>
    <t>Winfall</t>
  </si>
  <si>
    <t>Grifton</t>
  </si>
  <si>
    <t>Bethel</t>
  </si>
  <si>
    <t>Winterville</t>
  </si>
  <si>
    <t>Ayden</t>
  </si>
  <si>
    <t>Grimesland</t>
  </si>
  <si>
    <t>Tryon</t>
  </si>
  <si>
    <t>Columbus</t>
  </si>
  <si>
    <t>Saluda</t>
  </si>
  <si>
    <t>Liberty</t>
  </si>
  <si>
    <t>Ramseur</t>
  </si>
  <si>
    <t>Ellerbe</t>
  </si>
  <si>
    <t>Fairmont</t>
  </si>
  <si>
    <t>Maxton</t>
  </si>
  <si>
    <t>Pembroke</t>
  </si>
  <si>
    <t>Rowland</t>
  </si>
  <si>
    <t>Red Springs</t>
  </si>
  <si>
    <t>Reidsville</t>
  </si>
  <si>
    <t>Mayodan</t>
  </si>
  <si>
    <t>Stoneville</t>
  </si>
  <si>
    <t>Madison</t>
  </si>
  <si>
    <t>East Spencer</t>
  </si>
  <si>
    <t>Spencer</t>
  </si>
  <si>
    <t>China Grove</t>
  </si>
  <si>
    <t>Landis</t>
  </si>
  <si>
    <t>Granite Quarry</t>
  </si>
  <si>
    <t>Rockwell</t>
  </si>
  <si>
    <t>Faith</t>
  </si>
  <si>
    <t>Cleveland</t>
  </si>
  <si>
    <t>Spindale</t>
  </si>
  <si>
    <t>Lake Lure</t>
  </si>
  <si>
    <t>Rutherfordton</t>
  </si>
  <si>
    <t>Ellenboro</t>
  </si>
  <si>
    <t>Salemburg</t>
  </si>
  <si>
    <t>Newton Grove</t>
  </si>
  <si>
    <t>Garland</t>
  </si>
  <si>
    <t>Turkey</t>
  </si>
  <si>
    <t>Roseboro</t>
  </si>
  <si>
    <t>Autryville</t>
  </si>
  <si>
    <t>Wagram</t>
  </si>
  <si>
    <t>Gibson</t>
  </si>
  <si>
    <t>Norwood</t>
  </si>
  <si>
    <t>Oakboro</t>
  </si>
  <si>
    <t>Badin</t>
  </si>
  <si>
    <t>Stanfield</t>
  </si>
  <si>
    <t>Walnut Cove</t>
  </si>
  <si>
    <t>King</t>
  </si>
  <si>
    <t>Pilot Mountain</t>
  </si>
  <si>
    <t>Dobson</t>
  </si>
  <si>
    <t>Elkin</t>
  </si>
  <si>
    <t>Bryson City</t>
  </si>
  <si>
    <t>Columbia</t>
  </si>
  <si>
    <t>Marshville</t>
  </si>
  <si>
    <t>Wingate</t>
  </si>
  <si>
    <t>Waxhaw</t>
  </si>
  <si>
    <t>Indian Trail</t>
  </si>
  <si>
    <t>Unionville</t>
  </si>
  <si>
    <t>Weddington</t>
  </si>
  <si>
    <t>Holly Springs</t>
  </si>
  <si>
    <t>Rolesville</t>
  </si>
  <si>
    <t>Morrisville</t>
  </si>
  <si>
    <t>Cary</t>
  </si>
  <si>
    <t>Wendell</t>
  </si>
  <si>
    <t>Zebulon</t>
  </si>
  <si>
    <t>Garner</t>
  </si>
  <si>
    <t>Fuquay-Varina</t>
  </si>
  <si>
    <t>Apex</t>
  </si>
  <si>
    <t>Wake Forest</t>
  </si>
  <si>
    <t>Knightdale</t>
  </si>
  <si>
    <t>Norlina</t>
  </si>
  <si>
    <t>Warrenton</t>
  </si>
  <si>
    <t>Plymouth</t>
  </si>
  <si>
    <t>Roper</t>
  </si>
  <si>
    <t>Creswell</t>
  </si>
  <si>
    <t>Boone</t>
  </si>
  <si>
    <t>Blowing Rock</t>
  </si>
  <si>
    <t>Seven Devils</t>
  </si>
  <si>
    <t>Mount Olive</t>
  </si>
  <si>
    <t>Fremont</t>
  </si>
  <si>
    <t>Pikeville</t>
  </si>
  <si>
    <t>North Wilkesboro</t>
  </si>
  <si>
    <t>Wilkesboro</t>
  </si>
  <si>
    <t>Stantonsburg</t>
  </si>
  <si>
    <t>Black Creek</t>
  </si>
  <si>
    <t>Lucama</t>
  </si>
  <si>
    <t>Elm City</t>
  </si>
  <si>
    <t>Yadkinville</t>
  </si>
  <si>
    <t>Jonesville</t>
  </si>
  <si>
    <t>East Bend</t>
  </si>
  <si>
    <t>Boonville</t>
  </si>
  <si>
    <t>Burlington</t>
  </si>
  <si>
    <t>Graham</t>
  </si>
  <si>
    <t>Washington</t>
  </si>
  <si>
    <t>Southport</t>
  </si>
  <si>
    <t>Northwest</t>
  </si>
  <si>
    <t>Asheville</t>
  </si>
  <si>
    <t>Morganton</t>
  </si>
  <si>
    <t>Concord</t>
  </si>
  <si>
    <t>Lenoir</t>
  </si>
  <si>
    <t>Hickory</t>
  </si>
  <si>
    <t>Shelby</t>
  </si>
  <si>
    <t>Whiteville</t>
  </si>
  <si>
    <t>Havelock</t>
  </si>
  <si>
    <t>Fayetteville</t>
  </si>
  <si>
    <t>Thomasville</t>
  </si>
  <si>
    <t>Lexington</t>
  </si>
  <si>
    <t>Durham</t>
  </si>
  <si>
    <t>Winston-Salem</t>
  </si>
  <si>
    <t>Gastonia</t>
  </si>
  <si>
    <t>Belmont</t>
  </si>
  <si>
    <t>Cherryville</t>
  </si>
  <si>
    <t>Bessemer City</t>
  </si>
  <si>
    <t>Oxford</t>
  </si>
  <si>
    <t>Creedmoor</t>
  </si>
  <si>
    <t>Greensboro</t>
  </si>
  <si>
    <t>Hendersonville</t>
  </si>
  <si>
    <t>Statesville</t>
  </si>
  <si>
    <t>Mooresville</t>
  </si>
  <si>
    <t>Sanford</t>
  </si>
  <si>
    <t>Kinston</t>
  </si>
  <si>
    <t>Lincolnton</t>
  </si>
  <si>
    <t>Williamston</t>
  </si>
  <si>
    <t>Charlotte</t>
  </si>
  <si>
    <t>Wilmington</t>
  </si>
  <si>
    <t>Jacksonville</t>
  </si>
  <si>
    <t>Roxboro</t>
  </si>
  <si>
    <t>Greenville</t>
  </si>
  <si>
    <t>Farmville</t>
  </si>
  <si>
    <t>Asheboro</t>
  </si>
  <si>
    <t>Randleman</t>
  </si>
  <si>
    <t>Archdale</t>
  </si>
  <si>
    <t>Trinity</t>
  </si>
  <si>
    <t>Rockingham</t>
  </si>
  <si>
    <t>Hamlet</t>
  </si>
  <si>
    <t>Lumberton</t>
  </si>
  <si>
    <t>Eden</t>
  </si>
  <si>
    <t>Salisbury</t>
  </si>
  <si>
    <t>Clinton</t>
  </si>
  <si>
    <t>Laurinburg</t>
  </si>
  <si>
    <t>Albemarle</t>
  </si>
  <si>
    <t>Locust</t>
  </si>
  <si>
    <t>Brevard</t>
  </si>
  <si>
    <t>Monroe</t>
  </si>
  <si>
    <t>Henderson</t>
  </si>
  <si>
    <t>Raleigh</t>
  </si>
  <si>
    <t>Goldsboro</t>
  </si>
  <si>
    <t>Wilson</t>
  </si>
  <si>
    <t>Navassa</t>
  </si>
  <si>
    <t>Western Highland Area Authority</t>
  </si>
  <si>
    <t>Bolton</t>
  </si>
  <si>
    <t>Midway</t>
  </si>
  <si>
    <t>Duplin County Tourism Development Authority</t>
  </si>
  <si>
    <t>Clemmons</t>
  </si>
  <si>
    <t>Tobaccoville</t>
  </si>
  <si>
    <t>Bessemer City ABC Board</t>
  </si>
  <si>
    <t>Guilford County</t>
  </si>
  <si>
    <t>Mineral Springs</t>
  </si>
  <si>
    <t>Primary Agency Number</t>
  </si>
  <si>
    <t>Additional Agency Number (if applicable)</t>
  </si>
  <si>
    <t>Choose Your Additional Agency (if applicable):</t>
  </si>
  <si>
    <t>Total All Employer Agencies</t>
  </si>
  <si>
    <t>No additional agency chosen</t>
  </si>
  <si>
    <t>N/A</t>
  </si>
  <si>
    <t>Worksheet Instructions:</t>
  </si>
  <si>
    <t xml:space="preserve">           the resulting entries, see the referenced GASB 68 literature.  Review the entries with applicable staff prior to posting the entries in your general ledger.</t>
  </si>
  <si>
    <t xml:space="preserve"> &lt;&lt; Click on the cell to see a list of agencies. STEP 1</t>
  </si>
  <si>
    <t xml:space="preserve"> &lt;&lt; Enter your employer contributions for the period indicated.  STEP 4</t>
  </si>
  <si>
    <t xml:space="preserve"> &lt;&lt; Do NOT change entry if only reporting one agency!! - otherwise select your second agency. STEP 2</t>
  </si>
  <si>
    <t xml:space="preserve">         Advanced, Display Options for this Workbook, and ensure that Show Sheet Tabs is checked.  Consult your IT specialist as needed.</t>
  </si>
  <si>
    <t>Step 2 - If you have an additional agency number to include in your financial statement (not common), click on cell C22 and choose that agency from the drop-down menu.</t>
  </si>
  <si>
    <t xml:space="preserve">            If you do not have an additional agency to include in your financial statement, verify that cell C22 shows "No additional agency chosen" and go to Step 3.</t>
  </si>
  <si>
    <t>Your employer contributions from:</t>
  </si>
  <si>
    <t>TOTAL Recognition of Deferred (Inflows)/Outflows</t>
  </si>
  <si>
    <t>Paragraph 54 and 55 Outflows</t>
  </si>
  <si>
    <t>Paragraph 54 and 55 Inflows</t>
  </si>
  <si>
    <t>DR</t>
  </si>
  <si>
    <t>CR</t>
  </si>
  <si>
    <t>Differences between expected and actual experience (DO)</t>
  </si>
  <si>
    <t>Changes of assumptions (DO)</t>
  </si>
  <si>
    <t>Net difference between projected and actual earnings on pension plan investments (DO)</t>
  </si>
  <si>
    <t>Changes in proportion and differences between employer contributions and proportionate share of contributions (DO)</t>
  </si>
  <si>
    <t>Differences between expected and actual experience (DI)</t>
  </si>
  <si>
    <t>Changes of assumptions (DI)</t>
  </si>
  <si>
    <t>Net difference between projected and actual earnings on pension plan investments (DI)</t>
  </si>
  <si>
    <t>Changes in proportion and differences between employer contributions and proportionate share of contributions (DI)</t>
  </si>
  <si>
    <t>Total</t>
  </si>
  <si>
    <t>Share of collective pension expense</t>
  </si>
  <si>
    <t>True up pension expense</t>
  </si>
  <si>
    <t>Employer contributions subsequent to measurement date (DO)</t>
  </si>
  <si>
    <t>Total Net Pension Liability</t>
  </si>
  <si>
    <t>Total Pension Expense</t>
  </si>
  <si>
    <t>Unit's share of collective pension expense</t>
  </si>
  <si>
    <t>Pension expense resulting from differences between ORBIT system contributions and what was recorded as a deferred outflow in the prior year</t>
  </si>
  <si>
    <t>Pension plan contributions</t>
  </si>
  <si>
    <t>Net Pension Liability</t>
  </si>
  <si>
    <t>Total Deferred Outflows of Resources</t>
  </si>
  <si>
    <t>Total Deferred Inflows of Resources</t>
  </si>
  <si>
    <t>THE EASTERN BAND OF CHEROKEE INDIANS</t>
  </si>
  <si>
    <t>PIEDMONT TRIAD AIRPORT AUTHORITY</t>
  </si>
  <si>
    <t>TOWN OF SEAGROVE</t>
  </si>
  <si>
    <t>TOWN OF SPARTA</t>
  </si>
  <si>
    <t>YANCEY COUNTY</t>
  </si>
  <si>
    <t>YANCEY SOIL &amp; WATER CONS</t>
  </si>
  <si>
    <t>TOWN OF BURNSVILLE</t>
  </si>
  <si>
    <t>MARTIN-TYRRELL-WASHINGTON DIST HEALTH DEPT</t>
  </si>
  <si>
    <t>ALBEMARLE REGIONAL HEALTH SERVICES</t>
  </si>
  <si>
    <t>TOE RIVER HEALTH DISTRICT</t>
  </si>
  <si>
    <t>APPALACHIAN DISTRICT HEALTH DEPT</t>
  </si>
  <si>
    <t>ALAMANCE COUNTY</t>
  </si>
  <si>
    <t>CITY OF BURLINGTON</t>
  </si>
  <si>
    <t>CITY OF MEBANE</t>
  </si>
  <si>
    <t>ALAMANCE MUNICIPAL ABC BOARD</t>
  </si>
  <si>
    <t>CITY OF GRAHAM</t>
  </si>
  <si>
    <t>TOWN OF ELON</t>
  </si>
  <si>
    <t>TOWN OF HAW RIVER</t>
  </si>
  <si>
    <t>VILLAGE OF ALAMANCE</t>
  </si>
  <si>
    <t>TOWN OF GREEN LEVEL</t>
  </si>
  <si>
    <t>ALEXANDER COUNTY</t>
  </si>
  <si>
    <t>ALEXANDER COUNTY HEALTH DEPT</t>
  </si>
  <si>
    <t>ALEXANDER COUNTY PUBLIC LIBRARY</t>
  </si>
  <si>
    <t>ALEXANDER COUNTY DEPT OF S S</t>
  </si>
  <si>
    <t>TOWN OF TAYLORSVILLE</t>
  </si>
  <si>
    <t>ALLEGHANY COUNTY</t>
  </si>
  <si>
    <t>NORTHWESTERN REGIONAL LIBRARY</t>
  </si>
  <si>
    <t>TOWN OF SPARTA ABC BOARD</t>
  </si>
  <si>
    <t>ANSON COUNTY</t>
  </si>
  <si>
    <t>TOWN OF WADESBORO</t>
  </si>
  <si>
    <t>WADESBORO HOUSING AUTHORITY</t>
  </si>
  <si>
    <t>WADESBORO ABC BOARD</t>
  </si>
  <si>
    <t>TOWN OF LILESVILLE</t>
  </si>
  <si>
    <t>TOWN OF POLKTON</t>
  </si>
  <si>
    <t>TOWN OF PEACHLAND</t>
  </si>
  <si>
    <t>TOWN OF ANSONVILLE</t>
  </si>
  <si>
    <t>TOWN OF MORVEN</t>
  </si>
  <si>
    <t>ASHE COUNTY</t>
  </si>
  <si>
    <t>TOWN OF JEFFERSON</t>
  </si>
  <si>
    <t>TOWN OF WEST JEFFERSON</t>
  </si>
  <si>
    <t>AVERY COUNTY</t>
  </si>
  <si>
    <t>AVERY-MITCHELL-YANCEY REG LIBRARY</t>
  </si>
  <si>
    <t>TOWN OF BANNER ELK</t>
  </si>
  <si>
    <t>HIGH COUNTRY ABC BOARD</t>
  </si>
  <si>
    <t>TOWN OF NEWLAND</t>
  </si>
  <si>
    <t>TOWN OF BEECH MOUNTAIN</t>
  </si>
  <si>
    <t>TOWN OF ELK PARK</t>
  </si>
  <si>
    <t>TOWN OF SUGAR MOUNTAIN</t>
  </si>
  <si>
    <t>BEAUFORT COUNTY</t>
  </si>
  <si>
    <t>BEAUFORT COUNTY ABC BOARD</t>
  </si>
  <si>
    <t>B H M REGIONAL LIBRARY</t>
  </si>
  <si>
    <t>MIDEAST COMMISSION</t>
  </si>
  <si>
    <t>CITY OF WASHINGTON</t>
  </si>
  <si>
    <t>TOWN OF AURORA</t>
  </si>
  <si>
    <t>TOWN OF BELHAVEN</t>
  </si>
  <si>
    <t>TOWN OF WASHINGTON PARK</t>
  </si>
  <si>
    <t>TOWN OF CHOCOWINITY</t>
  </si>
  <si>
    <t>BERTIE COUNTY</t>
  </si>
  <si>
    <t>BERTIE COUNTY ABC BOARD</t>
  </si>
  <si>
    <t>ALBEMARLE REGIONAL LIBRARY</t>
  </si>
  <si>
    <t>BERTIE-MARTIN REGIONAL JAIL COMM</t>
  </si>
  <si>
    <t>TOWN OF AULANDER</t>
  </si>
  <si>
    <t>TOWN OF WINDSOR</t>
  </si>
  <si>
    <t>TOWN OF COLERAIN</t>
  </si>
  <si>
    <t>TOWN OF LEWISTON WOODVILLE</t>
  </si>
  <si>
    <t>BLADEN COUNTY</t>
  </si>
  <si>
    <t>TOWN OF ELIZABETHTOWN</t>
  </si>
  <si>
    <t>ELIZABETHTOWN ABC BOARD</t>
  </si>
  <si>
    <t>SOUTH EASTERN ECONOMIC DEVELOPMENT COMM</t>
  </si>
  <si>
    <t>TOWN OF WHITE LAKE</t>
  </si>
  <si>
    <t>TOWN OF CLARKTON</t>
  </si>
  <si>
    <t>TOWN OF BLADENBORO</t>
  </si>
  <si>
    <t>BRUNSWICK COUNTY</t>
  </si>
  <si>
    <t>TOWN OF LELAND</t>
  </si>
  <si>
    <t>BRUNSWICK CO HEALTH DEPT</t>
  </si>
  <si>
    <t>BRUNSWICK COUNTY ABC BOARD</t>
  </si>
  <si>
    <t>BRUNSWICK CO DEPT OF SOCIAL SERVICES</t>
  </si>
  <si>
    <t>CALABASH ABC BOARD</t>
  </si>
  <si>
    <t>CAPE FEAR COUNCIL OF GOVERNMENTS</t>
  </si>
  <si>
    <t>BRUNSWICK COUNTY TOURISM AUTHORITY</t>
  </si>
  <si>
    <t>TOWN OF CALABASH</t>
  </si>
  <si>
    <t>CITY OF SOUTHPORT</t>
  </si>
  <si>
    <t>CITY OF NORTHWEST</t>
  </si>
  <si>
    <t>SOUTHEAST BRUNSWICK SANITARY DISTRICT</t>
  </si>
  <si>
    <t>TOWN OF HOLDEN BEACH</t>
  </si>
  <si>
    <t>CITY OF SOUTHPORT ABC BOARD</t>
  </si>
  <si>
    <t>TOWN OF BELVILLE</t>
  </si>
  <si>
    <t>TOWN OF OAK ISLAND</t>
  </si>
  <si>
    <t>TOWN OF CAROLINA SHORES</t>
  </si>
  <si>
    <t>OAK ISLAND ABC BD</t>
  </si>
  <si>
    <t>TOWN OF ST JAMES</t>
  </si>
  <si>
    <t>TOWN OF SUNSET BEACH</t>
  </si>
  <si>
    <t>BRUNSWICK REGIONAL WATER AND SEWER H2GO</t>
  </si>
  <si>
    <t>TOWN OF SUNSET BEACH ABC BOARD</t>
  </si>
  <si>
    <t>TOWN OF CASWELL BEACH</t>
  </si>
  <si>
    <t>SHALLOTTE ABC BOARD</t>
  </si>
  <si>
    <t>TOWN OF OCEAN ISLE BEACH</t>
  </si>
  <si>
    <t>OCEAN ISLE BEACH ABC BOARD</t>
  </si>
  <si>
    <t>CITY OF BOILING SPRG LAKES</t>
  </si>
  <si>
    <t>BOILING SPRING LAKES ABC BOARD</t>
  </si>
  <si>
    <t>TOWN OF SHALLOTTE</t>
  </si>
  <si>
    <t>VILLAGE OF BALD HEAD ISLAND</t>
  </si>
  <si>
    <t>BUNCOMBE COUNTY</t>
  </si>
  <si>
    <t>LAND-OF-SKY REGIONAL COUNCIL</t>
  </si>
  <si>
    <t>WOODFIN ABC COMMISSION</t>
  </si>
  <si>
    <t>WESTERN NC REGIONAL AIR QUALITY</t>
  </si>
  <si>
    <t>METRO SEWERAGE DIST OF BUNCOMBE COUNTY</t>
  </si>
  <si>
    <t>WOODFIN SANITARY WATER AND SEWER DIST</t>
  </si>
  <si>
    <t>TOWN OF BILTMORE FOREST</t>
  </si>
  <si>
    <t>WEST BUNCOMBE FIRE DEPT</t>
  </si>
  <si>
    <t>CITY OF ASHEVILLE</t>
  </si>
  <si>
    <t>ASHEVILLE ABC BOARD</t>
  </si>
  <si>
    <t>ASHEVILLE REGIONAL AIRPORT AUTHORITY</t>
  </si>
  <si>
    <t>SKYLAND VOL FIRE DEPT</t>
  </si>
  <si>
    <t>TOWN OF WEAVERVILLE</t>
  </si>
  <si>
    <t>WEAVERVILLE ABC BOARD</t>
  </si>
  <si>
    <t>TOWN OF BLACK MOUNTAIN</t>
  </si>
  <si>
    <t>BLACK MTN ABC BOARD</t>
  </si>
  <si>
    <t>TOWN OF MONTREAT</t>
  </si>
  <si>
    <t>TOWN OF WOODFIN</t>
  </si>
  <si>
    <t>BURKE COUNTY</t>
  </si>
  <si>
    <t>BURKE-CATAWBA DIST CONFINEMENT</t>
  </si>
  <si>
    <t>BURKE CO HEALTH DEPT</t>
  </si>
  <si>
    <t>BURKE CO DEPT OF SOCIAL SERVICES</t>
  </si>
  <si>
    <t>BURKE COUNTY TOURISM DEV. AUTHORITY</t>
  </si>
  <si>
    <t>TOWN OF VALDESE</t>
  </si>
  <si>
    <t>VALDESE HOUSING AUTHORITY</t>
  </si>
  <si>
    <t>TOWN OF RUTHERFORD COLLEGE</t>
  </si>
  <si>
    <t>MORGANTON ABC BOARD</t>
  </si>
  <si>
    <t>TOWN OF DREXEL</t>
  </si>
  <si>
    <t>CITY OF MORGANTON</t>
  </si>
  <si>
    <t>MORGANTON HOUSING AUTHORITY</t>
  </si>
  <si>
    <t>TOWN OF GLEN ALPINE</t>
  </si>
  <si>
    <t>TOWN OF HILDEBRAN</t>
  </si>
  <si>
    <t>TOWN OF CONNELLY SPRINGS</t>
  </si>
  <si>
    <t>CABARRUS COUNTY</t>
  </si>
  <si>
    <t>WATER &amp; SEWER AUTH OF CABARRUS CNTY</t>
  </si>
  <si>
    <t>CABARRUS CO PUBLIC HEALTH AUTH</t>
  </si>
  <si>
    <t>CABARRUS COUNTY TOURISM AUTHORITY</t>
  </si>
  <si>
    <t>CITY OF CONCORD</t>
  </si>
  <si>
    <t>CONCORD ABC BOARD</t>
  </si>
  <si>
    <t>TOWN OF MOUNT PLEASANT</t>
  </si>
  <si>
    <t>MT PLEASANT ABC BOARD</t>
  </si>
  <si>
    <t>CITY OF KANNAPOLIS</t>
  </si>
  <si>
    <t>TOWN OF MIDLAND</t>
  </si>
  <si>
    <t>CALDWELL COUNTY</t>
  </si>
  <si>
    <t>TOWN OF GRANITE FALLS</t>
  </si>
  <si>
    <t>GRANITE FALLS ABC BOARD</t>
  </si>
  <si>
    <t>TOWN OF SAWMILLS</t>
  </si>
  <si>
    <t>LENOIR HOUSING AUTHORITY</t>
  </si>
  <si>
    <t>TOWN OF HUDSON</t>
  </si>
  <si>
    <t>TOWN OF HARRISBURG</t>
  </si>
  <si>
    <t>CITY OF LENOIR</t>
  </si>
  <si>
    <t>CITY OF LENOIR ABC BRD</t>
  </si>
  <si>
    <t>TOWN OF CAJAH'S MOUNTAIN</t>
  </si>
  <si>
    <t>CAMDEN COUNTY</t>
  </si>
  <si>
    <t>CAMDEN COUNTY ABC BOARD</t>
  </si>
  <si>
    <t>CARTERET COUNTY</t>
  </si>
  <si>
    <t>CARTERET COUNTY ABC BOARD</t>
  </si>
  <si>
    <t>WESTERN CARTERET INTERLOCAL COOPERATION AGENCY</t>
  </si>
  <si>
    <t>TOWN OF MOREHEAD CITY</t>
  </si>
  <si>
    <t>TOWN OF NEWPORT</t>
  </si>
  <si>
    <t>TOWN OF BEAUFORT</t>
  </si>
  <si>
    <t>BEAUFORT HOUSING AUTH</t>
  </si>
  <si>
    <t>TOWN OF PINE KNOLL SHORES</t>
  </si>
  <si>
    <t>TOWN OF EMERALD ISLE</t>
  </si>
  <si>
    <t>TOWN OF INDIAN BEACH</t>
  </si>
  <si>
    <t>TOWN OF CAPE CARTERET</t>
  </si>
  <si>
    <t>TOWN OF ATLANTIC BEACH</t>
  </si>
  <si>
    <t>TOWN OF CEDAR POINT</t>
  </si>
  <si>
    <t>CASWELL COUNTY</t>
  </si>
  <si>
    <t>CASWELL COUNTY ABC BOARD</t>
  </si>
  <si>
    <t>CASWELL CO DEPT OF SOCIAL SERVICES</t>
  </si>
  <si>
    <t>TOWN OF YANCEYVILLE</t>
  </si>
  <si>
    <t>CATAWBA COUNTY</t>
  </si>
  <si>
    <t>CATAWBA COUNTY ABC BOARD</t>
  </si>
  <si>
    <t>CITY OF HICKORY</t>
  </si>
  <si>
    <t>HICKORY CONOVER TOURISM DEV AUTH</t>
  </si>
  <si>
    <t>HICKORY PUBLIC HOUSING AUTHORITY</t>
  </si>
  <si>
    <t>WESTERN PIEDMONT COUNCIL OF GVMTS</t>
  </si>
  <si>
    <t>WESTERN PIEDMONT REGIONAL TRANSIT AUTHORITY</t>
  </si>
  <si>
    <t>CITY OF CLAREMONT</t>
  </si>
  <si>
    <t>TOWN OF MAIDEN</t>
  </si>
  <si>
    <t>THE TOWN OF LONGVIEW</t>
  </si>
  <si>
    <t>TOWN OF CONOVER</t>
  </si>
  <si>
    <t>TOWN OF BROOKFORD</t>
  </si>
  <si>
    <t>CITY OF NEWTON</t>
  </si>
  <si>
    <t>TOWN OF CATAWBA</t>
  </si>
  <si>
    <t>CHATHAM COUNTY</t>
  </si>
  <si>
    <t>CHATHAM CO HOUSING AUTH</t>
  </si>
  <si>
    <t>CHATHAM COUNTY ABC BOARD</t>
  </si>
  <si>
    <t>GOLDSTON-GULF SANITARY DISTRICT</t>
  </si>
  <si>
    <t>TOWN OF SILER CITY</t>
  </si>
  <si>
    <t>SILER CITY ABC BOARD</t>
  </si>
  <si>
    <t>TOWN OF PITTSBORO</t>
  </si>
  <si>
    <t>CHEROKEE COUNTY</t>
  </si>
  <si>
    <t>NANTAHALA REGIONAL LIBRARY</t>
  </si>
  <si>
    <t>TOWN OF MURPHY</t>
  </si>
  <si>
    <t>MURPHY ABC BOARD</t>
  </si>
  <si>
    <t>TOWN OF ANDREWS</t>
  </si>
  <si>
    <t>CHOWAN COUNTY</t>
  </si>
  <si>
    <t>CHOWAN COUNTY ABC BOARD</t>
  </si>
  <si>
    <t>ALBEMARLE REGNL PLANNING &amp; DEVELOPMENT COMM</t>
  </si>
  <si>
    <t>TOWN OF EDENTON</t>
  </si>
  <si>
    <t>THE NEW EDENTON HOUSING AUTH</t>
  </si>
  <si>
    <t>CLAY COUNTY</t>
  </si>
  <si>
    <t>CLEVELAND COUNTY</t>
  </si>
  <si>
    <t>CLEVELAND COUNTY WATER</t>
  </si>
  <si>
    <t>CITY OF SHELBY</t>
  </si>
  <si>
    <t>SHELBY ABC BOARD</t>
  </si>
  <si>
    <t>CITY OF KINGS MOUNTAIN</t>
  </si>
  <si>
    <t>KINGS MOUNTAIN ABC BOARD</t>
  </si>
  <si>
    <t>TOWN OF BOILING SPRINGS</t>
  </si>
  <si>
    <t>TOWN OF LAWNDALE</t>
  </si>
  <si>
    <t>TOWN OF GROVER</t>
  </si>
  <si>
    <t>COLUMBUS COUNTY</t>
  </si>
  <si>
    <t>WHITEVILLE HOUSING AUTHORITY</t>
  </si>
  <si>
    <t>CITY OF WHITEVILLE</t>
  </si>
  <si>
    <t>WHITEVILLE ABC BOARD</t>
  </si>
  <si>
    <t>TOWN OF BRUNSWICK</t>
  </si>
  <si>
    <t>LAKE WACCAMAW ABC BOARD</t>
  </si>
  <si>
    <t>TOWN OF FAIR BLUFF</t>
  </si>
  <si>
    <t>TOWN OF CHADBOURN</t>
  </si>
  <si>
    <t>WEST COLUMBUS ABC BOARD</t>
  </si>
  <si>
    <t>TOWN OF TABOR CITY</t>
  </si>
  <si>
    <t>TOWN OF LAKE WACCAMAW</t>
  </si>
  <si>
    <t>CRAVEN COUNTY</t>
  </si>
  <si>
    <t>FIRST CRAVEN SANITARY DIST</t>
  </si>
  <si>
    <t>CRAVEN CO ABC BD</t>
  </si>
  <si>
    <t>CRAVEN-PAMLICO-CARTERET REGIONAL LIBRARY</t>
  </si>
  <si>
    <t>COASTAL CAROLINA REGIONAL AIRPORT</t>
  </si>
  <si>
    <t>NEUSE RIVER COUNCIL OF GOVERNMENTS</t>
  </si>
  <si>
    <t>COASTAL REGIONAL SOLID WASTE MNGT AUTH</t>
  </si>
  <si>
    <t>CITY OF NEW BERN</t>
  </si>
  <si>
    <t>TRILLIUM HEALTH RESOURCES</t>
  </si>
  <si>
    <t>TOWN OF TRENT WOODS</t>
  </si>
  <si>
    <t>CITY OF HAVELOCK</t>
  </si>
  <si>
    <t>TOWN OF RIVER BEND</t>
  </si>
  <si>
    <t>TOWN OF VANCEBORO</t>
  </si>
  <si>
    <t>TOWN OF BRIDGETON</t>
  </si>
  <si>
    <t>TOWN OF COVE CITY</t>
  </si>
  <si>
    <t>CUMBERLAND COUNTY</t>
  </si>
  <si>
    <t>WESTAREA VOLUNTEER FIRE DEPT</t>
  </si>
  <si>
    <t>CUMBERLAND CO ABC BOARD</t>
  </si>
  <si>
    <t>MID-CAROLINA COUNCIL OF GOVERNMENTS</t>
  </si>
  <si>
    <t>CUMBERLAND MEMORIAL AUDITORIUM COM</t>
  </si>
  <si>
    <t>CITY OF FAYETTEVILLE</t>
  </si>
  <si>
    <t>FAYETTEVILLE METROPOLITAN HOUSING AUTH</t>
  </si>
  <si>
    <t>PUBLIC WORKS COMM CTY OF FAYETTEVILLE</t>
  </si>
  <si>
    <t>TOWN OF STEDMAN</t>
  </si>
  <si>
    <t>TOWN OF HOPE MILLS</t>
  </si>
  <si>
    <t>TOWN OF WADE</t>
  </si>
  <si>
    <t>TOWN OF LINDEN</t>
  </si>
  <si>
    <t>TOWN OF SPRING LAKE</t>
  </si>
  <si>
    <t>TOWN OF FALCON</t>
  </si>
  <si>
    <t>TOWN OF EASTOVER</t>
  </si>
  <si>
    <t>CURRITUCK COUNTY</t>
  </si>
  <si>
    <t>CURRITUCK CO ABC BOARD</t>
  </si>
  <si>
    <t>DARE COUNTY</t>
  </si>
  <si>
    <t>DARE COUNTY TOURISM BOARD</t>
  </si>
  <si>
    <t>DARE COUNTY ABC BOARD</t>
  </si>
  <si>
    <t>TOWN OF NAGS HEAD</t>
  </si>
  <si>
    <t>TOWN OF KILL DEVIL HILLS</t>
  </si>
  <si>
    <t>TOWN OF MANTEO</t>
  </si>
  <si>
    <t>TOWN OF SOUTHERN SHORES</t>
  </si>
  <si>
    <t>TOWN OF KITTY HAWK</t>
  </si>
  <si>
    <t>TOWN OF DUCK</t>
  </si>
  <si>
    <t>DAVIDSON COUNTY</t>
  </si>
  <si>
    <t>CITY OF THOMASVILLE</t>
  </si>
  <si>
    <t>THOMASVILLE HOUSING AUTHORITY</t>
  </si>
  <si>
    <t>THOMASVILLE ABC BOARD</t>
  </si>
  <si>
    <t>LEXINGTON ABC BOARD</t>
  </si>
  <si>
    <t>TOWN OF DENTON</t>
  </si>
  <si>
    <t>CITY OF LEXINGTON</t>
  </si>
  <si>
    <t>DAVIE COUNTY</t>
  </si>
  <si>
    <t>DAVIE SOIL AND WATER CONSERVATION DIST</t>
  </si>
  <si>
    <t>TOWN OF MOCKSVILLE</t>
  </si>
  <si>
    <t>TOWN OF BERMUDA RUN</t>
  </si>
  <si>
    <t>COOLEEMEE ABC BOARD</t>
  </si>
  <si>
    <t>TOWN OF COOLEEMEE</t>
  </si>
  <si>
    <t>DUPLIN COUNTY</t>
  </si>
  <si>
    <t>EASTPOINTE HUMAN SERVICES</t>
  </si>
  <si>
    <t>TOWN OF BEULAVILLE</t>
  </si>
  <si>
    <t>TOWN OF KENANSVILLE</t>
  </si>
  <si>
    <t>KENANSVILLE ABC BOARD</t>
  </si>
  <si>
    <t>TOWN OF WARSAW</t>
  </si>
  <si>
    <t>WARSAW ABC BOARD</t>
  </si>
  <si>
    <t>TOWN OF FAISON</t>
  </si>
  <si>
    <t>TOWN OF WALLACE</t>
  </si>
  <si>
    <t>WALLACE ABC BD</t>
  </si>
  <si>
    <t>TOWN OF ROSE HILL</t>
  </si>
  <si>
    <t>TOWN OF CALYPSO</t>
  </si>
  <si>
    <t>TOWN OF TEACHEY</t>
  </si>
  <si>
    <t>TOWN OF MAGNOLIA</t>
  </si>
  <si>
    <t>DURHAM COUNTY</t>
  </si>
  <si>
    <t>PARKWOOD FIRE DEPARTMENT</t>
  </si>
  <si>
    <t>DURHAM COUNTY ABC BOARD</t>
  </si>
  <si>
    <t>ALLIANCE BEHAVIORAL HEALTHCRE</t>
  </si>
  <si>
    <t>CITY OF DURHAM</t>
  </si>
  <si>
    <t>DURHAM CONVENTION &amp; VISITORS BUREAU</t>
  </si>
  <si>
    <t>TRIANGLE J COUNCIL OF GOVERNMENTS</t>
  </si>
  <si>
    <t>EDGECOMBE COUNTY</t>
  </si>
  <si>
    <t>EDGECOMBE COUNTY ABC BOARD</t>
  </si>
  <si>
    <t>EDGECOMBE COUNTY MEMORIAL LIBRARY</t>
  </si>
  <si>
    <t>UPPER COASTAL PLAIN COUNCIL OF GOVERNMENTS</t>
  </si>
  <si>
    <t>TOWN OF TARBORO</t>
  </si>
  <si>
    <t>TARBORO REDEVELOPMENT COMMISSION</t>
  </si>
  <si>
    <t>CITY OF ROCKY MOUNT</t>
  </si>
  <si>
    <t>ROCKY MOUNT-WILSON AIRPORT AUTHORITY</t>
  </si>
  <si>
    <t>TOWN OF PINETOPS</t>
  </si>
  <si>
    <t>ROCKY MT HOUSING AUTHORITY</t>
  </si>
  <si>
    <t>TOWN OF MACCLESFIELD</t>
  </si>
  <si>
    <t>TOWN OF PRINCEVILLE</t>
  </si>
  <si>
    <t>FORSYTH COUNTY</t>
  </si>
  <si>
    <t>AIRPORT COMMISSION OF FORSYTH COUNTY</t>
  </si>
  <si>
    <t>PIEDMONT TRIAD REGIONAL COUNCIL</t>
  </si>
  <si>
    <t>CENTERPOINT HUMAN SERVICES</t>
  </si>
  <si>
    <t>CITY OF WINSTON-SALEM</t>
  </si>
  <si>
    <t>WINSTON-SALEM HOUSING AUTHORITY</t>
  </si>
  <si>
    <t>TRIAD MUNICIPAL ABC BOARD</t>
  </si>
  <si>
    <t>TOWN OF KERNERSVILLE</t>
  </si>
  <si>
    <t>TOWN OF RURAL HALL</t>
  </si>
  <si>
    <t>VILLAGE OF CLEMMONS</t>
  </si>
  <si>
    <t>CLEMMONS FIRE DEPARTMENT</t>
  </si>
  <si>
    <t>TOWN OF LEWISVILLE</t>
  </si>
  <si>
    <t>TOWN OF WALKERTOWN</t>
  </si>
  <si>
    <t>VILLAGE OF TOBACCOVILLE</t>
  </si>
  <si>
    <t>FRANKLIN COUNTY</t>
  </si>
  <si>
    <t>TOWN OF FRANKLINTON</t>
  </si>
  <si>
    <t>FRANKLINTON ABC BOARD</t>
  </si>
  <si>
    <t>TOWN OF LOUISBURG</t>
  </si>
  <si>
    <t>LOUISBURG ABC BOARD</t>
  </si>
  <si>
    <t>TOWN OF BUNN</t>
  </si>
  <si>
    <t>ABC BOARD - TOWN OF BUNN</t>
  </si>
  <si>
    <t>TOWN OF YOUNGSVILLE</t>
  </si>
  <si>
    <t>GASTON COUNTY</t>
  </si>
  <si>
    <t>TOWN OF STANLEY</t>
  </si>
  <si>
    <t>PARTNERS BEHAVIORAL HEALTH MANAGEMENT</t>
  </si>
  <si>
    <t>TOWN OF MCADENVILLE</t>
  </si>
  <si>
    <t>CITY OF GASTONIA</t>
  </si>
  <si>
    <t>GASTONIA ABC BOARD</t>
  </si>
  <si>
    <t>GASTON COUNTY ECONOMIC DEV. COMMISSION</t>
  </si>
  <si>
    <t>CITY OF BELMONT</t>
  </si>
  <si>
    <t>BELMONT HOUSING AUTHORITY</t>
  </si>
  <si>
    <t>TOWN OF CRAMERTON</t>
  </si>
  <si>
    <t>CITY OF CHERRYVILLE</t>
  </si>
  <si>
    <t>CHERRYVILLE ABC BOARD</t>
  </si>
  <si>
    <t>TOWN OF DALLAS</t>
  </si>
  <si>
    <t>CITY OF LOWELL</t>
  </si>
  <si>
    <t>BESSEMER CITY</t>
  </si>
  <si>
    <t>TOWN OF RANLO</t>
  </si>
  <si>
    <t>CITY OF MOUNT HOLLY</t>
  </si>
  <si>
    <t>GATES COUNTY</t>
  </si>
  <si>
    <t>GATES COUNTY ABC BOARD</t>
  </si>
  <si>
    <t>GRAHAM COUNTY</t>
  </si>
  <si>
    <t>GRAHAM CO HEALTH DEPT</t>
  </si>
  <si>
    <t>GRAHAM COUNTY DEPT OF S S</t>
  </si>
  <si>
    <t>TOWN OF ROBBINSVILLE</t>
  </si>
  <si>
    <t>GRANVILLE COUNTY</t>
  </si>
  <si>
    <t>GRANVILLE CO ABC BD</t>
  </si>
  <si>
    <t>GRANVILLE COUNTY HOSPITAL</t>
  </si>
  <si>
    <t>GRANVILLE-VANCE PUBLIC HEALTH</t>
  </si>
  <si>
    <t>SOUTH GRANVILLE WATER AND SEWER AUTHORITY</t>
  </si>
  <si>
    <t>CITY OF OXFORD</t>
  </si>
  <si>
    <t>OXFORD HOUSING AUTHORITY</t>
  </si>
  <si>
    <t>TOWN OF STOVALL</t>
  </si>
  <si>
    <t>CITY OF CREEDMOOR</t>
  </si>
  <si>
    <t>TOWN OF BUTNER</t>
  </si>
  <si>
    <t>GREENE COUNTY</t>
  </si>
  <si>
    <t>MAURY SANITARY LAND DISTRICT</t>
  </si>
  <si>
    <t>GREENE COUNTY ABC BOARD</t>
  </si>
  <si>
    <t>NEUSE REGIONAL LIBRARY-GREENE COUNTY</t>
  </si>
  <si>
    <t>TOWN OF HOOKERTON</t>
  </si>
  <si>
    <t>TOWN OF SNOW HILL</t>
  </si>
  <si>
    <t>TOWN OF WALSTONBURG</t>
  </si>
  <si>
    <t>GUILFORD COUNTY</t>
  </si>
  <si>
    <t>GUIL-RAND FIRE DEPARTMENT</t>
  </si>
  <si>
    <t>PINECROFT-SEDGEFIELD FIRE DIST INC</t>
  </si>
  <si>
    <t>ALAMANCE COMM FIRE DIST</t>
  </si>
  <si>
    <t>CITY OF GREENSBORO</t>
  </si>
  <si>
    <t>PIEDMONT TRIAD REG WATER AUTH</t>
  </si>
  <si>
    <t>GREENSBORO ABC BD</t>
  </si>
  <si>
    <t>GUILFORD FIRE DISTRICT # 13 INC</t>
  </si>
  <si>
    <t>CITY OF HIGH POINT</t>
  </si>
  <si>
    <t>HIGH POINT ABC BD</t>
  </si>
  <si>
    <t>TOWN OF JAMESTOWN</t>
  </si>
  <si>
    <t>TOWN OF GIBSONVILLE</t>
  </si>
  <si>
    <t>GIBSONVILLE ABC BOARD</t>
  </si>
  <si>
    <t>TOWN OF OAK RIDGE</t>
  </si>
  <si>
    <t>COLFAX VOLUNTEER FIRE DEPARTMENT</t>
  </si>
  <si>
    <t>TOWN OF SUMMERFIELD</t>
  </si>
  <si>
    <t>SUMMERFIELD FIRE DISTRICT</t>
  </si>
  <si>
    <t>HALIFAX COUNTY</t>
  </si>
  <si>
    <t>HALIFAX COUNTY ABC BOARD</t>
  </si>
  <si>
    <t>HALIFAX COUNTY TOURISM DEVELOPMENT AUTHORITY</t>
  </si>
  <si>
    <t>ROANOKE RAPIDS SANITARY DISTRICT</t>
  </si>
  <si>
    <t>TOWN OF ENFIELD</t>
  </si>
  <si>
    <t>CITY OF ROANOKE RAPIDS</t>
  </si>
  <si>
    <t>TOWN OF WELDON</t>
  </si>
  <si>
    <t>TOWN OF SCOTLAND NECK</t>
  </si>
  <si>
    <t>TOWN OF HOBGOOD</t>
  </si>
  <si>
    <t>TOWN OF LITTLETON</t>
  </si>
  <si>
    <t>HARNETT COUNTY</t>
  </si>
  <si>
    <t>CITY OF DUNN</t>
  </si>
  <si>
    <t>DUNN HOUSING AUTHORITY</t>
  </si>
  <si>
    <t>DUNN ABC BOARD</t>
  </si>
  <si>
    <t>TOWN OF LILLINGTON</t>
  </si>
  <si>
    <t>TOWN OF ERWIN</t>
  </si>
  <si>
    <t>TOWN OF COATS</t>
  </si>
  <si>
    <t>TOWN OF ANGIER ABC BOARD</t>
  </si>
  <si>
    <t>TOWN OF ANGIER</t>
  </si>
  <si>
    <t>HAYWOOD COUNTY</t>
  </si>
  <si>
    <t>HAYWOOD MEDICAL CENTER</t>
  </si>
  <si>
    <t>HAYWOOD COUNTY TOURISM DEVELOPMENT AUTHORITY</t>
  </si>
  <si>
    <t>JUNALUSKA SANITARY DISTRICT</t>
  </si>
  <si>
    <t>TOWN OF WAYNESVILLE</t>
  </si>
  <si>
    <t>WAYNESVILLE ABC BOARD</t>
  </si>
  <si>
    <t>TOWN OF MAGGIE VALLEY</t>
  </si>
  <si>
    <t>MAGGIE VALLEY ABC BOARD</t>
  </si>
  <si>
    <t>MAGGIE VALLEY SANITARY DIST</t>
  </si>
  <si>
    <t>TOWN OF CANTON</t>
  </si>
  <si>
    <t>CANTON ABC BOARD</t>
  </si>
  <si>
    <t>COUNTY OF HENDERSON</t>
  </si>
  <si>
    <t>CITY OF HENDERSONVILLE</t>
  </si>
  <si>
    <t>HENDERSONVILLE WATER COMMISSION</t>
  </si>
  <si>
    <t>HENDERSONVILLE ABC BD</t>
  </si>
  <si>
    <t>TOWN OF LAUREL PARK</t>
  </si>
  <si>
    <t>LAUREL PARK ABC BOARD</t>
  </si>
  <si>
    <t>THE VILLAGE OF FLAT ROCK</t>
  </si>
  <si>
    <t>BLUE RIDGE FIRE DEPARTMENT</t>
  </si>
  <si>
    <t>TOWN OF FLETCHER</t>
  </si>
  <si>
    <t>FLETCHER ABC BOARD</t>
  </si>
  <si>
    <t>TOWN OF MILLS RIVER</t>
  </si>
  <si>
    <t>HERTFORD COUNTY</t>
  </si>
  <si>
    <t>HERTFORD COUNTY ABC BOARD</t>
  </si>
  <si>
    <t>HERTFORD COUNTY PUBLIC HEALTH AUTHORITY</t>
  </si>
  <si>
    <t>TOWN OF AHOSKIE</t>
  </si>
  <si>
    <t>TOWN OF MURFREESBORO</t>
  </si>
  <si>
    <t>TOWN OF WINTON</t>
  </si>
  <si>
    <t>TOWN OF COFIELD</t>
  </si>
  <si>
    <t>HOKE COUNTY</t>
  </si>
  <si>
    <t>HOKE COUNTY ABC BOARD</t>
  </si>
  <si>
    <t>TOWN OF RAEFORD</t>
  </si>
  <si>
    <t>HYDE COUNTY</t>
  </si>
  <si>
    <t>HYDE COUNTY ABC BOARD</t>
  </si>
  <si>
    <t>OCRACOKE SANITARY DIST</t>
  </si>
  <si>
    <t>IREDELL COUNTY</t>
  </si>
  <si>
    <t>GREATER STATESVILLE DEVELOPMENT CORP</t>
  </si>
  <si>
    <t>CITY OF STATESVILLE</t>
  </si>
  <si>
    <t>STATESVILLE ABC BOARD</t>
  </si>
  <si>
    <t>CITY OF MOORESVILLE</t>
  </si>
  <si>
    <t>MOORESVILLE HOUSING AUTHORITY</t>
  </si>
  <si>
    <t>MOORESVILLE ABC BOARD</t>
  </si>
  <si>
    <t>TOWN OF TROUTMAN</t>
  </si>
  <si>
    <t>MI CONNECTION COMMUNICATIONS SYSTEM</t>
  </si>
  <si>
    <t>JACKSON COUNTY</t>
  </si>
  <si>
    <t>TUCKASEIGEE WATER AUTHORITY</t>
  </si>
  <si>
    <t>FONTANA REGIONAL LIBRARY</t>
  </si>
  <si>
    <t>SOUTHWESTERN NC PLANNING &amp; ECON.DEV.COMMIS.</t>
  </si>
  <si>
    <t>VAYA HEALTH</t>
  </si>
  <si>
    <t>TOWN OF SYLVA</t>
  </si>
  <si>
    <t>JACKSON COUNTY ABC BOARD</t>
  </si>
  <si>
    <t>JOHNSTON COUNTY</t>
  </si>
  <si>
    <t>BENSON HOUSING AUTHORITY</t>
  </si>
  <si>
    <t>JOHNSTON COUNTY ABC BOARD</t>
  </si>
  <si>
    <t>PUBLIC LIBRARY OF JOHNSTON CO AND SMITHFIELD</t>
  </si>
  <si>
    <t>TOWN OF ARCHER LODGE</t>
  </si>
  <si>
    <t>JOHNSTON HEALTH CENTER</t>
  </si>
  <si>
    <t>TOWN OF SMITHFIELD</t>
  </si>
  <si>
    <t>SMITHFIELD HOUSING AUTHORITY</t>
  </si>
  <si>
    <t>TOWN OF SELMA</t>
  </si>
  <si>
    <t>TOWN OF MICRO</t>
  </si>
  <si>
    <t>SELMA HOUSING AUTHORITY</t>
  </si>
  <si>
    <t>TOWN OF CLAYTON</t>
  </si>
  <si>
    <t>TOWN OF BENSON</t>
  </si>
  <si>
    <t>TOWN OF FOUR OAKS</t>
  </si>
  <si>
    <t>TOWN OF PINE LEVEL</t>
  </si>
  <si>
    <t>TOWN OF KENLY</t>
  </si>
  <si>
    <t>TOWN OF PRINCETON</t>
  </si>
  <si>
    <t>TOWN OF WILSON'S MILLS</t>
  </si>
  <si>
    <t>JONES COUNTY</t>
  </si>
  <si>
    <t>JONES COUNTY ABC BOARD</t>
  </si>
  <si>
    <t>NEUSE REGIONAL LIBRARY-JONES COUNTY</t>
  </si>
  <si>
    <t>TOWN OF POLLOCKSVILLE</t>
  </si>
  <si>
    <t>TOWN OF MAYSVILLE</t>
  </si>
  <si>
    <t>LEE COUNTY</t>
  </si>
  <si>
    <t>CITY OF SANFORD</t>
  </si>
  <si>
    <t>SANFORD ABC BOARD</t>
  </si>
  <si>
    <t>TOWN OF BROADWAY</t>
  </si>
  <si>
    <t>LENOIR COUNTY</t>
  </si>
  <si>
    <t>LENOIR COUNTY ABC BOARD</t>
  </si>
  <si>
    <t>NEUSE REGIONAL LIBRARY</t>
  </si>
  <si>
    <t>CITY OF KINSTON</t>
  </si>
  <si>
    <t>GLOBAL TRANSPARK DEVELOPMENT COMM</t>
  </si>
  <si>
    <t>HOUSING AUTH FOR THE CTY OF KINSTON</t>
  </si>
  <si>
    <t>KINSTON-LENOIR CO PUB LIBRARY</t>
  </si>
  <si>
    <t>TOWN OF PINK HILL</t>
  </si>
  <si>
    <t>TOWN OF LAGRANGE</t>
  </si>
  <si>
    <t>LINCOLN COUNTY</t>
  </si>
  <si>
    <t>LINCOLN COUNTY ABC BOARD</t>
  </si>
  <si>
    <t>CITY OF LINCOLNTON</t>
  </si>
  <si>
    <t>LINCOLNTON HOUSING AUTHORITY</t>
  </si>
  <si>
    <t>TOWN OF LINCOLNTON ABC BOARD</t>
  </si>
  <si>
    <t>MACON COUNTY</t>
  </si>
  <si>
    <t>TOWN OF FRANKLIN</t>
  </si>
  <si>
    <t>HIGHLANDS ABC BOARD</t>
  </si>
  <si>
    <t>TOWN OF HIGHLANDS</t>
  </si>
  <si>
    <t>MADISON COUNTY</t>
  </si>
  <si>
    <t>TOWN OF MARS HILL</t>
  </si>
  <si>
    <t>TOWN OF MARSHALL</t>
  </si>
  <si>
    <t>HOT SPRINGS HOUSING AUTHORITY</t>
  </si>
  <si>
    <t>MARTIN COUNTY</t>
  </si>
  <si>
    <t>MARTIN CO TRAVEL &amp; TOURISM AUTH</t>
  </si>
  <si>
    <t>MARTIN COUNTY ABC BOARD</t>
  </si>
  <si>
    <t>TOWN OF WILLIAMSTON</t>
  </si>
  <si>
    <t>WILLIAMSTON HOUSING AUTHORITY</t>
  </si>
  <si>
    <t>TOWN OF OAK CITY</t>
  </si>
  <si>
    <t>TOWN OF HAMILTON</t>
  </si>
  <si>
    <t>TOWN OF JAMESVILLE</t>
  </si>
  <si>
    <t>TOWN OF ROBERSONVILLE</t>
  </si>
  <si>
    <t>ROBERSONVILLE HOUSING AUTHORITY</t>
  </si>
  <si>
    <t>MCDOWELL COUNTY</t>
  </si>
  <si>
    <t>PLEASANT GARDEN FIRE DEPT</t>
  </si>
  <si>
    <t>TOWN OF MARION</t>
  </si>
  <si>
    <t>MARION ABC BOARD</t>
  </si>
  <si>
    <t>TOWN OF OLD FORT</t>
  </si>
  <si>
    <t>MECKLENBURG COUNTY</t>
  </si>
  <si>
    <t>CHARLOTTE HOUSING AUTHORITY</t>
  </si>
  <si>
    <t>MECKLENBURG COUNTY ABC BOARD</t>
  </si>
  <si>
    <t>CHARLOTTE MECKLENBURG PUBLIC LIBRARY</t>
  </si>
  <si>
    <t>MECKLENBURG EMER MED SVCS AGCY</t>
  </si>
  <si>
    <t>CENTRALINA COUNCIL OF GOVERNMENTS</t>
  </si>
  <si>
    <t>CITY OF CHARLOTTE</t>
  </si>
  <si>
    <t>CHARLOTTE REGIONAL VISITORS AUTHORITY</t>
  </si>
  <si>
    <t>CHARLOTTE FIREMEN'S RET SYS</t>
  </si>
  <si>
    <t>TOWN OF PINEVILLE</t>
  </si>
  <si>
    <t>TOWN OF MINT HILL</t>
  </si>
  <si>
    <t>TOWN OF HUNTERSVILLE</t>
  </si>
  <si>
    <t>TOWN OF CORNELIUS</t>
  </si>
  <si>
    <t>TOWN OF STALLINGS</t>
  </si>
  <si>
    <t>TOWN OF MATTHEWS</t>
  </si>
  <si>
    <t>TOWN OF DAVIDSON</t>
  </si>
  <si>
    <t>MITCHELL COUNTY</t>
  </si>
  <si>
    <t>MITCHELL SOIL &amp; WATER CONSERVATION DIST</t>
  </si>
  <si>
    <t>TOWN OF SPRUCE PINE</t>
  </si>
  <si>
    <t>TOWN OF BAKERSVILLE</t>
  </si>
  <si>
    <t>MONTGOMERY COUNTY</t>
  </si>
  <si>
    <t>MONTGOMERY-MUNICIPAL ABC BOARD</t>
  </si>
  <si>
    <t>TOWN OF STAR</t>
  </si>
  <si>
    <t>TOWN OF TROY</t>
  </si>
  <si>
    <t>TOWN OF BISCOE</t>
  </si>
  <si>
    <t>TOWN OF CANDOR</t>
  </si>
  <si>
    <t>TOWN OF MOUNT GILEAD</t>
  </si>
  <si>
    <t>MOORE COUNTY</t>
  </si>
  <si>
    <t>TOWN OF TAYLORTOWN</t>
  </si>
  <si>
    <t>MOORE COUNTY ABC BOARD</t>
  </si>
  <si>
    <t>MOORE COUNTY TOURISM DEVELOPMENT AUTHORITY</t>
  </si>
  <si>
    <t>MOORE COUNTY AIRPORT AUTHORITY</t>
  </si>
  <si>
    <t>TOWN OF SOUTHERN PINES</t>
  </si>
  <si>
    <t>TOWN OF CAMERON</t>
  </si>
  <si>
    <t>SANDHILLS CENTER</t>
  </si>
  <si>
    <t>TOWN OF VASS</t>
  </si>
  <si>
    <t>TOWN OF ABERDEEN</t>
  </si>
  <si>
    <t>TOWN OF ROBBINS</t>
  </si>
  <si>
    <t>VILLAGE OF PINEHURST</t>
  </si>
  <si>
    <t>TOWN OF PINEBLUFF</t>
  </si>
  <si>
    <t>VILLAGE OF WHISPERING PINES</t>
  </si>
  <si>
    <t>FOXFIRE VILLAGE</t>
  </si>
  <si>
    <t>TOWN OF CARTHAGE</t>
  </si>
  <si>
    <t>NASH COUNTY</t>
  </si>
  <si>
    <t>NASH COUNTY ABC BOARD</t>
  </si>
  <si>
    <t>BRASWELL MEMORIAL LIBRARY</t>
  </si>
  <si>
    <t>TOWN OF SPRING HOPE</t>
  </si>
  <si>
    <t>TOWN OF NASHVILLE</t>
  </si>
  <si>
    <t>TOWN OF MIDDLESEX</t>
  </si>
  <si>
    <t>TOWN OF WHITAKERS</t>
  </si>
  <si>
    <t>TOWN OF BAILEY</t>
  </si>
  <si>
    <t>TOWN OF SHARPSBURG</t>
  </si>
  <si>
    <t>NEW HANOVER COUNTY</t>
  </si>
  <si>
    <t>NEW HANOVER AIRPORT AUTH</t>
  </si>
  <si>
    <t>WILMINGTON HOUSING AUTHORITY</t>
  </si>
  <si>
    <t>NEW HANOVER COUNTY ABC BOARD</t>
  </si>
  <si>
    <t>CAPE FEAR PUBLIC UTILITY AUTHORITY</t>
  </si>
  <si>
    <t>LOWER CAPE FEAR WATER &amp; SEWER AUTH</t>
  </si>
  <si>
    <t>TOWN OF WRIGHTSVILLE BEACH</t>
  </si>
  <si>
    <t>CAPE FEAR PUBLIC TRANSPORTATION AUTHORITY</t>
  </si>
  <si>
    <t>TOWN OF CAROLINA BEACH</t>
  </si>
  <si>
    <t>CITY OF WILMINGTON</t>
  </si>
  <si>
    <t>TOWN OF KURE BEACH</t>
  </si>
  <si>
    <t>NORTHAMPTON COUNTY</t>
  </si>
  <si>
    <t>NORTHAMPTON COUNTY ABC BOARD</t>
  </si>
  <si>
    <t>TOWN OF RICH SQUARE</t>
  </si>
  <si>
    <t>CHOANOKE PUBLIC TRANSPORTATION AUTH</t>
  </si>
  <si>
    <t>TOWN OF WOODLAND</t>
  </si>
  <si>
    <t>TOWN OF GARYSBURG</t>
  </si>
  <si>
    <t>TOWN OF CONWAY</t>
  </si>
  <si>
    <t>TOWN OF GASTON</t>
  </si>
  <si>
    <t>TOWN OF JACKSON</t>
  </si>
  <si>
    <t>TOWN OF SEVERN</t>
  </si>
  <si>
    <t>TOWN OF SEABOARD</t>
  </si>
  <si>
    <t>ONSLOW COUNTY</t>
  </si>
  <si>
    <t>ONSLOW COUNTY ABC BOARD</t>
  </si>
  <si>
    <t>ONSLOW WATER &amp; SEWER AUTHORITY</t>
  </si>
  <si>
    <t>CITY OF JACKSONVILLE</t>
  </si>
  <si>
    <t>TOWN OF SWANSBORO</t>
  </si>
  <si>
    <t>TOWN OF HOLLY RIDGE</t>
  </si>
  <si>
    <t>HOLLY RIDGE HOUSING AUTHORITY</t>
  </si>
  <si>
    <t>TOWN OF RICHLANDS</t>
  </si>
  <si>
    <t>TOWN OF N TOPSAIL BEACH</t>
  </si>
  <si>
    <t>ORANGE COUNTY</t>
  </si>
  <si>
    <t>ORANGE COUNTY ABC BOARD</t>
  </si>
  <si>
    <t>ORANGE WATER AND SEWER AUTHORITY</t>
  </si>
  <si>
    <t>TOWN OF CHAPEL HILL</t>
  </si>
  <si>
    <t>TOWN OF CARRBORO</t>
  </si>
  <si>
    <t>TOWN OF HILLSBOROUGH</t>
  </si>
  <si>
    <t>PAMLICO COUNTY</t>
  </si>
  <si>
    <t>TOWN OF BAYBORO</t>
  </si>
  <si>
    <t>TOWN OF ORIENTAL</t>
  </si>
  <si>
    <t>BAY RIVER METRO SEWERAGE DISTRICT</t>
  </si>
  <si>
    <t>PASQUOTANK COUNTY</t>
  </si>
  <si>
    <t>PASQUOTANK-CAMDEN AMBULANCE SERVICE</t>
  </si>
  <si>
    <t>PASQUOTANK CO ABC BOARD</t>
  </si>
  <si>
    <t>EAST ALBEMARLE REGIONAL LIBRARY</t>
  </si>
  <si>
    <t>ALBEMARLE DISTRICT JAIL COMMISSION</t>
  </si>
  <si>
    <t>ALBEMARLE HOSPITAL AUTHORITY</t>
  </si>
  <si>
    <t>ELIZABETH CITY</t>
  </si>
  <si>
    <t>ELIZABETH CITY-PASQUOTANK CO AIRPORT AUTH</t>
  </si>
  <si>
    <t>ELIZABETH CITY PASQUOTANK COUNTY TDA</t>
  </si>
  <si>
    <t>PASQUOTANK-CAMDEN LIBRARY</t>
  </si>
  <si>
    <t>ELIZABETH CTY-PASQUOTANK CO INDUSTRL DEVELOPMENT C</t>
  </si>
  <si>
    <t>PENDER COUNTY</t>
  </si>
  <si>
    <t>PENDER COUNTY ABC BOARD</t>
  </si>
  <si>
    <t>TOWN OF BURGAW</t>
  </si>
  <si>
    <t>TOWN OF TOPSAIL BEACH</t>
  </si>
  <si>
    <t>TOWN OF SURF CITY</t>
  </si>
  <si>
    <t>PERQUIMANS COUNTY</t>
  </si>
  <si>
    <t>TOWN OF HERTFORD</t>
  </si>
  <si>
    <t>HERTFORD HOUSING AUTH</t>
  </si>
  <si>
    <t>TOWN OF HERTFORD ABC BOARD</t>
  </si>
  <si>
    <t>TOWN OF WINFALL</t>
  </si>
  <si>
    <t>PERSON COUNTY</t>
  </si>
  <si>
    <t>PERSON CO ABC BD</t>
  </si>
  <si>
    <t>CITY OF ROXBORO</t>
  </si>
  <si>
    <t>PITT COUNTY</t>
  </si>
  <si>
    <t>PITT-GREENVILLE CONV &amp; VISTORS</t>
  </si>
  <si>
    <t>PITT COUNTY ABC BOARD</t>
  </si>
  <si>
    <t>SHEPPARD MEMORIAL LIBRARY</t>
  </si>
  <si>
    <t>CONTENNEA METROPOLITAN SEWERAGE DIST</t>
  </si>
  <si>
    <t>CITY OF GREENVILLE</t>
  </si>
  <si>
    <t>GREENVILLE UTILITIES COMMISSION</t>
  </si>
  <si>
    <t>GREENVILLE HOUSING AUTHORITY</t>
  </si>
  <si>
    <t>TOWN OF FARMVILLE</t>
  </si>
  <si>
    <t>FARMVILLE HOUSING AUTHORITY</t>
  </si>
  <si>
    <t>TOWN OF GRIFTON</t>
  </si>
  <si>
    <t>TOWN OF BETHEL</t>
  </si>
  <si>
    <t>TOWN OF WINTERVILLE</t>
  </si>
  <si>
    <t>TOWN OF AYDEN</t>
  </si>
  <si>
    <t>AYDEN HOUSING AUTHORITY</t>
  </si>
  <si>
    <t>TOWN OF GRIMESLAND</t>
  </si>
  <si>
    <t>VILLAGE OF SIMPSON</t>
  </si>
  <si>
    <t>FOUNTAIN, TOWN OF</t>
  </si>
  <si>
    <t>POLK COUNTY</t>
  </si>
  <si>
    <t>TOWN OF TRYON</t>
  </si>
  <si>
    <t>TOWN OF COLUMBUS</t>
  </si>
  <si>
    <t>CITY OF SALUDA</t>
  </si>
  <si>
    <t>RANDOLPH COUNTY</t>
  </si>
  <si>
    <t>ASHEBORO ABC BOARD</t>
  </si>
  <si>
    <t>CITY OF ASHEBORO</t>
  </si>
  <si>
    <t>ASHEBORO HOUSING AUTH</t>
  </si>
  <si>
    <t>CITY OF RANDLEMAN</t>
  </si>
  <si>
    <t>CITY OF RANDLEMAN HOUSING AUTHORITY</t>
  </si>
  <si>
    <t>CITY OF RANDLEMAN ABC BOARD</t>
  </si>
  <si>
    <t>TOWN OF LIBERTY</t>
  </si>
  <si>
    <t>LIBERTY ABC BOARD</t>
  </si>
  <si>
    <t>TOWN OF RAMSEUR</t>
  </si>
  <si>
    <t>CITY OF ARCHDALE</t>
  </si>
  <si>
    <t>CITY OF TRINITY</t>
  </si>
  <si>
    <t>RICHMOND COUNTY</t>
  </si>
  <si>
    <t>SANDHILL REGIONAL LIBRARY</t>
  </si>
  <si>
    <t>CITY OF ROCKINGHAM</t>
  </si>
  <si>
    <t>ROCKINGHAM HOUSING AUTHORITY</t>
  </si>
  <si>
    <t>HAMLET ABC BOARD</t>
  </si>
  <si>
    <t>CITY OF HAMLET</t>
  </si>
  <si>
    <t>CITY OF ROCKINGHAM ABC BOARD</t>
  </si>
  <si>
    <t>TOWN OF ELLERBE</t>
  </si>
  <si>
    <t>ROBESON COUNTY</t>
  </si>
  <si>
    <t>LUMBER RIVER COUNCIL OF GOVERNMENTS</t>
  </si>
  <si>
    <t>ROBESON COUNTY HOUSING AUTHORITY</t>
  </si>
  <si>
    <t>ROBESON COUNTY PUBLIC LIBRARY</t>
  </si>
  <si>
    <t>CITY OF LUMBERTON</t>
  </si>
  <si>
    <t>LUMBERTON ABC BOARD</t>
  </si>
  <si>
    <t>LUMBERTON AIRPORT COMM</t>
  </si>
  <si>
    <t>TOWN OF FAIRMONT</t>
  </si>
  <si>
    <t>FAIRMONT HOUSING AUTHORITY</t>
  </si>
  <si>
    <t>TOWN OF ST PAULS</t>
  </si>
  <si>
    <t>ST PAUL'S BRD OF ALCOHOLIC CTL</t>
  </si>
  <si>
    <t>TOWN OF MAXTON</t>
  </si>
  <si>
    <t>TOWN OF PARKTON</t>
  </si>
  <si>
    <t>MAXTON ABC BOARD</t>
  </si>
  <si>
    <t>TOWN OF PEMBROKE</t>
  </si>
  <si>
    <t>PEMBROKE HOUSING AUTHORITY</t>
  </si>
  <si>
    <t>TOWN OF ROWLAND</t>
  </si>
  <si>
    <t>TOWN OF RED SPRINGS</t>
  </si>
  <si>
    <t>RED SPRINGS ABC BOARD</t>
  </si>
  <si>
    <t>ROCKINGHAM COUNTY</t>
  </si>
  <si>
    <t>CITY OF REIDSVILLE</t>
  </si>
  <si>
    <t>THE NEW REIDSVILLE HOUSING AUTH</t>
  </si>
  <si>
    <t>REIDSVILLE ABC BOARD</t>
  </si>
  <si>
    <t>TOWN OF MAYODAN</t>
  </si>
  <si>
    <t>TOWN OF STONEVILLE</t>
  </si>
  <si>
    <t>TOWN OF MADISON</t>
  </si>
  <si>
    <t>MADISON ABC BOARD</t>
  </si>
  <si>
    <t>MADISON-MAYODAN RECREATION COMM</t>
  </si>
  <si>
    <t>CITY OF EDEN</t>
  </si>
  <si>
    <t>EDEN ABC BOARD</t>
  </si>
  <si>
    <t>ROWAN COUNTY</t>
  </si>
  <si>
    <t>ROWAN CONVENTION &amp; VISTORS BUREAU</t>
  </si>
  <si>
    <t>ROWAN CO HOUSING AUTHORITY</t>
  </si>
  <si>
    <t>ROWAN COUNTY ABC BOARD</t>
  </si>
  <si>
    <t>ROWAN CO SOIL &amp; WATER CONV DIST</t>
  </si>
  <si>
    <t>CITY OF SALISBURY</t>
  </si>
  <si>
    <t>HOUSING AUTH OF THE CTY OF SALISBURY</t>
  </si>
  <si>
    <t>TOWN OF EAST SPENCER</t>
  </si>
  <si>
    <t>EAST SPENCER HOUSING AUTHORITY</t>
  </si>
  <si>
    <t>TOWN OF SPENCER</t>
  </si>
  <si>
    <t>TOWN OF CHINA GROVE</t>
  </si>
  <si>
    <t>TOWN OF LANDIS</t>
  </si>
  <si>
    <t>TOWN OF GRANITE QUARRY</t>
  </si>
  <si>
    <t>TOWN OF ROCKWELL</t>
  </si>
  <si>
    <t>TOWN OF FAITH</t>
  </si>
  <si>
    <t>TOWN OF CLEVELAND</t>
  </si>
  <si>
    <t>RUTHERFORD COUNTY</t>
  </si>
  <si>
    <t>BROAD RIVER WATER AUTHORITY</t>
  </si>
  <si>
    <t>RUTHERFORD POLK MCDOWELL DIST BRD OF HEALTH</t>
  </si>
  <si>
    <t>FOREST CITY ABC BOARD 168</t>
  </si>
  <si>
    <t>ISOTHERMAL PLANNING AND DEV COMM</t>
  </si>
  <si>
    <t>TOWN OF FOREST CITY</t>
  </si>
  <si>
    <t>FOREST CITY HOUSING AUTHORITY</t>
  </si>
  <si>
    <t>TOWN OF SPINDALE</t>
  </si>
  <si>
    <t>TOWN OF LAKE LURE</t>
  </si>
  <si>
    <t>TOWN OF RUTHERFORDTON</t>
  </si>
  <si>
    <t>TOWN OF RUTHERFORDTON ABC BRD</t>
  </si>
  <si>
    <t>TOWN OF ELLENBORO</t>
  </si>
  <si>
    <t>SAMPSON COUNTY</t>
  </si>
  <si>
    <t>J C HOLIDAY MEM LIBRARY</t>
  </si>
  <si>
    <t>CITY OF CLINTON</t>
  </si>
  <si>
    <t>CLINTON ABC BOARD</t>
  </si>
  <si>
    <t>TOWN OF SALEMBURG</t>
  </si>
  <si>
    <t>TOWN OF NEWTON GROVE</t>
  </si>
  <si>
    <t>ROSEBORO ABC BOARD</t>
  </si>
  <si>
    <t>TOWN OF GARLAND</t>
  </si>
  <si>
    <t>TOWN OF TURKEY</t>
  </si>
  <si>
    <t>TOWN OF ROSEBORO</t>
  </si>
  <si>
    <t>TOWN OF AUTRYVILLE</t>
  </si>
  <si>
    <t>SCOTLAND COUNTY</t>
  </si>
  <si>
    <t>SCOTLAND COUNTY ABC BOARD</t>
  </si>
  <si>
    <t>LAURINBURG-MAXTON AIRPORT COMMISSION</t>
  </si>
  <si>
    <t>CITY OF LAURINBURG</t>
  </si>
  <si>
    <t>LAURINBURG HOUSING AUTHORITY</t>
  </si>
  <si>
    <t>TOWN OF WAGRAM</t>
  </si>
  <si>
    <t>TOWN OF GIBSON</t>
  </si>
  <si>
    <t>STANLY COUNTY</t>
  </si>
  <si>
    <t>LOCUST ABC BOARD</t>
  </si>
  <si>
    <t>CITY OF ALBEMARLE</t>
  </si>
  <si>
    <t>VILLAGE OF MISENHEIMER</t>
  </si>
  <si>
    <t>ALBEMARLE ABC BOARD</t>
  </si>
  <si>
    <t>TOWN OF NORWOOD</t>
  </si>
  <si>
    <t>NORWOOD ABC BD</t>
  </si>
  <si>
    <t>CITY OF LOCUST</t>
  </si>
  <si>
    <t>TOWN OF OAKBORO</t>
  </si>
  <si>
    <t>TOWN OF BADIN</t>
  </si>
  <si>
    <t>TOWN OF STANFIELD</t>
  </si>
  <si>
    <t>STOKES COUNTY</t>
  </si>
  <si>
    <t>TOWN OF WALNUT COVE</t>
  </si>
  <si>
    <t>WALNUT COVE ABC BOARD</t>
  </si>
  <si>
    <t>CITY OF KING</t>
  </si>
  <si>
    <t>SURRY COUNTY</t>
  </si>
  <si>
    <t>YADKIN VALLEY ABC BOARD</t>
  </si>
  <si>
    <t>PILOT MOUNTAIN ABC BOARD</t>
  </si>
  <si>
    <t>YADKIN VALLEY SEWER AUTHORITY</t>
  </si>
  <si>
    <t>TOWN OF PILOT MOUNTAIN</t>
  </si>
  <si>
    <t>TOWN OF DOBSON</t>
  </si>
  <si>
    <t>DOBSON ABC BD</t>
  </si>
  <si>
    <t>CITY OF MOUNT AIRY</t>
  </si>
  <si>
    <t>MOUNT AIRY ALCOHOLIC BOARD OF CONTROL</t>
  </si>
  <si>
    <t>TOWN OF ELKIN</t>
  </si>
  <si>
    <t>SWAIN COUNTY</t>
  </si>
  <si>
    <t>TOWN OF BRYSON CITY</t>
  </si>
  <si>
    <t>BRYSON CITY ABC BOARD</t>
  </si>
  <si>
    <t>TRANSYLVANIA COUNTY</t>
  </si>
  <si>
    <t>CITY OF BREVARD</t>
  </si>
  <si>
    <t>BREVARD ABC BOARD</t>
  </si>
  <si>
    <t>TYRRELL COUNTY</t>
  </si>
  <si>
    <t>TYRRELL CO ABC BOARD</t>
  </si>
  <si>
    <t>TOWN OF COLUMBIA</t>
  </si>
  <si>
    <t>UNION COUNTY</t>
  </si>
  <si>
    <t>CITY OF MONROE</t>
  </si>
  <si>
    <t>CITY OF MONROE HOUSING AUTHORITY</t>
  </si>
  <si>
    <t>INDIAN TRAIL ABC BOARD</t>
  </si>
  <si>
    <t>MONROE ABC BOARD</t>
  </si>
  <si>
    <t>TOWN OF MARSHVILLE</t>
  </si>
  <si>
    <t>TOWN OF WINGATE</t>
  </si>
  <si>
    <t>TOWN OF WAXHAW</t>
  </si>
  <si>
    <t>WAXHAW ABC BOARD</t>
  </si>
  <si>
    <t>TOWN OF INDIAN TRAIL</t>
  </si>
  <si>
    <t>TOWN OF UNIONVILLE</t>
  </si>
  <si>
    <t>TOWN OF WEDDINGTON</t>
  </si>
  <si>
    <t>VILLAGE OF MARVIN</t>
  </si>
  <si>
    <t>VILLAGE OF WESLEY CHAPEL</t>
  </si>
  <si>
    <t>VANCE COUNTY</t>
  </si>
  <si>
    <t>VANCE COUNTY ABC BD</t>
  </si>
  <si>
    <t>KERR-TAR REGIONAL COUNCIL OF GOVTS</t>
  </si>
  <si>
    <t>KERR AREA TRANSPORTATION AUTHORITY</t>
  </si>
  <si>
    <t>CITY OF HENDERSON</t>
  </si>
  <si>
    <t>WAKE COUNTY</t>
  </si>
  <si>
    <t>TOWN OF HOLLY SPRINGS</t>
  </si>
  <si>
    <t>TOWN OF ROLESVILLE</t>
  </si>
  <si>
    <t>WAKE COUNTY ABC BOARD</t>
  </si>
  <si>
    <t>TOWN OF MORRISVILLE</t>
  </si>
  <si>
    <t>WAKE COUNTY HOUSING AUTHORITY</t>
  </si>
  <si>
    <t>BAYLEAF FIRE DEPARTMENT</t>
  </si>
  <si>
    <t>ELECTRICITIES OF NC</t>
  </si>
  <si>
    <t>CITY OF RALEIGH</t>
  </si>
  <si>
    <t>DURHAM HWY FIRE PROTECTION ASSOC</t>
  </si>
  <si>
    <t>CITY OF RALEIGH HOUSING AUTHORITY</t>
  </si>
  <si>
    <t>RALEIGH-DURHAM AIRPORT AUTHORITY</t>
  </si>
  <si>
    <t>TOWN OF CARY</t>
  </si>
  <si>
    <t>CENTENNIAL AUTHORITY</t>
  </si>
  <si>
    <t>TOWN OF WENDELL</t>
  </si>
  <si>
    <t>TOWN OF ZEBULON</t>
  </si>
  <si>
    <t>TOWN OF GARNER</t>
  </si>
  <si>
    <t>GARNER FIRE DEPT</t>
  </si>
  <si>
    <t>TOWN OF FUQUAY-VARINA</t>
  </si>
  <si>
    <t>TOWN OF APEX</t>
  </si>
  <si>
    <t>TOWN OF WAKE FOREST</t>
  </si>
  <si>
    <t>TOWN OF KNIGHTDALE</t>
  </si>
  <si>
    <t>WARREN COUNTY</t>
  </si>
  <si>
    <t>WARREN COUNTY ABC BOARD</t>
  </si>
  <si>
    <t>TOWN OF NORLINA</t>
  </si>
  <si>
    <t>TOWN OF WARRENTON</t>
  </si>
  <si>
    <t>WASHINGTON COUNTY</t>
  </si>
  <si>
    <t>WASHINGTON COUNTY ABC BOARD</t>
  </si>
  <si>
    <t>PETTIGREW REGIONAL LIBRARY</t>
  </si>
  <si>
    <t>TOWN OF PLYMOUTH</t>
  </si>
  <si>
    <t>PLYMOUTH HOUSING AUTHORITY</t>
  </si>
  <si>
    <t>TOWN OF ROPER</t>
  </si>
  <si>
    <t>TOWN OF CRESWELL</t>
  </si>
  <si>
    <t>WATAUGA COUNTY</t>
  </si>
  <si>
    <t>REGION D COUNCIL OF GOVERNMENTS</t>
  </si>
  <si>
    <t>BLOWING ROCK TOURISM DEVELOPMENT AUTHORITY</t>
  </si>
  <si>
    <t>WATAUGA COUNTY DISTRICT U TDA</t>
  </si>
  <si>
    <t>TOWN OF BOONE</t>
  </si>
  <si>
    <t>TOWN OF BLOWING ROCK</t>
  </si>
  <si>
    <t>BLOWING ROCK ABC BD</t>
  </si>
  <si>
    <t>TOWN OF SEVEN DEVILS</t>
  </si>
  <si>
    <t>WAYNE COUNTY</t>
  </si>
  <si>
    <t>FORK TOWNSHIP SANITARY DIST</t>
  </si>
  <si>
    <t>EASTERN CAROLINA REG'L HOUSING AUTH</t>
  </si>
  <si>
    <t>WAYNE COUNTY ABC BOARD</t>
  </si>
  <si>
    <t>SOUTHERN WAYNE SANITARY DISTRICT</t>
  </si>
  <si>
    <t>EASTERN WAYNE SANITARY DIST</t>
  </si>
  <si>
    <t>CITY OF GOLDSBORO</t>
  </si>
  <si>
    <t>HOUSING AUTHORITY OF GOLDSBORO</t>
  </si>
  <si>
    <t>TOWN OF MOUNT OLIVE</t>
  </si>
  <si>
    <t>MT OLIVE HOUSING AUTHORITY</t>
  </si>
  <si>
    <t>TOWN OF FREMONT</t>
  </si>
  <si>
    <t>TOWN OF PIKEVILLE</t>
  </si>
  <si>
    <t>VILLAGE OF WALNUT CREEK</t>
  </si>
  <si>
    <t>WILKES COUNTY</t>
  </si>
  <si>
    <t>APPALACHIAN REGIONAL LIBRARY</t>
  </si>
  <si>
    <t>TOWN OF N WILKESBORO</t>
  </si>
  <si>
    <t>TOWN OF N WILKESBORO ABC BOARD</t>
  </si>
  <si>
    <t>TOWN OF WILKESBORO</t>
  </si>
  <si>
    <t>WILKESBORO ABC BOARD</t>
  </si>
  <si>
    <t>WILSON COUNTY</t>
  </si>
  <si>
    <t>WILSON COUNTY TOURISM DEVELOPMENT AUTH</t>
  </si>
  <si>
    <t>WILSON COUNTY ABC BOARD</t>
  </si>
  <si>
    <t>CITY OF WILSON</t>
  </si>
  <si>
    <t>WILSON ECONOMIC DEV COUNCIL</t>
  </si>
  <si>
    <t>CITY OF WILSON CEMETERY COMMISSION</t>
  </si>
  <si>
    <t>TOWN OF STANTONSBURG</t>
  </si>
  <si>
    <t>TOWN OF BLACK CREEK</t>
  </si>
  <si>
    <t>TOWN OF LUCAMA</t>
  </si>
  <si>
    <t>TOWN OF ELM CITY</t>
  </si>
  <si>
    <t>YADKIN COUNTY</t>
  </si>
  <si>
    <t>TOWN OF YADKINVILLE</t>
  </si>
  <si>
    <t>TOWN OF JONESVILLE</t>
  </si>
  <si>
    <t>TOWN OF EAST BEND</t>
  </si>
  <si>
    <t>TOWN OF BOONVILLE</t>
  </si>
  <si>
    <t>N C ASSOC OF CO COMMISSIONERS</t>
  </si>
  <si>
    <t>N C LEAGUE OF MUNICIPALITIES</t>
  </si>
  <si>
    <t>source : LGERS GASB 68 FYE2017 - Client</t>
  </si>
  <si>
    <t>`</t>
  </si>
  <si>
    <t>Contributions - July 1, 2015 through June 30, 2016</t>
  </si>
  <si>
    <t>Net Pension Liability - Beginning of the Year</t>
  </si>
  <si>
    <t>COUNTY OF BEAUFORT</t>
  </si>
  <si>
    <t>WESTERN AIR POLLUTION CTL</t>
  </si>
  <si>
    <t>WATER &amp; SEWER AUTH CABARRUS CNTY</t>
  </si>
  <si>
    <t>CLEVELAND CO SANITARY DIST</t>
  </si>
  <si>
    <t>EAST CAROLINA BEHAVORIAL HEALTHCARE</t>
  </si>
  <si>
    <t>COUNTY OF GATES</t>
  </si>
  <si>
    <t>GRANVILLE-VANCE HEALTH DIST</t>
  </si>
  <si>
    <t>HAYWOOD CO</t>
  </si>
  <si>
    <t>SMOKY MOUNTAIN M H C</t>
  </si>
  <si>
    <t>HOUSING AUTH OF THE CITY OF WILMINGTON</t>
  </si>
  <si>
    <t>COASTALCARE</t>
  </si>
  <si>
    <t>COUNTY OF ROBESON</t>
  </si>
  <si>
    <t>ELKIN ABC BOARD</t>
  </si>
  <si>
    <t>HOUSING AUTHORITY OF THE COUNTY OF WAKE</t>
  </si>
  <si>
    <t>Alamance Municipal ABC Board</t>
  </si>
  <si>
    <t>Albemarle Regional Health Services</t>
  </si>
  <si>
    <t>Brunswick County Dept of Social Services</t>
  </si>
  <si>
    <t>Brunswick Regional Water and Sewer H2GO</t>
  </si>
  <si>
    <t>Burke County Dept of Social Services</t>
  </si>
  <si>
    <t>Caswell County Dept of Social Services</t>
  </si>
  <si>
    <t>Centerpoint Human Services</t>
  </si>
  <si>
    <t>Charlotte Regional Visitors Authority</t>
  </si>
  <si>
    <t>Contennea Metro Sewer District</t>
  </si>
  <si>
    <t>East Carolina Behavorial Healthcare</t>
  </si>
  <si>
    <t>Eastpointe Human Services</t>
  </si>
  <si>
    <t>Goldsboro Housing Authority</t>
  </si>
  <si>
    <t>Graham County Dept of Social Services</t>
  </si>
  <si>
    <t>Indian Trail ABC Board</t>
  </si>
  <si>
    <t>Jackson County ABC Board</t>
  </si>
  <si>
    <t>Johnston Health Center</t>
  </si>
  <si>
    <t>McDowell County</t>
  </si>
  <si>
    <t>Mid-Carolina Council of Governments</t>
  </si>
  <si>
    <t>Mideast Commission</t>
  </si>
  <si>
    <t>Mineral Springs, Town of</t>
  </si>
  <si>
    <t>Parkton, Town of</t>
  </si>
  <si>
    <t>Partners Behavioral Health Management</t>
  </si>
  <si>
    <t>Rowan Convention and Visitors Bureau</t>
  </si>
  <si>
    <t>Sandhills Center</t>
  </si>
  <si>
    <t>Southeast Brunswick Sanitary District</t>
  </si>
  <si>
    <t>Triad Municipal ABC Board</t>
  </si>
  <si>
    <t>Trillium Health Resources</t>
  </si>
  <si>
    <t>Upper Coastal Plain Council of Governments</t>
  </si>
  <si>
    <t>West Columbus ABC Board</t>
  </si>
  <si>
    <t>Yadkin Valley ABC Board</t>
  </si>
  <si>
    <t>Agency Num</t>
  </si>
  <si>
    <t>Agency Name</t>
  </si>
  <si>
    <t>FY 2017 Total Contributions</t>
  </si>
  <si>
    <t>(Normal Contributions, Plus Liability Contributions, net of Court Costs Offsets)</t>
  </si>
  <si>
    <t>CAPE FEAR REGIONAL JETPORT</t>
  </si>
  <si>
    <t>COLUMBUS ABC BOARD</t>
  </si>
  <si>
    <t>TOWN OF NEW LONDON</t>
  </si>
  <si>
    <t>Totals:</t>
  </si>
  <si>
    <t>Plan measurement period used for FY18 is the twelve months ending June 30, 2017.</t>
  </si>
  <si>
    <t>7/1/2016 through 9/30/2016</t>
  </si>
  <si>
    <t>7/1/2016 through 12/31/2016</t>
  </si>
  <si>
    <t>7/1/2016 through 3/31/2017</t>
  </si>
  <si>
    <t>Plan Total for 6/30/2017 Measurement Date</t>
  </si>
  <si>
    <t>10/1/2016 through 6/30/2017</t>
  </si>
  <si>
    <t>4/1/2017 through 6/30/2017</t>
  </si>
  <si>
    <r>
      <t xml:space="preserve">Net DO/DI for Difference Between Projected and Actual Investment Earnings on Plan Investements </t>
    </r>
    <r>
      <rPr>
        <b/>
        <sz val="11"/>
        <color rgb="FFFF0000"/>
        <rFont val="Calibri"/>
        <family val="2"/>
        <scheme val="minor"/>
      </rPr>
      <t>(added by LGC)</t>
    </r>
  </si>
  <si>
    <t>Plan total for 6/30/2016 Measurement Date</t>
  </si>
  <si>
    <t>Fiscal Year Ended June 30, 2018</t>
  </si>
  <si>
    <t>7/1/2016 through 6/30/2017</t>
  </si>
  <si>
    <t>&lt;&lt; This will be blank if you have a 6/30/2018 fiscal year end.   STEP 4</t>
  </si>
  <si>
    <t xml:space="preserve"> &lt;&lt; Enter your fiscal year-end (i.e 9/30/2017, 12/31/2017, 3/31/2018, 6/30/2018). STEP 3</t>
  </si>
  <si>
    <t>Alamance Comm Fire Dist</t>
  </si>
  <si>
    <t>Albemarle Regnl Planning &amp; Development Comm</t>
  </si>
  <si>
    <t>Alexander County Dept Of S S</t>
  </si>
  <si>
    <t>Alexander County Health Dept</t>
  </si>
  <si>
    <t>Alexander County Public Library</t>
  </si>
  <si>
    <t>Alliance Behavioral Healthcre</t>
  </si>
  <si>
    <t>Appalachian District Health Dept</t>
  </si>
  <si>
    <t>Asheboro Housing Auth</t>
  </si>
  <si>
    <t>Avery County Fire Commission</t>
  </si>
  <si>
    <t>Avery-Mitchell-Yancey Reg Library</t>
  </si>
  <si>
    <t>B H M Regional Library</t>
  </si>
  <si>
    <t>Beaufort Housing Auth</t>
  </si>
  <si>
    <t>Brunswick Co Dept Of Social Services</t>
  </si>
  <si>
    <t>Brunswick Co Health Dept</t>
  </si>
  <si>
    <t>Brunswick County Tourism Authority</t>
  </si>
  <si>
    <t>Brunswick Regional Water And Sewer H2Go</t>
  </si>
  <si>
    <t>Burke Co Dept Of Social Services</t>
  </si>
  <si>
    <t>Burke Co Health Dept</t>
  </si>
  <si>
    <t>Burke County Tourism Dev. Authority</t>
  </si>
  <si>
    <t>Burke-Catawba Dist Confinement</t>
  </si>
  <si>
    <t>Cabarrus Co Public Health Auth</t>
  </si>
  <si>
    <t>Cabarrus County Tourism Authority</t>
  </si>
  <si>
    <t>Caswell Co Dept Of Social Services</t>
  </si>
  <si>
    <t>Centennial Authority</t>
  </si>
  <si>
    <t>Charlotte Firemen'S Ret Sys</t>
  </si>
  <si>
    <t>Charlotte Housing Authority</t>
  </si>
  <si>
    <t>Charlotte Mecklenburg Public Library</t>
  </si>
  <si>
    <t>Chatham Co Housing Auth</t>
  </si>
  <si>
    <t>Choanoke Public Transportation Auth</t>
  </si>
  <si>
    <t>Chowan County Abc Board</t>
  </si>
  <si>
    <t>Cleveland County Water</t>
  </si>
  <si>
    <t>Coastal Carolina Regional Airport</t>
  </si>
  <si>
    <t>Coastal Regional Solid Waste Mngt Auth</t>
  </si>
  <si>
    <t>Contennea Metropolitan Sewerage Dist</t>
  </si>
  <si>
    <t>County Of Henderson</t>
  </si>
  <si>
    <t>Davie Soil And Water Conservation Dist</t>
  </si>
  <si>
    <t>Durham Convention &amp; Visitors Bureau</t>
  </si>
  <si>
    <t>Durham Hwy Fire Protection Assoc</t>
  </si>
  <si>
    <t>Eastern Carolina Reg'L Housing Auth</t>
  </si>
  <si>
    <t>Eastern Wayne Sanitary Dist</t>
  </si>
  <si>
    <t>Edgecombe County Memorial Library</t>
  </si>
  <si>
    <t>Electricities Of Nc</t>
  </si>
  <si>
    <t>Elizabeth City Pasquotank County Tda</t>
  </si>
  <si>
    <t>Elizabeth City-Pasquotank Co Airport Auth</t>
  </si>
  <si>
    <t>Elizabeth Cty-Pasquotank Co Industrl Development C</t>
  </si>
  <si>
    <t>Fayetteville Metropolitan Housing Auth</t>
  </si>
  <si>
    <t>First Craven Sanitary Dist</t>
  </si>
  <si>
    <t>Fork Township Sanitary Dist</t>
  </si>
  <si>
    <t>Fountain, Town Of</t>
  </si>
  <si>
    <t>Garner Fire Dept</t>
  </si>
  <si>
    <t>Gaston County Economic Dev. Commission</t>
  </si>
  <si>
    <t>Graham Co Health Dept</t>
  </si>
  <si>
    <t>Graham County Dept Of S S</t>
  </si>
  <si>
    <t>Granville-Vance Public Health</t>
  </si>
  <si>
    <t>Greater Statesville Development Corp</t>
  </si>
  <si>
    <t>Guilford Fire District # 13 Inc</t>
  </si>
  <si>
    <t>Haywood County Tourism Development Authority</t>
  </si>
  <si>
    <t>Hertford Housing Auth</t>
  </si>
  <si>
    <t>Hickory Conover Tourism Dev Auth</t>
  </si>
  <si>
    <t>Hickory Public Housing Authority</t>
  </si>
  <si>
    <t>Housing Auth For The Cty Of Kinston</t>
  </si>
  <si>
    <t>Housing Auth Of The Cty Of Salisbury</t>
  </si>
  <si>
    <t>Housing Authority Of Goldsboro</t>
  </si>
  <si>
    <t>Isothermal Planning And Dev Comm</t>
  </si>
  <si>
    <t>J C Holiday Mem Library</t>
  </si>
  <si>
    <t>Kerr Area Transportation Authority</t>
  </si>
  <si>
    <t>Kerr-Tar Regional Council Of Govts</t>
  </si>
  <si>
    <t>Kinston-Lenoir Co Pub Library</t>
  </si>
  <si>
    <t>Laurinburg Housing Authority</t>
  </si>
  <si>
    <t>Lumberton Airport Comm</t>
  </si>
  <si>
    <t>Maggie Valley Sanitary Dist</t>
  </si>
  <si>
    <t>Martin Co Travel &amp; Tourism Auth</t>
  </si>
  <si>
    <t>Martin-Tyrrell-Washington Dist Health Dept</t>
  </si>
  <si>
    <t>Mcdowell County</t>
  </si>
  <si>
    <t>Mecklenburg Emer Med Svcs Agcy</t>
  </si>
  <si>
    <t>Mi Connection Communications System</t>
  </si>
  <si>
    <t>Mid-Carolina Council Of Governments</t>
  </si>
  <si>
    <t>Mitchell Soil &amp; Water Conservation Dist</t>
  </si>
  <si>
    <t>Moore County Tourism Development Authority</t>
  </si>
  <si>
    <t>Mount Airy Alcoholic Board Of Control</t>
  </si>
  <si>
    <t>Mt Olive Housing Authority</t>
  </si>
  <si>
    <t>N C Assoc Of Co Commissioners</t>
  </si>
  <si>
    <t>N C League Of Municipalities</t>
  </si>
  <si>
    <t>Neuse Regional Library-Greene County</t>
  </si>
  <si>
    <t>Neuse Regional Library-Jones County</t>
  </si>
  <si>
    <t>New Hanover Airport Auth</t>
  </si>
  <si>
    <t>Ocracoke Sanitary Dist</t>
  </si>
  <si>
    <t>Onslow Water &amp; Sewer Authority</t>
  </si>
  <si>
    <t>Orange Water And Sewer Authority</t>
  </si>
  <si>
    <t>Piedmont Triad Reg Water Auth</t>
  </si>
  <si>
    <t>Pinecroft-Sedgefield Fire Dist Inc</t>
  </si>
  <si>
    <t>Pitt-Greenville Conv &amp; Vistors</t>
  </si>
  <si>
    <t>Pleasant Garden Fire Dept</t>
  </si>
  <si>
    <t>Public Library Of Johnston Co And Smithfield</t>
  </si>
  <si>
    <t>Public Works Comm Cty Of Fayetteville</t>
  </si>
  <si>
    <t>Rocky Mt Housing Authority</t>
  </si>
  <si>
    <t>Rowan Co Housing Authority</t>
  </si>
  <si>
    <t>Rowan Co Soil &amp; Water Conv Dist</t>
  </si>
  <si>
    <t>Rowan Convention &amp; Vistors Bureau</t>
  </si>
  <si>
    <t>Rutherford Polk Mcdowell Dist Brd Of Health</t>
  </si>
  <si>
    <t>Skyland Vol Fire Dept</t>
  </si>
  <si>
    <t>South Eastern Economic Development Comm</t>
  </si>
  <si>
    <t>South Granville Water And Sewer Authority</t>
  </si>
  <si>
    <t>Southwestern Nc Planning &amp; Econ.Dev.Commis.</t>
  </si>
  <si>
    <t>St Paul'S Brd Of Alcoholic Ctl</t>
  </si>
  <si>
    <t>Toe River Health District</t>
  </si>
  <si>
    <t>Cajah'S Mountain</t>
  </si>
  <si>
    <t>Elon</t>
  </si>
  <si>
    <t>Hildebran</t>
  </si>
  <si>
    <t>Lake Waccamaw</t>
  </si>
  <si>
    <t>Lewiston Woodville</t>
  </si>
  <si>
    <t>Parkton</t>
  </si>
  <si>
    <t>Seagrove</t>
  </si>
  <si>
    <t>St James</t>
  </si>
  <si>
    <t>St Pauls</t>
  </si>
  <si>
    <t>Wilson'S Mills</t>
  </si>
  <si>
    <t>Tuckaseigee Water Authority</t>
  </si>
  <si>
    <t>Upper Coastal Plain Council Of Governments</t>
  </si>
  <si>
    <t>Vaya Health</t>
  </si>
  <si>
    <t>Watauga County District U Tda</t>
  </si>
  <si>
    <t>Water &amp; Sewer Auth Of Cabarrus Cnty</t>
  </si>
  <si>
    <t>West Buncombe Fire Dept</t>
  </si>
  <si>
    <t>Westarea Volunteer Fire Dept</t>
  </si>
  <si>
    <t>Western Carteret Interlocal Cooperation Agency</t>
  </si>
  <si>
    <t>Western Nc Regional Air Quality</t>
  </si>
  <si>
    <t>Western Piedmont Council Of Gvmts</t>
  </si>
  <si>
    <t>Wilson County Tourism Development Auth</t>
  </si>
  <si>
    <t>Wilson Economic Dev Council</t>
  </si>
  <si>
    <t>Woodfin Sanitary Water And Sewer Dist</t>
  </si>
  <si>
    <t>Yancey Soil &amp; Water Cons</t>
  </si>
  <si>
    <t>Bunn ABC Board</t>
  </si>
  <si>
    <t>Albemarle ABC Board</t>
  </si>
  <si>
    <t>Asheboro ABC Board</t>
  </si>
  <si>
    <t>Asheville ABC Board</t>
  </si>
  <si>
    <t>Beaufort County ABC Board</t>
  </si>
  <si>
    <t>Bertie County ABC Board</t>
  </si>
  <si>
    <t>Black Mtn ABC Board</t>
  </si>
  <si>
    <t>Blowing Rock ABC Bd</t>
  </si>
  <si>
    <t>Brevard ABC Board</t>
  </si>
  <si>
    <t>Boiling Spring Lakes ABC Board</t>
  </si>
  <si>
    <t>Brunswick County ABC Board</t>
  </si>
  <si>
    <t>Bryson City ABC Board</t>
  </si>
  <si>
    <t>Calabash ABC Board</t>
  </si>
  <si>
    <t>Camden County ABC Board</t>
  </si>
  <si>
    <t>Canton ABC Board</t>
  </si>
  <si>
    <t>Carteret County ABC Board</t>
  </si>
  <si>
    <t>Caswell County ABC Board</t>
  </si>
  <si>
    <t>Catawba County ABC Board</t>
  </si>
  <si>
    <t>Chatham County ABC Board</t>
  </si>
  <si>
    <t>Cherryville ABC Board</t>
  </si>
  <si>
    <t>Clinton ABC Board</t>
  </si>
  <si>
    <t>Concord ABC Board</t>
  </si>
  <si>
    <t>Cooleemee ABC Board</t>
  </si>
  <si>
    <t>Craven Co ABC Bd</t>
  </si>
  <si>
    <t>Cumberland Co ABC Board</t>
  </si>
  <si>
    <t>Currituck Co ABC Board</t>
  </si>
  <si>
    <t>Dare County ABC Board</t>
  </si>
  <si>
    <t>Dobson ABC Bd</t>
  </si>
  <si>
    <t>Dunn ABC Board</t>
  </si>
  <si>
    <t>Durham County ABC Board</t>
  </si>
  <si>
    <t>Eden ABC Board</t>
  </si>
  <si>
    <t>Edgecombe County ABC Board</t>
  </si>
  <si>
    <t>Elizabethtown ABC Board</t>
  </si>
  <si>
    <t>Fletcher ABC Board</t>
  </si>
  <si>
    <t>Forest City ABC Board 168</t>
  </si>
  <si>
    <t>Franklinton ABC Board</t>
  </si>
  <si>
    <t>Gastonia ABC Board</t>
  </si>
  <si>
    <t>Gates County ABC Board</t>
  </si>
  <si>
    <t>Gibsonville ABC Board</t>
  </si>
  <si>
    <t>Granite Falls ABC Board</t>
  </si>
  <si>
    <t>Granville Co ABC Bd</t>
  </si>
  <si>
    <t>Greene County ABC Board</t>
  </si>
  <si>
    <t>Greensboro ABC Bd</t>
  </si>
  <si>
    <t>Halifax County ABC Board</t>
  </si>
  <si>
    <t>Hamlet ABC Board</t>
  </si>
  <si>
    <t>Hendersonville ABC Bd</t>
  </si>
  <si>
    <t>Hertford County ABC Board</t>
  </si>
  <si>
    <t>High Country ABC Board</t>
  </si>
  <si>
    <t>High Point ABC Bd</t>
  </si>
  <si>
    <t>Highlands ABC Board</t>
  </si>
  <si>
    <t>Hoke County ABC Board</t>
  </si>
  <si>
    <t>Hyde County ABC Board</t>
  </si>
  <si>
    <t>Johnston County ABC Board</t>
  </si>
  <si>
    <t>Jones County ABC Board</t>
  </si>
  <si>
    <t>Kenansville ABC Board</t>
  </si>
  <si>
    <t>Kings Mountain ABC Board</t>
  </si>
  <si>
    <t>Lake Waccamaw ABC Board</t>
  </si>
  <si>
    <t>Laurel Park ABC Board</t>
  </si>
  <si>
    <t>Lenoir County ABC Board</t>
  </si>
  <si>
    <t>Lexington ABC Board</t>
  </si>
  <si>
    <t>Liberty ABC Board</t>
  </si>
  <si>
    <t>Lincoln County ABC Board</t>
  </si>
  <si>
    <t>Locust ABC Board</t>
  </si>
  <si>
    <t>Louisburg ABC Board</t>
  </si>
  <si>
    <t>Lumberton ABC Board</t>
  </si>
  <si>
    <t>Madison ABC Board</t>
  </si>
  <si>
    <t>Maggie Valley ABC Board</t>
  </si>
  <si>
    <t>Marion ABC Board</t>
  </si>
  <si>
    <t>Martin County ABC Board</t>
  </si>
  <si>
    <t>Maxton ABC Board</t>
  </si>
  <si>
    <t>Mecklenburg County ABC Board</t>
  </si>
  <si>
    <t>Monroe ABC Board</t>
  </si>
  <si>
    <t>Montgomery-Municipal ABC Board</t>
  </si>
  <si>
    <t>Moore County ABC Board</t>
  </si>
  <si>
    <t>Mooresville ABC Board</t>
  </si>
  <si>
    <t>Morganton ABC Board</t>
  </si>
  <si>
    <t>Mt Pleasant ABC Board</t>
  </si>
  <si>
    <t>Murphy ABC Board</t>
  </si>
  <si>
    <t>Nash County ABC Board</t>
  </si>
  <si>
    <t>New Hanover County ABC Board</t>
  </si>
  <si>
    <t>Northampton County ABC Board</t>
  </si>
  <si>
    <t>Norwood ABC Bd</t>
  </si>
  <si>
    <t>Oak Island ABC Bd</t>
  </si>
  <si>
    <t>Ocean Isle Beach ABC Board</t>
  </si>
  <si>
    <t>Onslow County ABC Board</t>
  </si>
  <si>
    <t>Orange County ABC Board</t>
  </si>
  <si>
    <t>Pasquotank Co ABC Board</t>
  </si>
  <si>
    <t>Pender County ABC Board</t>
  </si>
  <si>
    <t>Person Co ABC Bd</t>
  </si>
  <si>
    <t>Pilot Mountain ABC Board</t>
  </si>
  <si>
    <t>Pitt County ABC Board</t>
  </si>
  <si>
    <t>Red Springs ABC Board</t>
  </si>
  <si>
    <t>Reidsville ABC Board</t>
  </si>
  <si>
    <t>Roseboro ABC Board</t>
  </si>
  <si>
    <t>Rowan County ABC Board</t>
  </si>
  <si>
    <t>Sanford ABC Board</t>
  </si>
  <si>
    <t>Scotland County ABC Board</t>
  </si>
  <si>
    <t>Shallotte ABC Board</t>
  </si>
  <si>
    <t>Shelby ABC Board</t>
  </si>
  <si>
    <t>Siler City ABC Board</t>
  </si>
  <si>
    <t>Statesville ABC Board</t>
  </si>
  <si>
    <t>Thomasville ABC Board</t>
  </si>
  <si>
    <t>Angier ABC Board</t>
  </si>
  <si>
    <t>Hertford ABC Board</t>
  </si>
  <si>
    <t>Lincolnton ABC Board</t>
  </si>
  <si>
    <t>North Wilkesboro ABC Board</t>
  </si>
  <si>
    <t>Rutherfordton ABC Brd</t>
  </si>
  <si>
    <t>Sparta ABC Board</t>
  </si>
  <si>
    <t>Sunset Beach ABC Board</t>
  </si>
  <si>
    <t>Tyrrell Co ABC Board</t>
  </si>
  <si>
    <t>Vance County ABC Bd</t>
  </si>
  <si>
    <t>Wadesboro ABC Board</t>
  </si>
  <si>
    <t>Wake County ABC Board</t>
  </si>
  <si>
    <t>Wallace ABC Bd</t>
  </si>
  <si>
    <t>Walnut Cove ABC Board</t>
  </si>
  <si>
    <t>Warren County ABC Board</t>
  </si>
  <si>
    <t>Warsaw ABC Board</t>
  </si>
  <si>
    <t>Washington County ABC Board</t>
  </si>
  <si>
    <t>Waxhaw ABC Board</t>
  </si>
  <si>
    <t>Wayne County ABC Board</t>
  </si>
  <si>
    <t>Waynesville ABC Board</t>
  </si>
  <si>
    <t>Weaverville ABC Board</t>
  </si>
  <si>
    <t>West Jefferson ABC Board</t>
  </si>
  <si>
    <t>Whiteville ABC Board</t>
  </si>
  <si>
    <t>Wilkesboro ABC Board</t>
  </si>
  <si>
    <t>Wilson County ABC Board</t>
  </si>
  <si>
    <t>New Edenton Housing Auth</t>
  </si>
  <si>
    <t>New Reidsville Housing Auth</t>
  </si>
  <si>
    <t>Longview</t>
  </si>
  <si>
    <t>Wilson Cemetery Commission</t>
  </si>
  <si>
    <t>Boiling Sprg Lakes</t>
  </si>
  <si>
    <t>HighPoint</t>
  </si>
  <si>
    <t>KingsMountain</t>
  </si>
  <si>
    <t>LenoirABCBoard</t>
  </si>
  <si>
    <t>MonroeHousingAuthority</t>
  </si>
  <si>
    <t>MountAiry</t>
  </si>
  <si>
    <t>MountHolly</t>
  </si>
  <si>
    <t>NewBern</t>
  </si>
  <si>
    <t>RaleighHousingAuthority</t>
  </si>
  <si>
    <t>RandlemanABCBoard</t>
  </si>
  <si>
    <t>RandlemanHousingAuthority</t>
  </si>
  <si>
    <t>RoanokeRapids</t>
  </si>
  <si>
    <t>RockinghamABCBoard</t>
  </si>
  <si>
    <t>RockyMount</t>
  </si>
  <si>
    <t>SouthportABCBoard</t>
  </si>
  <si>
    <t>Step 1 - Click on cells C20 and C21 within this tab.  Select your agency from the drop-down menu.  Agencies are listed in alphabetical order.</t>
  </si>
  <si>
    <t xml:space="preserve">&lt;&lt;If you are reporting for only one agency, this should be N/A.  </t>
  </si>
  <si>
    <t>JE description</t>
  </si>
  <si>
    <t>Step 3 - Click on cell C26 within this tab.  Select your reporting fiscal year-end from the drop-down menu.</t>
  </si>
  <si>
    <r>
      <t xml:space="preserve">Step 4 - In cells C29, C33, and, if applicable, C31, enter your employer contributions made for the period indicated. </t>
    </r>
    <r>
      <rPr>
        <b/>
        <sz val="10"/>
        <color rgb="FFFF0000"/>
        <rFont val="Arial"/>
        <family val="2"/>
      </rPr>
      <t xml:space="preserve"> PLEASE NOTE - only enter your normal and accrued liability contributions related to the plan.  Do not include contributions for health plan, death plan, etc.</t>
    </r>
  </si>
  <si>
    <t>Measurement date 6/30/2017</t>
  </si>
  <si>
    <t>Measurement date 6/30/2016</t>
  </si>
  <si>
    <t>Recognition period - 4.86 years</t>
  </si>
  <si>
    <r>
      <t xml:space="preserve">This template automatically generates the GASB 68 journal entries (13th period) and certain note disclosures (see below) for all employer participants of the </t>
    </r>
    <r>
      <rPr>
        <b/>
        <sz val="10"/>
        <color rgb="FF000000"/>
        <rFont val="Arial"/>
        <family val="2"/>
      </rPr>
      <t xml:space="preserve">Local Governmental Employees' Retirement System </t>
    </r>
    <r>
      <rPr>
        <sz val="10"/>
        <color rgb="FF000000"/>
        <rFont val="Arial"/>
        <family val="2"/>
      </rPr>
      <t xml:space="preserve">(LGERS). </t>
    </r>
  </si>
  <si>
    <t>This template provides the note disclosures required by GASB 68, paragraphs 80h(1) thru (5), 80i(1), and 80i(2) and GASB 34, paragraph 119.</t>
  </si>
  <si>
    <t xml:space="preserve">The pension data in this template is maintained by the Department of State Treasurer (DST). The pension allocation schedules for LGERS including the accompanying audit report from the Office of State Auditor will be available on DST's website.   </t>
  </si>
  <si>
    <t>1% Decrease (6.20%)</t>
  </si>
  <si>
    <t>Current Discount Rate (7.20%)</t>
  </si>
  <si>
    <t>1% Increase (8.20%)</t>
  </si>
  <si>
    <t>Recognition period - 5.00 years</t>
  </si>
  <si>
    <t>Step 5 - Go to the JE Template tab within this workbook.  Review the resulting entries within the workbook for reasonableness.  Should you have any questions regarding</t>
  </si>
  <si>
    <t>Note - If you are unable to see the 6 different tabs in this workbook (Info, JE Template, 2018 summary, 2017 summary, LGERS Contributions FY 2017, and Deferred Amort MD 6-30-17) then go to File, Options,</t>
  </si>
  <si>
    <t>1/1/2017 through 6/30/2017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</si>
</sst>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_);_(* \(#,##0\);_(* &quot;-&quot;_);_(@_)"/>
    <numFmt numFmtId="44" formatCode="_(&quot;$&quot;* #,##0.00_);_(&quot;$&quot;* \(#,##0.00\);_(&quot;$&quot;* &quot;-&quot;??_);_(@_)"/>
    <numFmt numFmtId="43" formatCode="_(* #,##0.00_);_(* \(#,##0.00\);_(* &quot;-&quot;??_);_(@_)"/>
    <numFmt numFmtId="164" formatCode="_(* #,##0_);_(* \(#,##0\);_(* &quot;-&quot;??_);_(@_)"/>
    <numFmt numFmtId="165" formatCode="_(* #,##0_);_(* \(#,##0\);_(* &quot;-&quot;????_);_(@_)"/>
    <numFmt numFmtId="166" formatCode="_(&quot;$&quot;* #,##0_);_(&quot;$&quot;* \(#,##0\);_(&quot;$&quot;* &quot;-&quot;??_);_(@_)"/>
    <numFmt numFmtId="167" formatCode="0.00000%"/>
    <numFmt numFmtId="168" formatCode="#,##0_);\(#,##0\);\—\—\—\ \ \ \ "/>
    <numFmt numFmtId="169" formatCode="0.0000000%"/>
    <numFmt numFmtId="170" formatCode="0.00000000000%"/>
  </numFmts>
  <fonts count="26">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9"/>
      <name val="Arial"/>
      <family val="2"/>
    </font>
    <font>
      <sz val="10"/>
      <name val="Arial"/>
      <family val="2"/>
    </font>
    <font>
      <sz val="10"/>
      <name val="Arial MT"/>
    </font>
    <font>
      <sz val="11"/>
      <color rgb="FFFF0000"/>
      <name val="Calibri"/>
      <family val="2"/>
      <scheme val="minor"/>
    </font>
    <font>
      <sz val="11"/>
      <name val="Calibri"/>
      <family val="2"/>
      <scheme val="minor"/>
    </font>
    <font>
      <b/>
      <sz val="10"/>
      <name val="Arial"/>
      <family val="2"/>
    </font>
    <font>
      <b/>
      <sz val="14"/>
      <color rgb="FFFF0000"/>
      <name val="Arial"/>
      <family val="2"/>
    </font>
    <font>
      <b/>
      <sz val="10"/>
      <color indexed="10"/>
      <name val="Arial"/>
      <family val="2"/>
    </font>
    <font>
      <sz val="10"/>
      <color indexed="10"/>
      <name val="Arial"/>
      <family val="2"/>
    </font>
    <font>
      <u/>
      <sz val="9"/>
      <name val="Arial Narrow"/>
      <family val="2"/>
    </font>
    <font>
      <sz val="9"/>
      <name val="Arial Narrow"/>
      <family val="2"/>
    </font>
    <font>
      <b/>
      <sz val="11"/>
      <color rgb="FFFF0000"/>
      <name val="Calibri"/>
      <family val="2"/>
      <scheme val="minor"/>
    </font>
    <font>
      <b/>
      <sz val="11"/>
      <name val="Calibri"/>
      <family val="2"/>
      <scheme val="minor"/>
    </font>
    <font>
      <sz val="10"/>
      <color theme="0"/>
      <name val="Arial"/>
      <family val="2"/>
    </font>
    <font>
      <b/>
      <sz val="10"/>
      <color rgb="FFFF0000"/>
      <name val="Arial"/>
      <family val="2"/>
    </font>
    <font>
      <sz val="10"/>
      <color rgb="FFFF0000"/>
      <name val="Arial"/>
      <family val="2"/>
    </font>
    <font>
      <b/>
      <sz val="11"/>
      <color rgb="FF000000"/>
      <name val="Calibri"/>
      <family val="2"/>
    </font>
    <font>
      <sz val="11"/>
      <color theme="1"/>
      <name val="Calibri"/>
      <family val="2"/>
    </font>
    <font>
      <sz val="11"/>
      <color rgb="FF000000"/>
      <name val="Calibri"/>
      <family val="2"/>
    </font>
    <font>
      <sz val="10"/>
      <color rgb="FF000000"/>
      <name val="Arial"/>
      <family val="2"/>
    </font>
    <font>
      <b/>
      <sz val="10"/>
      <color rgb="FF00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darkUp">
        <bgColor theme="6" tint="0.59999389629810485"/>
      </patternFill>
    </fill>
    <fill>
      <patternFill patternType="solid">
        <fgColor theme="0"/>
        <bgColor indexed="64"/>
      </patternFill>
    </fill>
  </fills>
  <borders count="1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43" fontId="5" fillId="0" borderId="0" applyFont="0" applyFill="0" applyBorder="0" applyAlignment="0" applyProtection="0"/>
    <xf numFmtId="0" fontId="5" fillId="0" borderId="0"/>
    <xf numFmtId="0" fontId="6" fillId="0" borderId="0"/>
    <xf numFmtId="0" fontId="6" fillId="0" borderId="0"/>
    <xf numFmtId="37" fontId="7" fillId="0" borderId="0"/>
    <xf numFmtId="9" fontId="5"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45">
    <xf numFmtId="0" fontId="0" fillId="0" borderId="0" xfId="0"/>
    <xf numFmtId="0" fontId="0" fillId="0" borderId="0" xfId="0" applyAlignment="1">
      <alignment wrapText="1"/>
    </xf>
    <xf numFmtId="164" fontId="0" fillId="0" borderId="0" xfId="0" applyNumberFormat="1"/>
    <xf numFmtId="43" fontId="0" fillId="0" borderId="0" xfId="1" applyFont="1"/>
    <xf numFmtId="0" fontId="0" fillId="0" borderId="0" xfId="0" applyFill="1"/>
    <xf numFmtId="0" fontId="0" fillId="0" borderId="0" xfId="0" applyFill="1" applyAlignment="1">
      <alignment horizontal="right"/>
    </xf>
    <xf numFmtId="164" fontId="0" fillId="0" borderId="0" xfId="1" applyNumberFormat="1" applyFont="1" applyFill="1"/>
    <xf numFmtId="0" fontId="2" fillId="0" borderId="1" xfId="0" applyFont="1" applyBorder="1" applyAlignment="1">
      <alignment horizontal="centerContinuous"/>
    </xf>
    <xf numFmtId="0" fontId="3" fillId="0" borderId="0" xfId="0" applyFont="1" applyFill="1" applyBorder="1" applyAlignment="1">
      <alignment horizontal="center" wrapText="1"/>
    </xf>
    <xf numFmtId="0" fontId="4" fillId="0" borderId="0" xfId="0" applyFont="1" applyFill="1" applyBorder="1" applyAlignment="1">
      <alignment horizontal="center"/>
    </xf>
    <xf numFmtId="0" fontId="4" fillId="0" borderId="0" xfId="0" applyFont="1" applyFill="1" applyBorder="1" applyAlignment="1">
      <alignment horizontal="left"/>
    </xf>
    <xf numFmtId="0" fontId="0" fillId="0" borderId="0" xfId="0" applyAlignment="1">
      <alignment horizontal="right"/>
    </xf>
    <xf numFmtId="0" fontId="0" fillId="0" borderId="0" xfId="0" applyAlignment="1">
      <alignment vertical="top"/>
    </xf>
    <xf numFmtId="0" fontId="0" fillId="3" borderId="2" xfId="0" applyFill="1" applyBorder="1"/>
    <xf numFmtId="0" fontId="0" fillId="3" borderId="3" xfId="0" applyFill="1" applyBorder="1"/>
    <xf numFmtId="0" fontId="0" fillId="3" borderId="5" xfId="0" applyFill="1" applyBorder="1"/>
    <xf numFmtId="0" fontId="0" fillId="3" borderId="0" xfId="0" applyFill="1" applyBorder="1"/>
    <xf numFmtId="0" fontId="0" fillId="3" borderId="5" xfId="0" applyFill="1" applyBorder="1" applyAlignment="1">
      <alignment vertical="top"/>
    </xf>
    <xf numFmtId="0" fontId="0" fillId="3" borderId="0" xfId="0" applyFill="1" applyBorder="1" applyAlignment="1">
      <alignment wrapText="1"/>
    </xf>
    <xf numFmtId="164" fontId="0" fillId="3" borderId="0" xfId="1" applyNumberFormat="1" applyFont="1" applyFill="1" applyBorder="1"/>
    <xf numFmtId="164" fontId="0" fillId="3" borderId="6" xfId="1" applyNumberFormat="1" applyFont="1" applyFill="1" applyBorder="1"/>
    <xf numFmtId="43" fontId="0" fillId="3" borderId="0" xfId="1" applyFont="1" applyFill="1" applyBorder="1"/>
    <xf numFmtId="43" fontId="0" fillId="3" borderId="6" xfId="1" applyFont="1" applyFill="1" applyBorder="1"/>
    <xf numFmtId="0" fontId="0" fillId="3" borderId="0" xfId="0" applyFill="1" applyBorder="1" applyAlignment="1"/>
    <xf numFmtId="0" fontId="0" fillId="3" borderId="7" xfId="0" applyFill="1" applyBorder="1" applyAlignment="1">
      <alignment vertical="top"/>
    </xf>
    <xf numFmtId="0" fontId="0" fillId="3" borderId="1" xfId="0" applyFill="1" applyBorder="1" applyAlignment="1">
      <alignment wrapText="1"/>
    </xf>
    <xf numFmtId="43" fontId="0" fillId="3" borderId="1" xfId="1" applyFont="1" applyFill="1" applyBorder="1"/>
    <xf numFmtId="43" fontId="0" fillId="3" borderId="8" xfId="1" applyFont="1" applyFill="1" applyBorder="1"/>
    <xf numFmtId="0" fontId="0" fillId="0" borderId="0" xfId="0" applyFill="1" applyAlignment="1"/>
    <xf numFmtId="43" fontId="2" fillId="3" borderId="1" xfId="1" applyFont="1" applyFill="1" applyBorder="1" applyAlignment="1">
      <alignment horizontal="center" wrapText="1"/>
    </xf>
    <xf numFmtId="166" fontId="0" fillId="3" borderId="9" xfId="8" applyNumberFormat="1" applyFont="1" applyFill="1" applyBorder="1"/>
    <xf numFmtId="0" fontId="10" fillId="5" borderId="0" xfId="4" quotePrefix="1" applyFont="1" applyFill="1"/>
    <xf numFmtId="0" fontId="6" fillId="5" borderId="0" xfId="4" applyFill="1"/>
    <xf numFmtId="0" fontId="6" fillId="0" borderId="0" xfId="4" applyFont="1"/>
    <xf numFmtId="0" fontId="10" fillId="5" borderId="0" xfId="4" applyFont="1" applyFill="1"/>
    <xf numFmtId="0" fontId="11" fillId="5" borderId="0" xfId="4" applyFont="1" applyFill="1" applyAlignment="1">
      <alignment horizontal="center"/>
    </xf>
    <xf numFmtId="0" fontId="12" fillId="5" borderId="0" xfId="4" applyFont="1" applyFill="1" applyAlignment="1" applyProtection="1">
      <alignment horizontal="left" indent="1"/>
    </xf>
    <xf numFmtId="0" fontId="6" fillId="5" borderId="0" xfId="4" applyFill="1" applyBorder="1"/>
    <xf numFmtId="0" fontId="12" fillId="5" borderId="0" xfId="4" applyFont="1" applyFill="1" applyAlignment="1" applyProtection="1">
      <alignment horizontal="left" indent="3"/>
    </xf>
    <xf numFmtId="0" fontId="13" fillId="5" borderId="0" xfId="4" applyFont="1" applyFill="1" applyAlignment="1" applyProtection="1">
      <alignment horizontal="left" indent="4"/>
    </xf>
    <xf numFmtId="0" fontId="6" fillId="0" borderId="0" xfId="4" applyFont="1" applyAlignment="1">
      <alignment horizontal="center"/>
    </xf>
    <xf numFmtId="0" fontId="0" fillId="0" borderId="0" xfId="0" applyFill="1" applyBorder="1"/>
    <xf numFmtId="0" fontId="15" fillId="5" borderId="0" xfId="0" applyFont="1" applyFill="1" applyAlignment="1" applyProtection="1">
      <alignment horizontal="center"/>
    </xf>
    <xf numFmtId="168" fontId="15" fillId="5" borderId="0" xfId="0" applyNumberFormat="1" applyFont="1" applyFill="1" applyProtection="1"/>
    <xf numFmtId="0" fontId="0" fillId="5" borderId="0" xfId="0" applyFill="1"/>
    <xf numFmtId="0" fontId="15" fillId="5" borderId="0" xfId="0" applyFont="1" applyFill="1" applyAlignment="1">
      <alignment horizontal="center" vertical="top"/>
    </xf>
    <xf numFmtId="0" fontId="15" fillId="5" borderId="0" xfId="0" applyFont="1" applyFill="1"/>
    <xf numFmtId="0" fontId="15" fillId="5" borderId="0" xfId="0" applyNumberFormat="1" applyFont="1" applyFill="1" applyAlignment="1" applyProtection="1">
      <alignment horizontal="left" vertical="top"/>
    </xf>
    <xf numFmtId="0" fontId="15" fillId="5" borderId="0" xfId="0" applyFont="1" applyFill="1" applyAlignment="1">
      <alignment vertical="top"/>
    </xf>
    <xf numFmtId="49" fontId="15" fillId="5" borderId="0" xfId="0" quotePrefix="1" applyNumberFormat="1" applyFont="1" applyFill="1" applyAlignment="1" applyProtection="1">
      <alignment horizontal="center" vertical="top"/>
    </xf>
    <xf numFmtId="49" fontId="15" fillId="5" borderId="0" xfId="0" quotePrefix="1" applyNumberFormat="1" applyFont="1" applyFill="1" applyAlignment="1">
      <alignment horizontal="center" vertical="top"/>
    </xf>
    <xf numFmtId="0" fontId="6" fillId="0" borderId="0" xfId="4"/>
    <xf numFmtId="0" fontId="2" fillId="0" borderId="0" xfId="0" applyFont="1" applyFill="1"/>
    <xf numFmtId="0" fontId="2" fillId="0" borderId="1" xfId="0" applyFont="1" applyFill="1" applyBorder="1" applyAlignment="1">
      <alignment horizontal="centerContinuous"/>
    </xf>
    <xf numFmtId="0" fontId="9" fillId="0" borderId="0" xfId="0" applyFont="1" applyFill="1" applyBorder="1" applyAlignment="1">
      <alignment horizontal="center"/>
    </xf>
    <xf numFmtId="0" fontId="9" fillId="0" borderId="0" xfId="0" applyFont="1" applyFill="1" applyBorder="1" applyAlignment="1">
      <alignment horizontal="left"/>
    </xf>
    <xf numFmtId="164" fontId="9" fillId="0" borderId="0" xfId="1" applyNumberFormat="1" applyFont="1" applyFill="1"/>
    <xf numFmtId="165" fontId="9" fillId="0" borderId="0" xfId="0" applyNumberFormat="1" applyFont="1" applyFill="1"/>
    <xf numFmtId="164" fontId="9" fillId="0" borderId="0" xfId="0" applyNumberFormat="1" applyFont="1" applyFill="1"/>
    <xf numFmtId="0" fontId="9" fillId="0" borderId="0" xfId="0" applyFont="1" applyFill="1" applyAlignment="1">
      <alignment horizontal="center"/>
    </xf>
    <xf numFmtId="167" fontId="0" fillId="0" borderId="0" xfId="9" applyNumberFormat="1" applyFont="1" applyFill="1"/>
    <xf numFmtId="165" fontId="0" fillId="0" borderId="0" xfId="0" applyNumberFormat="1" applyFill="1"/>
    <xf numFmtId="164" fontId="0" fillId="0" borderId="0" xfId="0" applyNumberFormat="1" applyFill="1"/>
    <xf numFmtId="0" fontId="17" fillId="0" borderId="0" xfId="0" applyFont="1" applyFill="1" applyBorder="1" applyAlignment="1">
      <alignment horizontal="left"/>
    </xf>
    <xf numFmtId="164" fontId="2" fillId="0" borderId="0" xfId="1" applyNumberFormat="1" applyFont="1" applyFill="1"/>
    <xf numFmtId="0" fontId="2" fillId="0" borderId="0" xfId="0" applyFont="1" applyAlignment="1">
      <alignment horizontal="right"/>
    </xf>
    <xf numFmtId="0" fontId="0" fillId="3" borderId="7" xfId="0" applyFill="1" applyBorder="1"/>
    <xf numFmtId="0" fontId="0" fillId="3" borderId="1" xfId="0" applyFill="1" applyBorder="1"/>
    <xf numFmtId="0" fontId="0" fillId="3" borderId="0" xfId="0" quotePrefix="1" applyFill="1" applyBorder="1" applyAlignment="1">
      <alignment wrapText="1"/>
    </xf>
    <xf numFmtId="0" fontId="0" fillId="0" borderId="0" xfId="0" applyFill="1" applyAlignment="1">
      <alignment horizontal="right" wrapText="1"/>
    </xf>
    <xf numFmtId="43" fontId="0" fillId="0" borderId="0" xfId="0" applyNumberFormat="1" applyFill="1"/>
    <xf numFmtId="164" fontId="0" fillId="3" borderId="0" xfId="0" applyNumberFormat="1" applyFont="1" applyFill="1" applyBorder="1" applyAlignment="1">
      <alignment horizontal="center" wrapText="1"/>
    </xf>
    <xf numFmtId="0" fontId="2" fillId="3" borderId="0" xfId="0" applyFont="1" applyFill="1" applyBorder="1" applyAlignment="1">
      <alignment horizontal="center" wrapText="1"/>
    </xf>
    <xf numFmtId="14" fontId="6" fillId="0" borderId="0" xfId="4" applyNumberFormat="1"/>
    <xf numFmtId="0" fontId="6" fillId="0" borderId="0" xfId="4" applyAlignment="1">
      <alignment horizontal="right"/>
    </xf>
    <xf numFmtId="0" fontId="6" fillId="0" borderId="0" xfId="4"/>
    <xf numFmtId="0" fontId="4" fillId="0" borderId="0" xfId="0" applyFont="1" applyFill="1" applyBorder="1" applyAlignment="1">
      <alignment horizontal="left" wrapText="1"/>
    </xf>
    <xf numFmtId="0" fontId="0" fillId="0" borderId="0" xfId="0" applyFill="1" applyBorder="1" applyAlignment="1">
      <alignment horizontal="right"/>
    </xf>
    <xf numFmtId="0" fontId="6" fillId="5" borderId="0" xfId="4" applyFont="1" applyFill="1"/>
    <xf numFmtId="0" fontId="6" fillId="5" borderId="0" xfId="4" quotePrefix="1" applyFont="1" applyFill="1"/>
    <xf numFmtId="0" fontId="6" fillId="0" borderId="0" xfId="4"/>
    <xf numFmtId="164" fontId="0" fillId="0" borderId="0" xfId="0" applyNumberFormat="1" applyFill="1" applyBorder="1"/>
    <xf numFmtId="0" fontId="18" fillId="0" borderId="0" xfId="4" applyFont="1"/>
    <xf numFmtId="0" fontId="6" fillId="0" borderId="0" xfId="4"/>
    <xf numFmtId="0" fontId="20" fillId="0" borderId="0" xfId="4" applyFont="1"/>
    <xf numFmtId="43" fontId="0" fillId="0" borderId="0" xfId="0" applyNumberFormat="1"/>
    <xf numFmtId="0" fontId="3" fillId="0" borderId="0" xfId="0" applyFont="1" applyFill="1" applyBorder="1" applyAlignment="1">
      <alignment horizontal="center"/>
    </xf>
    <xf numFmtId="0" fontId="3" fillId="0" borderId="0" xfId="0" applyFont="1" applyFill="1" applyBorder="1" applyAlignment="1">
      <alignment horizontal="left"/>
    </xf>
    <xf numFmtId="166" fontId="0" fillId="0" borderId="0" xfId="0" applyNumberFormat="1"/>
    <xf numFmtId="0" fontId="8" fillId="0" borderId="0" xfId="0" applyFont="1"/>
    <xf numFmtId="0" fontId="6" fillId="0" borderId="0" xfId="4"/>
    <xf numFmtId="166" fontId="6" fillId="0" borderId="0" xfId="8" applyNumberFormat="1" applyFont="1" applyFill="1" applyBorder="1"/>
    <xf numFmtId="0" fontId="0" fillId="0" borderId="0" xfId="0" applyFill="1" applyAlignment="1">
      <alignment horizontal="left"/>
    </xf>
    <xf numFmtId="166" fontId="0" fillId="0" borderId="0" xfId="8" applyNumberFormat="1" applyFont="1" applyFill="1"/>
    <xf numFmtId="0" fontId="0" fillId="0" borderId="0" xfId="0" applyFill="1" applyAlignment="1">
      <alignment vertical="top"/>
    </xf>
    <xf numFmtId="0" fontId="0" fillId="0" borderId="0" xfId="0" applyFill="1" applyAlignment="1">
      <alignment wrapText="1"/>
    </xf>
    <xf numFmtId="0" fontId="15" fillId="5" borderId="0" xfId="0" applyNumberFormat="1" applyFont="1" applyFill="1" applyAlignment="1" applyProtection="1">
      <alignment horizontal="left" vertical="top" wrapText="1"/>
    </xf>
    <xf numFmtId="0" fontId="0" fillId="5" borderId="0" xfId="0" applyFill="1" applyAlignment="1">
      <alignment vertical="top" wrapText="1"/>
    </xf>
    <xf numFmtId="0" fontId="0" fillId="5" borderId="0" xfId="0" applyFill="1" applyAlignment="1">
      <alignment vertical="top"/>
    </xf>
    <xf numFmtId="0" fontId="0" fillId="0" borderId="0" xfId="0" applyFill="1" applyAlignment="1">
      <alignment horizontal="center"/>
    </xf>
    <xf numFmtId="0" fontId="0" fillId="5" borderId="0" xfId="0" applyFill="1" applyAlignment="1">
      <alignment vertical="center"/>
    </xf>
    <xf numFmtId="0" fontId="9" fillId="0" borderId="0" xfId="0" applyFont="1" applyFill="1"/>
    <xf numFmtId="0" fontId="17" fillId="0" borderId="1" xfId="0" applyFont="1" applyFill="1" applyBorder="1" applyAlignment="1">
      <alignment horizontal="centerContinuous"/>
    </xf>
    <xf numFmtId="0" fontId="17" fillId="2" borderId="1" xfId="0" applyFont="1" applyFill="1" applyBorder="1" applyAlignment="1">
      <alignment horizontal="centerContinuous"/>
    </xf>
    <xf numFmtId="0" fontId="17" fillId="0" borderId="0" xfId="0" applyFont="1" applyFill="1" applyBorder="1" applyAlignment="1">
      <alignment horizontal="center" wrapText="1"/>
    </xf>
    <xf numFmtId="0" fontId="17" fillId="2" borderId="0" xfId="0" applyFont="1" applyFill="1" applyBorder="1" applyAlignment="1">
      <alignment horizontal="center" wrapText="1"/>
    </xf>
    <xf numFmtId="167" fontId="9" fillId="0" borderId="0" xfId="9" applyNumberFormat="1" applyFont="1" applyFill="1"/>
    <xf numFmtId="165" fontId="9" fillId="2" borderId="0" xfId="0" applyNumberFormat="1" applyFont="1" applyFill="1"/>
    <xf numFmtId="169" fontId="9" fillId="0" borderId="0" xfId="9" applyNumberFormat="1" applyFont="1" applyFill="1"/>
    <xf numFmtId="0" fontId="9" fillId="2" borderId="0" xfId="0" applyFont="1" applyFill="1"/>
    <xf numFmtId="0" fontId="17" fillId="0" borderId="0" xfId="0" applyFont="1" applyFill="1" applyBorder="1" applyAlignment="1">
      <alignment horizontal="center"/>
    </xf>
    <xf numFmtId="167" fontId="17" fillId="0" borderId="0" xfId="9" applyNumberFormat="1" applyFont="1" applyFill="1"/>
    <xf numFmtId="164" fontId="17" fillId="0" borderId="0" xfId="1" applyNumberFormat="1" applyFont="1" applyFill="1"/>
    <xf numFmtId="165" fontId="17" fillId="0" borderId="0" xfId="0" applyNumberFormat="1" applyFont="1" applyFill="1"/>
    <xf numFmtId="165" fontId="17" fillId="2" borderId="0" xfId="0" applyNumberFormat="1" applyFont="1" applyFill="1"/>
    <xf numFmtId="0" fontId="17" fillId="0" borderId="0" xfId="0" applyFont="1" applyFill="1"/>
    <xf numFmtId="167" fontId="1" fillId="0" borderId="0" xfId="9" applyNumberFormat="1" applyFont="1" applyFill="1"/>
    <xf numFmtId="164" fontId="1" fillId="0" borderId="0" xfId="1" applyNumberFormat="1" applyFont="1" applyFill="1"/>
    <xf numFmtId="165" fontId="1" fillId="0" borderId="0" xfId="1" applyNumberFormat="1" applyFont="1" applyFill="1" applyAlignment="1">
      <alignment horizontal="left"/>
    </xf>
    <xf numFmtId="167" fontId="2" fillId="0" borderId="0" xfId="9" applyNumberFormat="1" applyFont="1" applyFill="1"/>
    <xf numFmtId="0" fontId="16" fillId="0" borderId="0" xfId="0" applyFont="1" applyFill="1" applyAlignment="1">
      <alignment horizontal="center"/>
    </xf>
    <xf numFmtId="0" fontId="2" fillId="0" borderId="0" xfId="0" applyFont="1" applyFill="1" applyAlignment="1">
      <alignment horizontal="center"/>
    </xf>
    <xf numFmtId="0" fontId="16" fillId="0" borderId="0" xfId="0" applyFont="1" applyFill="1" applyAlignment="1">
      <alignment horizontal="right"/>
    </xf>
    <xf numFmtId="0" fontId="21" fillId="0" borderId="10" xfId="0" applyFont="1" applyFill="1" applyBorder="1"/>
    <xf numFmtId="43" fontId="21" fillId="0" borderId="10" xfId="1" applyFont="1" applyFill="1" applyBorder="1"/>
    <xf numFmtId="0" fontId="22" fillId="0" borderId="0" xfId="0" applyFont="1" applyFill="1" applyBorder="1"/>
    <xf numFmtId="43" fontId="22" fillId="0" borderId="0" xfId="1" applyFont="1" applyFill="1" applyBorder="1"/>
    <xf numFmtId="43" fontId="21" fillId="0" borderId="9" xfId="1" applyFont="1" applyFill="1" applyBorder="1"/>
    <xf numFmtId="0" fontId="21" fillId="0" borderId="0" xfId="0" applyFont="1" applyFill="1" applyBorder="1"/>
    <xf numFmtId="164" fontId="2" fillId="0" borderId="0" xfId="0" applyNumberFormat="1" applyFont="1" applyFill="1"/>
    <xf numFmtId="43" fontId="21" fillId="0" borderId="0" xfId="1" applyFont="1" applyFill="1" applyBorder="1"/>
    <xf numFmtId="0" fontId="23" fillId="0" borderId="0" xfId="0" applyFont="1" applyFill="1" applyBorder="1"/>
    <xf numFmtId="0" fontId="23" fillId="0" borderId="0" xfId="0" applyFont="1" applyFill="1" applyBorder="1" applyAlignment="1">
      <alignment horizontal="right"/>
    </xf>
    <xf numFmtId="41" fontId="3" fillId="0" borderId="0" xfId="0" applyNumberFormat="1" applyFont="1" applyFill="1" applyBorder="1" applyAlignment="1">
      <alignment horizontal="center" wrapText="1"/>
    </xf>
    <xf numFmtId="166" fontId="0" fillId="0" borderId="0" xfId="0" applyNumberFormat="1" applyFill="1"/>
    <xf numFmtId="170" fontId="0" fillId="0" borderId="0" xfId="9" applyNumberFormat="1" applyFont="1"/>
    <xf numFmtId="0" fontId="0" fillId="0" borderId="0" xfId="0" applyFont="1" applyFill="1" applyAlignment="1">
      <alignment horizontal="right"/>
    </xf>
    <xf numFmtId="43" fontId="0" fillId="0" borderId="0" xfId="1" applyFont="1" applyFill="1"/>
    <xf numFmtId="43" fontId="0" fillId="0" borderId="0" xfId="0" applyNumberFormat="1" applyFill="1" applyBorder="1"/>
    <xf numFmtId="0" fontId="0" fillId="0" borderId="0" xfId="0" applyFill="1" applyBorder="1" applyAlignment="1">
      <alignment vertical="top"/>
    </xf>
    <xf numFmtId="0" fontId="0" fillId="0" borderId="0" xfId="0" applyFill="1" applyBorder="1" applyAlignment="1">
      <alignment wrapText="1"/>
    </xf>
    <xf numFmtId="43" fontId="0" fillId="0" borderId="0" xfId="1" applyFont="1" applyFill="1" applyBorder="1"/>
    <xf numFmtId="43" fontId="2" fillId="0" borderId="0" xfId="1" applyFont="1" applyFill="1" applyBorder="1" applyAlignment="1">
      <alignment horizontal="center" wrapText="1"/>
    </xf>
    <xf numFmtId="0" fontId="0" fillId="0" borderId="0" xfId="0" applyFill="1" applyBorder="1" applyAlignment="1"/>
    <xf numFmtId="164" fontId="0" fillId="0" borderId="0" xfId="1" applyNumberFormat="1" applyFont="1" applyFill="1" applyBorder="1"/>
    <xf numFmtId="0" fontId="10" fillId="0" borderId="0" xfId="4" applyFont="1" applyFill="1" applyAlignment="1">
      <alignment horizontal="left"/>
    </xf>
    <xf numFmtId="0" fontId="6" fillId="0" borderId="10" xfId="4" applyFont="1" applyFill="1" applyBorder="1" applyAlignment="1" applyProtection="1">
      <alignment horizontal="center"/>
      <protection locked="0"/>
    </xf>
    <xf numFmtId="0" fontId="6" fillId="0" borderId="0" xfId="4" applyFill="1"/>
    <xf numFmtId="0" fontId="6" fillId="0" borderId="0" xfId="4" applyFill="1" applyBorder="1"/>
    <xf numFmtId="14" fontId="6" fillId="0" borderId="10" xfId="4" applyNumberFormat="1" applyFill="1" applyBorder="1"/>
    <xf numFmtId="0" fontId="6" fillId="0" borderId="0" xfId="4" applyNumberFormat="1" applyFill="1" applyBorder="1"/>
    <xf numFmtId="0" fontId="6" fillId="0" borderId="0" xfId="4" applyFill="1" applyAlignment="1">
      <alignment vertical="center"/>
    </xf>
    <xf numFmtId="14" fontId="6" fillId="0" borderId="0" xfId="4" applyNumberFormat="1" applyFill="1" applyBorder="1"/>
    <xf numFmtId="0" fontId="6" fillId="0" borderId="0" xfId="4" applyFill="1" applyAlignment="1">
      <alignment vertical="center" wrapText="1"/>
    </xf>
    <xf numFmtId="14" fontId="6" fillId="0" borderId="0" xfId="4" applyNumberFormat="1" applyFill="1" applyAlignment="1">
      <alignment horizontal="left" vertical="center"/>
    </xf>
    <xf numFmtId="166" fontId="6" fillId="0" borderId="10" xfId="8" applyNumberFormat="1" applyFont="1" applyFill="1" applyBorder="1" applyAlignment="1">
      <alignment vertical="center"/>
    </xf>
    <xf numFmtId="0" fontId="6" fillId="0" borderId="0" xfId="4" applyFill="1" applyAlignment="1">
      <alignment wrapText="1"/>
    </xf>
    <xf numFmtId="14" fontId="6" fillId="0" borderId="0" xfId="4" applyNumberFormat="1" applyFill="1" applyAlignment="1">
      <alignment horizontal="left"/>
    </xf>
    <xf numFmtId="14" fontId="6" fillId="0" borderId="0" xfId="4" applyNumberFormat="1" applyFill="1" applyAlignment="1">
      <alignment wrapText="1"/>
    </xf>
    <xf numFmtId="14" fontId="6" fillId="0" borderId="0" xfId="4" applyNumberFormat="1" applyFill="1" applyBorder="1" applyAlignment="1">
      <alignment horizontal="left"/>
    </xf>
    <xf numFmtId="166" fontId="6" fillId="0" borderId="10" xfId="8" applyNumberFormat="1" applyFont="1" applyFill="1" applyBorder="1"/>
    <xf numFmtId="0" fontId="6" fillId="0" borderId="0" xfId="4" applyFont="1" applyFill="1"/>
    <xf numFmtId="0" fontId="20" fillId="0" borderId="0" xfId="4" applyFont="1" applyFill="1"/>
    <xf numFmtId="0" fontId="18" fillId="0" borderId="0" xfId="4" applyFont="1" applyFill="1"/>
    <xf numFmtId="14" fontId="6" fillId="0" borderId="0" xfId="4" applyNumberFormat="1" applyFont="1" applyFill="1"/>
    <xf numFmtId="14" fontId="6" fillId="0" borderId="0" xfId="4" applyNumberFormat="1" applyFill="1"/>
    <xf numFmtId="14" fontId="6" fillId="0" borderId="0" xfId="4" quotePrefix="1" applyNumberFormat="1" applyFill="1"/>
    <xf numFmtId="49" fontId="9" fillId="0" borderId="0" xfId="0" applyNumberFormat="1" applyFont="1" applyFill="1" applyBorder="1" applyAlignment="1">
      <alignment horizontal="left"/>
    </xf>
    <xf numFmtId="0" fontId="6" fillId="0" borderId="1" xfId="4" applyFill="1" applyBorder="1" applyAlignment="1">
      <alignment horizontal="right"/>
    </xf>
    <xf numFmtId="0" fontId="12" fillId="0" borderId="0" xfId="4" applyFont="1" applyFill="1" applyAlignment="1" applyProtection="1">
      <alignment horizontal="left" indent="2"/>
    </xf>
    <xf numFmtId="0" fontId="4" fillId="0" borderId="0" xfId="0" applyFont="1" applyFill="1" applyBorder="1" applyAlignment="1">
      <alignment horizontal="center" wrapText="1"/>
    </xf>
    <xf numFmtId="0" fontId="0" fillId="3" borderId="2" xfId="0" applyFill="1" applyBorder="1" applyAlignment="1">
      <alignment vertical="top"/>
    </xf>
    <xf numFmtId="0" fontId="0" fillId="3" borderId="3" xfId="0" applyFill="1" applyBorder="1" applyAlignment="1">
      <alignment wrapText="1"/>
    </xf>
    <xf numFmtId="164" fontId="0" fillId="3" borderId="4" xfId="0" applyNumberFormat="1" applyFill="1" applyBorder="1" applyAlignment="1">
      <alignment wrapText="1"/>
    </xf>
    <xf numFmtId="164" fontId="0" fillId="3" borderId="6" xfId="0" applyNumberFormat="1" applyFill="1" applyBorder="1" applyAlignment="1">
      <alignment wrapText="1"/>
    </xf>
    <xf numFmtId="164" fontId="0" fillId="3" borderId="8" xfId="0" applyNumberFormat="1" applyFill="1" applyBorder="1" applyAlignment="1">
      <alignment wrapText="1"/>
    </xf>
    <xf numFmtId="43" fontId="0" fillId="3" borderId="3" xfId="1" applyFont="1" applyFill="1" applyBorder="1"/>
    <xf numFmtId="43" fontId="0" fillId="3" borderId="4" xfId="1" applyFont="1" applyFill="1" applyBorder="1"/>
    <xf numFmtId="43" fontId="2" fillId="3" borderId="8" xfId="1" applyFont="1" applyFill="1" applyBorder="1" applyAlignment="1">
      <alignment horizontal="center" wrapText="1"/>
    </xf>
    <xf numFmtId="41" fontId="0" fillId="3" borderId="0" xfId="1" applyNumberFormat="1" applyFont="1" applyFill="1" applyBorder="1"/>
    <xf numFmtId="43" fontId="0" fillId="4" borderId="6" xfId="1" applyFont="1" applyFill="1" applyBorder="1"/>
    <xf numFmtId="166" fontId="0" fillId="3" borderId="11" xfId="8" applyNumberFormat="1" applyFont="1" applyFill="1" applyBorder="1"/>
    <xf numFmtId="0" fontId="0" fillId="3" borderId="4" xfId="0" applyFill="1" applyBorder="1"/>
    <xf numFmtId="0" fontId="0" fillId="3" borderId="6" xfId="0" applyFill="1" applyBorder="1"/>
    <xf numFmtId="0" fontId="2" fillId="3" borderId="5" xfId="0" applyFont="1" applyFill="1" applyBorder="1"/>
    <xf numFmtId="0" fontId="2" fillId="3" borderId="0" xfId="0" applyFont="1" applyFill="1" applyBorder="1"/>
    <xf numFmtId="0" fontId="0" fillId="3" borderId="5" xfId="0" applyFill="1" applyBorder="1" applyAlignment="1">
      <alignment horizontal="left"/>
    </xf>
    <xf numFmtId="0" fontId="0" fillId="3" borderId="0" xfId="0" applyFill="1" applyBorder="1" applyAlignment="1">
      <alignment horizontal="left"/>
    </xf>
    <xf numFmtId="166" fontId="0" fillId="3" borderId="6" xfId="8" applyNumberFormat="1" applyFont="1" applyFill="1" applyBorder="1"/>
    <xf numFmtId="41" fontId="0" fillId="3" borderId="6" xfId="8" applyNumberFormat="1" applyFont="1" applyFill="1" applyBorder="1"/>
    <xf numFmtId="0" fontId="0" fillId="3" borderId="1" xfId="0" applyFill="1" applyBorder="1" applyAlignment="1">
      <alignment horizontal="left"/>
    </xf>
    <xf numFmtId="166" fontId="0" fillId="3" borderId="12" xfId="0" applyNumberFormat="1" applyFill="1" applyBorder="1"/>
    <xf numFmtId="0" fontId="2" fillId="3" borderId="2" xfId="0" applyFont="1" applyFill="1" applyBorder="1"/>
    <xf numFmtId="0" fontId="2" fillId="3" borderId="3" xfId="0" applyFont="1" applyFill="1" applyBorder="1"/>
    <xf numFmtId="0" fontId="2" fillId="3" borderId="13" xfId="0" applyFont="1" applyFill="1" applyBorder="1" applyAlignment="1">
      <alignment horizontal="center" wrapText="1"/>
    </xf>
    <xf numFmtId="0" fontId="2" fillId="3" borderId="12" xfId="0" applyFont="1" applyFill="1" applyBorder="1" applyAlignment="1">
      <alignment horizontal="center" wrapText="1"/>
    </xf>
    <xf numFmtId="0" fontId="0" fillId="3" borderId="0" xfId="0" applyFont="1" applyFill="1" applyBorder="1"/>
    <xf numFmtId="0" fontId="2" fillId="3" borderId="6" xfId="0" applyFont="1" applyFill="1" applyBorder="1" applyAlignment="1">
      <alignment horizontal="center" wrapText="1"/>
    </xf>
    <xf numFmtId="0" fontId="2" fillId="3" borderId="1" xfId="0" applyFont="1" applyFill="1" applyBorder="1"/>
    <xf numFmtId="164" fontId="2" fillId="3" borderId="1" xfId="0" applyNumberFormat="1" applyFont="1" applyFill="1" applyBorder="1"/>
    <xf numFmtId="164" fontId="2" fillId="3" borderId="8" xfId="0" applyNumberFormat="1" applyFont="1" applyFill="1" applyBorder="1"/>
    <xf numFmtId="0" fontId="0" fillId="3" borderId="5" xfId="0" applyFill="1" applyBorder="1" applyAlignment="1"/>
    <xf numFmtId="0" fontId="0" fillId="3" borderId="7" xfId="0" applyFill="1" applyBorder="1" applyAlignment="1"/>
    <xf numFmtId="166" fontId="0" fillId="3" borderId="12" xfId="8" applyNumberFormat="1" applyFont="1" applyFill="1" applyBorder="1"/>
    <xf numFmtId="0" fontId="2" fillId="3" borderId="2" xfId="0" applyFont="1" applyFill="1" applyBorder="1" applyAlignment="1">
      <alignment vertical="top"/>
    </xf>
    <xf numFmtId="0" fontId="2" fillId="3" borderId="3" xfId="0" applyFont="1" applyFill="1" applyBorder="1" applyAlignment="1">
      <alignment wrapText="1"/>
    </xf>
    <xf numFmtId="0" fontId="2" fillId="3" borderId="3" xfId="0" applyFont="1" applyFill="1" applyBorder="1" applyAlignment="1">
      <alignment horizontal="right" wrapText="1"/>
    </xf>
    <xf numFmtId="0" fontId="2" fillId="3" borderId="4" xfId="0" applyFont="1" applyFill="1" applyBorder="1" applyAlignment="1">
      <alignment horizontal="right" wrapText="1"/>
    </xf>
    <xf numFmtId="0" fontId="0" fillId="0" borderId="0" xfId="0" applyAlignment="1">
      <alignment vertical="top" wrapText="1"/>
    </xf>
    <xf numFmtId="164" fontId="0" fillId="3" borderId="0" xfId="1" applyNumberFormat="1" applyFont="1" applyFill="1" applyBorder="1" applyAlignment="1">
      <alignment horizontal="right"/>
    </xf>
    <xf numFmtId="166" fontId="0" fillId="3" borderId="13" xfId="8" applyNumberFormat="1" applyFont="1" applyFill="1" applyBorder="1" applyAlignment="1">
      <alignment horizontal="right"/>
    </xf>
    <xf numFmtId="164" fontId="0" fillId="3" borderId="6" xfId="1" applyNumberFormat="1" applyFont="1" applyFill="1" applyBorder="1" applyAlignment="1">
      <alignment horizontal="right"/>
    </xf>
    <xf numFmtId="164" fontId="0" fillId="3" borderId="6" xfId="0" applyNumberFormat="1" applyFill="1" applyBorder="1" applyAlignment="1">
      <alignment horizontal="right"/>
    </xf>
    <xf numFmtId="43" fontId="0" fillId="3" borderId="6" xfId="1" applyFont="1" applyFill="1" applyBorder="1" applyAlignment="1">
      <alignment horizontal="right"/>
    </xf>
    <xf numFmtId="41" fontId="0" fillId="3" borderId="6" xfId="1" applyNumberFormat="1" applyFont="1" applyFill="1" applyBorder="1" applyAlignment="1">
      <alignment horizontal="right"/>
    </xf>
    <xf numFmtId="0" fontId="6" fillId="3" borderId="7" xfId="4" applyFill="1" applyBorder="1"/>
    <xf numFmtId="0" fontId="6" fillId="3" borderId="1" xfId="4" applyFill="1" applyBorder="1"/>
    <xf numFmtId="0" fontId="6" fillId="3" borderId="8" xfId="4" applyFill="1" applyBorder="1"/>
    <xf numFmtId="0" fontId="6" fillId="0" borderId="0" xfId="4" applyFill="1"/>
    <xf numFmtId="0" fontId="24" fillId="3" borderId="2" xfId="0" applyFont="1" applyFill="1" applyBorder="1" applyAlignment="1">
      <alignment horizontal="left" vertical="top" wrapText="1"/>
    </xf>
    <xf numFmtId="0" fontId="24" fillId="3" borderId="3" xfId="0" applyFont="1" applyFill="1" applyBorder="1" applyAlignment="1">
      <alignment horizontal="left" vertical="top" wrapText="1"/>
    </xf>
    <xf numFmtId="0" fontId="24" fillId="3" borderId="4" xfId="0" applyFont="1" applyFill="1" applyBorder="1" applyAlignment="1">
      <alignment horizontal="left" vertical="top" wrapText="1"/>
    </xf>
    <xf numFmtId="0" fontId="24" fillId="3" borderId="5" xfId="0" applyFont="1" applyFill="1" applyBorder="1" applyAlignment="1">
      <alignment horizontal="left" vertical="center"/>
    </xf>
    <xf numFmtId="0" fontId="24" fillId="3" borderId="0" xfId="0" applyFont="1" applyFill="1" applyBorder="1" applyAlignment="1">
      <alignment horizontal="left" vertical="center"/>
    </xf>
    <xf numFmtId="0" fontId="24" fillId="3" borderId="6" xfId="0" applyFont="1" applyFill="1" applyBorder="1" applyAlignment="1">
      <alignment horizontal="left" vertical="center"/>
    </xf>
    <xf numFmtId="0" fontId="24" fillId="3" borderId="5" xfId="0" applyFont="1" applyFill="1" applyBorder="1" applyAlignment="1">
      <alignment vertical="center" wrapText="1"/>
    </xf>
    <xf numFmtId="0" fontId="0" fillId="3" borderId="0" xfId="0" applyFill="1" applyBorder="1" applyAlignment="1">
      <alignment vertical="center" wrapText="1"/>
    </xf>
    <xf numFmtId="0" fontId="0" fillId="3" borderId="6" xfId="0" applyFill="1" applyBorder="1" applyAlignment="1">
      <alignment vertical="center" wrapText="1"/>
    </xf>
    <xf numFmtId="0" fontId="16" fillId="0" borderId="0" xfId="0" applyFont="1" applyAlignment="1">
      <alignment wrapText="1"/>
    </xf>
    <xf numFmtId="0" fontId="15" fillId="5" borderId="0" xfId="0" applyNumberFormat="1" applyFont="1" applyFill="1" applyAlignment="1" applyProtection="1">
      <alignment horizontal="left" vertical="top" wrapText="1"/>
    </xf>
    <xf numFmtId="0" fontId="0" fillId="5" borderId="0" xfId="0" applyFill="1" applyAlignment="1">
      <alignment vertical="top" wrapText="1"/>
    </xf>
    <xf numFmtId="0" fontId="15" fillId="5" borderId="0" xfId="0" applyFont="1" applyFill="1" applyAlignment="1">
      <alignment vertical="top" wrapText="1"/>
    </xf>
    <xf numFmtId="0" fontId="0" fillId="5" borderId="0" xfId="0" applyFill="1" applyAlignment="1">
      <alignment vertical="top"/>
    </xf>
    <xf numFmtId="0" fontId="0" fillId="0" borderId="0" xfId="0" applyFill="1" applyAlignment="1">
      <alignment horizontal="center"/>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0" fillId="0" borderId="0" xfId="0" applyFill="1" applyBorder="1" applyAlignment="1">
      <alignment horizontal="left" vertical="top"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0" fillId="0" borderId="1" xfId="0" applyFill="1" applyBorder="1" applyAlignment="1">
      <alignment horizontal="left" vertical="top" wrapText="1"/>
    </xf>
    <xf numFmtId="0" fontId="0" fillId="0" borderId="8" xfId="0" applyFill="1" applyBorder="1" applyAlignment="1">
      <alignment horizontal="left" vertical="top" wrapText="1"/>
    </xf>
    <xf numFmtId="0" fontId="14" fillId="5" borderId="0" xfId="0" applyNumberFormat="1" applyFont="1" applyFill="1" applyAlignment="1" applyProtection="1">
      <alignment horizontal="left" vertical="center"/>
    </xf>
    <xf numFmtId="0" fontId="0" fillId="5" borderId="0" xfId="0" applyFill="1" applyAlignment="1">
      <alignment vertical="center"/>
    </xf>
  </cellXfs>
  <cellStyles count="10">
    <cellStyle name="Comma" xfId="1" builtinId="3"/>
    <cellStyle name="Comma 2" xfId="2"/>
    <cellStyle name="Currency" xfId="8" builtinId="4"/>
    <cellStyle name="Normal" xfId="0" builtinId="0"/>
    <cellStyle name="Normal 2" xfId="3"/>
    <cellStyle name="Normal 3" xfId="4"/>
    <cellStyle name="Normal 3 2" xfId="5"/>
    <cellStyle name="Normal 4" xfId="6"/>
    <cellStyle name="Percent" xfId="9" builtinId="5"/>
    <cellStyle name="Percent 2" xfId="7"/>
  </cellStyles>
  <dxfs count="5">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28576</xdr:colOff>
      <xdr:row>39</xdr:row>
      <xdr:rowOff>219075</xdr:rowOff>
    </xdr:from>
    <xdr:to>
      <xdr:col>6</xdr:col>
      <xdr:colOff>1304925</xdr:colOff>
      <xdr:row>39</xdr:row>
      <xdr:rowOff>285750</xdr:rowOff>
    </xdr:to>
    <xdr:cxnSp macro="">
      <xdr:nvCxnSpPr>
        <xdr:cNvPr id="2" name="Straight Arrow Connector 1"/>
        <xdr:cNvCxnSpPr/>
      </xdr:nvCxnSpPr>
      <xdr:spPr>
        <a:xfrm flipH="1">
          <a:off x="10106026" y="9563100"/>
          <a:ext cx="1276349" cy="666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SHPNC\Health\GASB%207475%20Study\05032017%20Files\GASB7475-MAP--withUpdates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PL"/>
      <sheetName val="GASB67 Exhibits"/>
      <sheetName val="Adjust"/>
      <sheetName val="Import"/>
      <sheetName val="BM_GASB"/>
      <sheetName val="BM_GASBExhibits"/>
      <sheetName val="BM_Adjust"/>
      <sheetName val="Assets"/>
      <sheetName val="TPL_Adjust"/>
      <sheetName val="NPLExpense"/>
      <sheetName val="QuickChecks"/>
      <sheetName val="Deferred Amounts Exhibits"/>
      <sheetName val="InOutFlow"/>
      <sheetName val="GASB68 Exhibits"/>
      <sheetName val="OneERView"/>
      <sheetName val="ER_Input"/>
      <sheetName val="ER_Allocation"/>
      <sheetName val="ER_ChangeProportion"/>
      <sheetName val="ER_ShareContributions"/>
      <sheetName val="ER_AllocationofChanges"/>
      <sheetName val="ER_Schedule1"/>
      <sheetName val="ER_Schedule2"/>
      <sheetName val="ER_NPLExpense"/>
      <sheetName val="ER_DATA"/>
      <sheetName val="Buffer"/>
      <sheetName val="Template"/>
      <sheetName val="FullPlan"/>
      <sheetName val="DeveloperInfo"/>
    </sheetNames>
    <sheetDataSet>
      <sheetData sheetId="0">
        <row r="43">
          <cell r="C43">
            <v>0.5</v>
          </cell>
        </row>
      </sheetData>
      <sheetData sheetId="1"/>
      <sheetData sheetId="2">
        <row r="102">
          <cell r="G102">
            <v>0</v>
          </cell>
          <cell r="H102">
            <v>0</v>
          </cell>
        </row>
        <row r="195">
          <cell r="G195">
            <v>1</v>
          </cell>
          <cell r="H195">
            <v>1</v>
          </cell>
          <cell r="I195">
            <v>1</v>
          </cell>
          <cell r="J195">
            <v>1</v>
          </cell>
          <cell r="K195">
            <v>1</v>
          </cell>
          <cell r="L195">
            <v>1</v>
          </cell>
        </row>
        <row r="197">
          <cell r="G197">
            <v>1.0015833333333333</v>
          </cell>
          <cell r="I197">
            <v>1.0011874999999999</v>
          </cell>
          <cell r="J197">
            <v>1.0011874999999999</v>
          </cell>
          <cell r="K197">
            <v>1.0016041666666666</v>
          </cell>
          <cell r="L197">
            <v>1.0007708333333334</v>
          </cell>
        </row>
        <row r="199">
          <cell r="G199">
            <v>1</v>
          </cell>
          <cell r="H199">
            <v>1</v>
          </cell>
          <cell r="K199">
            <v>1</v>
          </cell>
          <cell r="L199">
            <v>1</v>
          </cell>
        </row>
        <row r="200">
          <cell r="G200">
            <v>0</v>
          </cell>
          <cell r="H200">
            <v>0</v>
          </cell>
          <cell r="K200">
            <v>0</v>
          </cell>
          <cell r="L200">
            <v>0</v>
          </cell>
        </row>
      </sheetData>
      <sheetData sheetId="3"/>
      <sheetData sheetId="4"/>
      <sheetData sheetId="5"/>
      <sheetData sheetId="6"/>
      <sheetData sheetId="7"/>
      <sheetData sheetId="8"/>
      <sheetData sheetId="9"/>
      <sheetData sheetId="10"/>
      <sheetData sheetId="11"/>
      <sheetData sheetId="12"/>
      <sheetData sheetId="13"/>
      <sheetData sheetId="14"/>
      <sheetData sheetId="15">
        <row r="16">
          <cell r="B16">
            <v>10200</v>
          </cell>
          <cell r="C16" t="str">
            <v>North Carolina Education Lottery</v>
          </cell>
          <cell r="D16">
            <v>13140078.810000001</v>
          </cell>
          <cell r="E16">
            <v>14107712.330000008</v>
          </cell>
          <cell r="F16">
            <v>117258395.09909993</v>
          </cell>
          <cell r="G16">
            <v>158330013.72638756</v>
          </cell>
          <cell r="M16">
            <v>838417.64999999991</v>
          </cell>
          <cell r="R16" t="str">
            <v>TRUE</v>
          </cell>
          <cell r="V16">
            <v>16</v>
          </cell>
        </row>
        <row r="17">
          <cell r="B17" t="str">
            <v>SPA</v>
          </cell>
          <cell r="C17" t="str">
            <v>NC State Ports Authority (subset of DOT)</v>
          </cell>
          <cell r="D17">
            <v>9908200.6700000055</v>
          </cell>
          <cell r="E17">
            <v>11585996.839999992</v>
          </cell>
          <cell r="F17">
            <v>73579293.954100028</v>
          </cell>
          <cell r="G17">
            <v>103182162.23689999</v>
          </cell>
          <cell r="M17">
            <v>690060.76502732246</v>
          </cell>
          <cell r="V17">
            <v>17</v>
          </cell>
        </row>
        <row r="18">
          <cell r="B18" t="str">
            <v>GTPA</v>
          </cell>
          <cell r="C18" t="str">
            <v>NC Global TransPark Authority (subset of DOT)</v>
          </cell>
          <cell r="D18">
            <v>381770.5</v>
          </cell>
          <cell r="E18">
            <v>413152.68</v>
          </cell>
          <cell r="F18">
            <v>2135270.6086999997</v>
          </cell>
          <cell r="G18">
            <v>2592522.6902000001</v>
          </cell>
          <cell r="M18">
            <v>25039.650273224044</v>
          </cell>
          <cell r="V18">
            <v>18</v>
          </cell>
        </row>
        <row r="19">
          <cell r="B19" t="str">
            <v>SEAA</v>
          </cell>
          <cell r="C19" t="str">
            <v>State Education Assistance Authority (subset of UNC General Administration)</v>
          </cell>
          <cell r="D19">
            <v>1736323.6300000001</v>
          </cell>
          <cell r="E19">
            <v>1806684.4100000004</v>
          </cell>
          <cell r="F19">
            <v>12895805.5305</v>
          </cell>
          <cell r="G19">
            <v>16489783.240600001</v>
          </cell>
          <cell r="M19">
            <v>114494.60109289618</v>
          </cell>
          <cell r="V19">
            <v>19</v>
          </cell>
        </row>
        <row r="20">
          <cell r="B20" t="str">
            <v>SHP</v>
          </cell>
          <cell r="C20" t="str">
            <v>State Health Plan (subset of Department of Treasurer)</v>
          </cell>
          <cell r="D20">
            <v>1877198.62</v>
          </cell>
          <cell r="E20">
            <v>2028909.9300000002</v>
          </cell>
          <cell r="F20">
            <v>16332188.791200001</v>
          </cell>
          <cell r="G20">
            <v>21766640.335700005</v>
          </cell>
          <cell r="M20">
            <v>153883.10382513664</v>
          </cell>
          <cell r="V20">
            <v>20</v>
          </cell>
        </row>
        <row r="21">
          <cell r="B21">
            <v>10400</v>
          </cell>
          <cell r="C21" t="str">
            <v>Department Of Justice</v>
          </cell>
          <cell r="D21">
            <v>45032680.989999987</v>
          </cell>
          <cell r="E21">
            <v>46652416.75000006</v>
          </cell>
          <cell r="F21">
            <v>346712388.41399986</v>
          </cell>
          <cell r="G21">
            <v>461834540.907691</v>
          </cell>
          <cell r="M21">
            <v>2712836.9099999992</v>
          </cell>
          <cell r="V21">
            <v>21</v>
          </cell>
        </row>
        <row r="22">
          <cell r="B22">
            <v>10500</v>
          </cell>
          <cell r="C22" t="str">
            <v>State Auditor</v>
          </cell>
          <cell r="D22">
            <v>9913585.9800000004</v>
          </cell>
          <cell r="E22">
            <v>9868361.1599999983</v>
          </cell>
          <cell r="F22">
            <v>80315788.587900028</v>
          </cell>
          <cell r="G22">
            <v>104202614.37525001</v>
          </cell>
          <cell r="M22">
            <v>596251.93000000005</v>
          </cell>
          <cell r="V22">
            <v>22</v>
          </cell>
        </row>
        <row r="23">
          <cell r="B23">
            <v>10700</v>
          </cell>
          <cell r="C23" t="str">
            <v>Department Of Cultural Resources</v>
          </cell>
          <cell r="D23">
            <v>29104363.569999993</v>
          </cell>
          <cell r="E23">
            <v>66506369.379999906</v>
          </cell>
          <cell r="F23">
            <v>202614613.91110012</v>
          </cell>
          <cell r="G23">
            <v>633740389.29310656</v>
          </cell>
          <cell r="M23">
            <v>3341643.25</v>
          </cell>
          <cell r="V23">
            <v>23</v>
          </cell>
        </row>
        <row r="24">
          <cell r="B24">
            <v>10800</v>
          </cell>
          <cell r="C24" t="str">
            <v>Administrative Office Of The Courts</v>
          </cell>
          <cell r="D24">
            <v>276165065.26999789</v>
          </cell>
          <cell r="E24">
            <v>276869699.74999952</v>
          </cell>
          <cell r="F24">
            <v>2134089260.0327041</v>
          </cell>
          <cell r="G24">
            <v>2770283572.9092622</v>
          </cell>
          <cell r="M24">
            <v>16051570.390000001</v>
          </cell>
          <cell r="V24">
            <v>24</v>
          </cell>
        </row>
        <row r="25">
          <cell r="B25">
            <v>10850</v>
          </cell>
          <cell r="C25" t="str">
            <v>Office Of Administrative Hearing</v>
          </cell>
          <cell r="D25">
            <v>2416963.3499999996</v>
          </cell>
          <cell r="E25">
            <v>2828498.3000000003</v>
          </cell>
          <cell r="F25">
            <v>13094147.137200002</v>
          </cell>
          <cell r="G25">
            <v>19725979.857292328</v>
          </cell>
          <cell r="M25">
            <v>164164.12</v>
          </cell>
          <cell r="V25">
            <v>25</v>
          </cell>
        </row>
        <row r="26">
          <cell r="B26">
            <v>10900</v>
          </cell>
          <cell r="C26" t="str">
            <v>Department Of Administration</v>
          </cell>
          <cell r="D26">
            <v>32258183.599999968</v>
          </cell>
          <cell r="E26">
            <v>32080362.910000026</v>
          </cell>
          <cell r="F26">
            <v>214291080.30210024</v>
          </cell>
          <cell r="G26">
            <v>266733548.8190397</v>
          </cell>
          <cell r="M26">
            <v>1838476.8499999996</v>
          </cell>
          <cell r="V26">
            <v>26</v>
          </cell>
        </row>
        <row r="27">
          <cell r="B27">
            <v>10910</v>
          </cell>
          <cell r="C27" t="str">
            <v>Office Of State Budget &amp; Management</v>
          </cell>
          <cell r="D27">
            <v>4630052.5100000007</v>
          </cell>
          <cell r="E27">
            <v>3813313.13</v>
          </cell>
          <cell r="F27">
            <v>33769642.060700007</v>
          </cell>
          <cell r="G27">
            <v>40166172.460000008</v>
          </cell>
          <cell r="M27">
            <v>228972.61</v>
          </cell>
          <cell r="V27">
            <v>27</v>
          </cell>
        </row>
        <row r="28">
          <cell r="B28">
            <v>10930</v>
          </cell>
          <cell r="C28" t="str">
            <v>Information Technology Services</v>
          </cell>
          <cell r="D28">
            <v>40051803.189999998</v>
          </cell>
          <cell r="E28">
            <v>40792819.800000012</v>
          </cell>
          <cell r="F28">
            <v>282653028.59919977</v>
          </cell>
          <cell r="G28">
            <v>355223499.50040084</v>
          </cell>
          <cell r="M28">
            <v>2335030.2499999995</v>
          </cell>
          <cell r="V28">
            <v>28</v>
          </cell>
        </row>
        <row r="29">
          <cell r="B29">
            <v>10940</v>
          </cell>
          <cell r="C29" t="str">
            <v>Office Of State Controller</v>
          </cell>
          <cell r="D29">
            <v>11087519.829999996</v>
          </cell>
          <cell r="E29">
            <v>10915232.039999992</v>
          </cell>
          <cell r="F29">
            <v>77064137.500400007</v>
          </cell>
          <cell r="G29">
            <v>97490247.369223759</v>
          </cell>
          <cell r="M29">
            <v>641379.92999999993</v>
          </cell>
          <cell r="V29">
            <v>29</v>
          </cell>
        </row>
        <row r="30">
          <cell r="B30">
            <v>10950</v>
          </cell>
          <cell r="C30" t="str">
            <v>N.C. School Of Science &amp; Mathematics</v>
          </cell>
          <cell r="D30">
            <v>11853204.720000012</v>
          </cell>
          <cell r="E30">
            <v>12169359.4</v>
          </cell>
          <cell r="F30">
            <v>93896356.444600001</v>
          </cell>
          <cell r="G30">
            <v>127757506.78350005</v>
          </cell>
          <cell r="M30">
            <v>693898.79</v>
          </cell>
          <cell r="V30">
            <v>30</v>
          </cell>
        </row>
        <row r="31">
          <cell r="B31">
            <v>11300</v>
          </cell>
          <cell r="C31" t="str">
            <v>Environment And Natural Resources</v>
          </cell>
          <cell r="D31">
            <v>119549453.71999982</v>
          </cell>
          <cell r="E31">
            <v>81503903.549999997</v>
          </cell>
          <cell r="F31">
            <v>888668927.11740065</v>
          </cell>
          <cell r="G31">
            <v>742415346.24827659</v>
          </cell>
          <cell r="M31">
            <v>5216636.1899999995</v>
          </cell>
          <cell r="V31">
            <v>31</v>
          </cell>
        </row>
        <row r="32">
          <cell r="B32">
            <v>11310</v>
          </cell>
          <cell r="C32" t="str">
            <v>N.C. Housing Finance Agency</v>
          </cell>
          <cell r="D32">
            <v>7601380.0300000021</v>
          </cell>
          <cell r="E32">
            <v>7711680.4799999986</v>
          </cell>
          <cell r="F32">
            <v>55970482.748200007</v>
          </cell>
          <cell r="G32">
            <v>71497564.273457065</v>
          </cell>
          <cell r="M32">
            <v>440657.49000000005</v>
          </cell>
          <cell r="V32">
            <v>32</v>
          </cell>
        </row>
        <row r="33">
          <cell r="B33">
            <v>11600</v>
          </cell>
          <cell r="C33" t="str">
            <v>Wildlife Resources Commission</v>
          </cell>
          <cell r="D33">
            <v>27926389.21999998</v>
          </cell>
          <cell r="E33">
            <v>28412137.169999994</v>
          </cell>
          <cell r="F33">
            <v>233589540.2854999</v>
          </cell>
          <cell r="G33">
            <v>305189205.14313018</v>
          </cell>
          <cell r="M33">
            <v>1642062.2200000002</v>
          </cell>
          <cell r="V33">
            <v>33</v>
          </cell>
        </row>
        <row r="34">
          <cell r="B34">
            <v>11900</v>
          </cell>
          <cell r="C34" t="str">
            <v>State Board Of Elections</v>
          </cell>
          <cell r="D34">
            <v>3140884.0100000002</v>
          </cell>
          <cell r="E34">
            <v>3220506.4499999997</v>
          </cell>
          <cell r="F34">
            <v>28013267.772500012</v>
          </cell>
          <cell r="G34">
            <v>35457958.022800013</v>
          </cell>
          <cell r="M34">
            <v>182558.12</v>
          </cell>
          <cell r="V34">
            <v>34</v>
          </cell>
        </row>
        <row r="35">
          <cell r="B35">
            <v>12100</v>
          </cell>
          <cell r="C35" t="str">
            <v>Governor's Office</v>
          </cell>
          <cell r="D35">
            <v>4037476.6399999992</v>
          </cell>
          <cell r="E35">
            <v>4186906.6799999992</v>
          </cell>
          <cell r="F35">
            <v>32196933.971600004</v>
          </cell>
          <cell r="G35">
            <v>41849957.136910535</v>
          </cell>
          <cell r="M35">
            <v>231747.3</v>
          </cell>
          <cell r="V35">
            <v>35</v>
          </cell>
        </row>
        <row r="36">
          <cell r="B36">
            <v>12150</v>
          </cell>
          <cell r="C36" t="str">
            <v>Lt. Governor's Office</v>
          </cell>
          <cell r="D36">
            <v>498234.02</v>
          </cell>
          <cell r="E36">
            <v>509215.18000000005</v>
          </cell>
          <cell r="F36">
            <v>5048017.9245999996</v>
          </cell>
          <cell r="G36">
            <v>6257049.967699999</v>
          </cell>
          <cell r="M36">
            <v>26996.550000000003</v>
          </cell>
          <cell r="V36">
            <v>36</v>
          </cell>
        </row>
        <row r="37">
          <cell r="B37">
            <v>12160</v>
          </cell>
          <cell r="C37" t="str">
            <v>General Assembly</v>
          </cell>
          <cell r="D37">
            <v>27431475.109999951</v>
          </cell>
          <cell r="E37">
            <v>29167151.46999998</v>
          </cell>
          <cell r="F37">
            <v>202874970.85329992</v>
          </cell>
          <cell r="G37">
            <v>274894843.96160227</v>
          </cell>
          <cell r="M37">
            <v>1634685.2699999998</v>
          </cell>
          <cell r="V37">
            <v>37</v>
          </cell>
        </row>
        <row r="38">
          <cell r="B38">
            <v>12220</v>
          </cell>
          <cell r="C38" t="str">
            <v>Health &amp; Human Services</v>
          </cell>
          <cell r="D38">
            <v>691208318.22000325</v>
          </cell>
          <cell r="E38">
            <v>714528160.84999931</v>
          </cell>
          <cell r="F38">
            <v>5138406918.7609119</v>
          </cell>
          <cell r="G38">
            <v>6788464923.7811136</v>
          </cell>
          <cell r="M38">
            <v>41418259.039999999</v>
          </cell>
          <cell r="V38">
            <v>38</v>
          </cell>
        </row>
        <row r="39">
          <cell r="B39">
            <v>12510</v>
          </cell>
          <cell r="C39" t="str">
            <v>Department Of Commerce</v>
          </cell>
          <cell r="D39">
            <v>94929199.229999915</v>
          </cell>
          <cell r="E39">
            <v>89318474.35999988</v>
          </cell>
          <cell r="F39">
            <v>648314450.72300053</v>
          </cell>
          <cell r="G39">
            <v>760563563.3649689</v>
          </cell>
          <cell r="M39">
            <v>5078458.17</v>
          </cell>
          <cell r="V39">
            <v>39</v>
          </cell>
        </row>
        <row r="40">
          <cell r="B40">
            <v>12600</v>
          </cell>
          <cell r="C40" t="str">
            <v>Insurance Department</v>
          </cell>
          <cell r="D40">
            <v>23057745.250000004</v>
          </cell>
          <cell r="E40">
            <v>23967770.510000024</v>
          </cell>
          <cell r="F40">
            <v>158336687.30759996</v>
          </cell>
          <cell r="G40">
            <v>204541993.27083603</v>
          </cell>
          <cell r="M40">
            <v>1375917.37</v>
          </cell>
          <cell r="V40">
            <v>40</v>
          </cell>
        </row>
        <row r="41">
          <cell r="B41">
            <v>12700</v>
          </cell>
          <cell r="C41" t="str">
            <v>Labor Department</v>
          </cell>
          <cell r="D41">
            <v>18476884.369999997</v>
          </cell>
          <cell r="E41">
            <v>18256095.459999993</v>
          </cell>
          <cell r="F41">
            <v>128071452.31869987</v>
          </cell>
          <cell r="G41">
            <v>161789949.37498331</v>
          </cell>
          <cell r="M41">
            <v>1039464.27</v>
          </cell>
          <cell r="V41">
            <v>41</v>
          </cell>
        </row>
        <row r="42">
          <cell r="B42">
            <v>13500</v>
          </cell>
          <cell r="C42" t="str">
            <v>Revenue Department</v>
          </cell>
          <cell r="D42">
            <v>59351472.210000016</v>
          </cell>
          <cell r="E42">
            <v>62437210.360000014</v>
          </cell>
          <cell r="F42">
            <v>442424282.30579895</v>
          </cell>
          <cell r="G42">
            <v>602068278.6938957</v>
          </cell>
          <cell r="M42">
            <v>3744870.41</v>
          </cell>
          <cell r="V42">
            <v>42</v>
          </cell>
        </row>
        <row r="43">
          <cell r="B43">
            <v>13700</v>
          </cell>
          <cell r="C43" t="str">
            <v>Secretary Of State</v>
          </cell>
          <cell r="D43">
            <v>7847466.9099999927</v>
          </cell>
          <cell r="E43">
            <v>8062460.2200000007</v>
          </cell>
          <cell r="F43">
            <v>57193045.723199986</v>
          </cell>
          <cell r="G43">
            <v>72996997.871200055</v>
          </cell>
          <cell r="M43">
            <v>459933.8600000001</v>
          </cell>
          <cell r="V43">
            <v>43</v>
          </cell>
        </row>
        <row r="44">
          <cell r="B44">
            <v>14300</v>
          </cell>
          <cell r="C44" t="str">
            <v>State Treasurer</v>
          </cell>
          <cell r="D44">
            <v>18668224.000000007</v>
          </cell>
          <cell r="E44">
            <v>20301876.740000028</v>
          </cell>
          <cell r="F44">
            <v>150427880.4119001</v>
          </cell>
          <cell r="G44">
            <v>207837874.1576499</v>
          </cell>
          <cell r="M44">
            <v>1232776.0161748636</v>
          </cell>
          <cell r="V44">
            <v>44</v>
          </cell>
        </row>
        <row r="45">
          <cell r="B45">
            <v>18400</v>
          </cell>
          <cell r="C45" t="str">
            <v>Department Of Agriculture</v>
          </cell>
          <cell r="D45">
            <v>81700719.910000011</v>
          </cell>
          <cell r="E45">
            <v>83685513.720000148</v>
          </cell>
          <cell r="F45">
            <v>611241679.95879889</v>
          </cell>
          <cell r="G45">
            <v>796113367.33703518</v>
          </cell>
          <cell r="M45">
            <v>4837731.8500000006</v>
          </cell>
          <cell r="V45">
            <v>45</v>
          </cell>
        </row>
        <row r="46">
          <cell r="B46">
            <v>18600</v>
          </cell>
          <cell r="C46" t="str">
            <v>Barber Examiners, State Board Of</v>
          </cell>
          <cell r="D46">
            <v>319127.02</v>
          </cell>
          <cell r="E46">
            <v>393697.74</v>
          </cell>
          <cell r="F46">
            <v>1951641.5970000001</v>
          </cell>
          <cell r="G46">
            <v>3353264.1546999998</v>
          </cell>
          <cell r="M46">
            <v>19103.669999999998</v>
          </cell>
          <cell r="V46">
            <v>46</v>
          </cell>
        </row>
        <row r="47">
          <cell r="B47">
            <v>18690</v>
          </cell>
          <cell r="C47" t="str">
            <v>N.C. Real Estate Commission</v>
          </cell>
          <cell r="D47">
            <v>338774.41000000003</v>
          </cell>
          <cell r="E47">
            <v>188638.13</v>
          </cell>
          <cell r="F47">
            <v>1082094.4539999999</v>
          </cell>
          <cell r="G47">
            <v>707488.27860000008</v>
          </cell>
          <cell r="M47">
            <v>10729.84</v>
          </cell>
          <cell r="V47">
            <v>47</v>
          </cell>
        </row>
        <row r="48">
          <cell r="B48">
            <v>18740</v>
          </cell>
          <cell r="C48" t="str">
            <v>N.C. Auctioneers Licensing Board</v>
          </cell>
          <cell r="D48">
            <v>109040</v>
          </cell>
          <cell r="E48">
            <v>108964.61</v>
          </cell>
          <cell r="F48">
            <v>708002.30050000001</v>
          </cell>
          <cell r="G48">
            <v>1012516.5645999999</v>
          </cell>
          <cell r="M48">
            <v>5820.32</v>
          </cell>
          <cell r="V48">
            <v>48</v>
          </cell>
        </row>
        <row r="49">
          <cell r="B49">
            <v>18780</v>
          </cell>
          <cell r="C49" t="str">
            <v>N.C. State Board Of Examiners Of Practicing Psychol</v>
          </cell>
          <cell r="D49">
            <v>206759.04000000001</v>
          </cell>
          <cell r="E49">
            <v>230054.08000000002</v>
          </cell>
          <cell r="F49">
            <v>1470948.3160000001</v>
          </cell>
          <cell r="G49">
            <v>2032913.4622</v>
          </cell>
          <cell r="M49">
            <v>14063.73</v>
          </cell>
          <cell r="V49">
            <v>49</v>
          </cell>
        </row>
        <row r="50">
          <cell r="B50">
            <v>19005</v>
          </cell>
          <cell r="C50" t="str">
            <v>Community Colleges Administration</v>
          </cell>
          <cell r="D50">
            <v>13028678.059999997</v>
          </cell>
          <cell r="E50">
            <v>13017121.449999999</v>
          </cell>
          <cell r="F50">
            <v>88238046.576200023</v>
          </cell>
          <cell r="G50">
            <v>109465670.70650002</v>
          </cell>
          <cell r="M50">
            <v>723012.18</v>
          </cell>
          <cell r="V50">
            <v>50</v>
          </cell>
        </row>
        <row r="51">
          <cell r="B51">
            <v>19100</v>
          </cell>
          <cell r="C51" t="str">
            <v>Department Of Public Safety</v>
          </cell>
          <cell r="D51">
            <v>907264421.91999543</v>
          </cell>
          <cell r="E51">
            <v>943822179.58999956</v>
          </cell>
          <cell r="F51">
            <v>7370668111.5191793</v>
          </cell>
          <cell r="G51">
            <v>9720683817.2060966</v>
          </cell>
          <cell r="M51">
            <v>55737001.779999994</v>
          </cell>
          <cell r="V51">
            <v>51</v>
          </cell>
        </row>
        <row r="52">
          <cell r="B52">
            <v>20100</v>
          </cell>
          <cell r="C52" t="str">
            <v>Appalachian State University</v>
          </cell>
          <cell r="D52">
            <v>152463131.52999961</v>
          </cell>
          <cell r="E52">
            <v>159125172.04999989</v>
          </cell>
          <cell r="F52">
            <v>1332750627.1713004</v>
          </cell>
          <cell r="G52">
            <v>1839576773.3837574</v>
          </cell>
          <cell r="M52">
            <v>9121256.3499999996</v>
          </cell>
          <cell r="V52">
            <v>52</v>
          </cell>
        </row>
        <row r="53">
          <cell r="B53">
            <v>20200</v>
          </cell>
          <cell r="C53" t="str">
            <v>N.C. School Of The Arts</v>
          </cell>
          <cell r="D53">
            <v>21633821.469999999</v>
          </cell>
          <cell r="E53">
            <v>23139714.909999985</v>
          </cell>
          <cell r="F53">
            <v>169069273.20410007</v>
          </cell>
          <cell r="G53">
            <v>238134398.71108416</v>
          </cell>
          <cell r="M53">
            <v>1312092.25</v>
          </cell>
          <cell r="V53">
            <v>53</v>
          </cell>
        </row>
        <row r="54">
          <cell r="B54">
            <v>20300</v>
          </cell>
          <cell r="C54" t="str">
            <v>East Carolina University</v>
          </cell>
          <cell r="D54">
            <v>374135353.39999753</v>
          </cell>
          <cell r="E54">
            <v>384458364.83999896</v>
          </cell>
          <cell r="F54">
            <v>3411596370.1930079</v>
          </cell>
          <cell r="G54">
            <v>4450859407.7966146</v>
          </cell>
          <cell r="M54">
            <v>21253621.16</v>
          </cell>
          <cell r="V54">
            <v>54</v>
          </cell>
        </row>
        <row r="55">
          <cell r="B55">
            <v>20400</v>
          </cell>
          <cell r="C55" t="str">
            <v>Elizabeth City State University</v>
          </cell>
          <cell r="D55">
            <v>24194754.610000022</v>
          </cell>
          <cell r="E55">
            <v>21065056.790000014</v>
          </cell>
          <cell r="F55">
            <v>190303612.04370016</v>
          </cell>
          <cell r="G55">
            <v>216730966.73224127</v>
          </cell>
          <cell r="M55">
            <v>1180498.3799999999</v>
          </cell>
          <cell r="V55">
            <v>55</v>
          </cell>
        </row>
        <row r="56">
          <cell r="B56">
            <v>20600</v>
          </cell>
          <cell r="C56" t="str">
            <v>Fayetteville State University</v>
          </cell>
          <cell r="D56">
            <v>46279011.609999999</v>
          </cell>
          <cell r="E56">
            <v>46059741.430000059</v>
          </cell>
          <cell r="F56">
            <v>379722128.42330003</v>
          </cell>
          <cell r="G56">
            <v>483077135.13638604</v>
          </cell>
          <cell r="M56">
            <v>2567090.4700000002</v>
          </cell>
          <cell r="V56">
            <v>56</v>
          </cell>
        </row>
        <row r="57">
          <cell r="B57">
            <v>20700</v>
          </cell>
          <cell r="C57" t="str">
            <v>N.C. A&amp;T University</v>
          </cell>
          <cell r="D57">
            <v>100701604.96999973</v>
          </cell>
          <cell r="E57">
            <v>100882755.96999997</v>
          </cell>
          <cell r="F57">
            <v>815989515.76950097</v>
          </cell>
          <cell r="G57">
            <v>1061976163.6406304</v>
          </cell>
          <cell r="M57">
            <v>5684012.8000000007</v>
          </cell>
          <cell r="V57">
            <v>57</v>
          </cell>
        </row>
        <row r="58">
          <cell r="B58">
            <v>20800</v>
          </cell>
          <cell r="C58" t="str">
            <v>N.C. Central University</v>
          </cell>
          <cell r="D58">
            <v>78164186.909999877</v>
          </cell>
          <cell r="E58">
            <v>78015479.829999864</v>
          </cell>
          <cell r="F58">
            <v>628971903.90429926</v>
          </cell>
          <cell r="G58">
            <v>837930452.33546937</v>
          </cell>
          <cell r="M58">
            <v>4372226.5500000007</v>
          </cell>
          <cell r="V58">
            <v>58</v>
          </cell>
        </row>
        <row r="59">
          <cell r="B59">
            <v>20900</v>
          </cell>
          <cell r="C59" t="str">
            <v>University Of North Carolina At Greensboro</v>
          </cell>
          <cell r="D59">
            <v>153703020.53999996</v>
          </cell>
          <cell r="E59">
            <v>153380773.23999989</v>
          </cell>
          <cell r="F59">
            <v>1334901916.7378001</v>
          </cell>
          <cell r="G59">
            <v>1726488746.8844199</v>
          </cell>
          <cell r="M59">
            <v>8688124</v>
          </cell>
          <cell r="V59">
            <v>59</v>
          </cell>
        </row>
        <row r="60">
          <cell r="B60">
            <v>21200</v>
          </cell>
          <cell r="C60" t="str">
            <v>UNC - Pembroke</v>
          </cell>
          <cell r="D60">
            <v>44476774.709999993</v>
          </cell>
          <cell r="E60">
            <v>48158850.890000053</v>
          </cell>
          <cell r="F60">
            <v>391930345.44640017</v>
          </cell>
          <cell r="G60">
            <v>565555534.55427539</v>
          </cell>
          <cell r="M60">
            <v>2683334.2999999998</v>
          </cell>
          <cell r="V60">
            <v>60</v>
          </cell>
        </row>
        <row r="61">
          <cell r="B61">
            <v>21300</v>
          </cell>
          <cell r="C61" t="str">
            <v>N.C. State University</v>
          </cell>
          <cell r="D61">
            <v>556878486.70999837</v>
          </cell>
          <cell r="E61">
            <v>581913565.08000124</v>
          </cell>
          <cell r="F61">
            <v>4923630164.3049107</v>
          </cell>
          <cell r="G61">
            <v>6771987881.9966269</v>
          </cell>
          <cell r="M61">
            <v>33170603.32</v>
          </cell>
          <cell r="V61">
            <v>61</v>
          </cell>
        </row>
        <row r="62">
          <cell r="B62">
            <v>21520</v>
          </cell>
          <cell r="C62" t="str">
            <v>UNC-CH CB 1260</v>
          </cell>
          <cell r="D62">
            <v>977823595.88999951</v>
          </cell>
          <cell r="E62">
            <v>1037963761.8100019</v>
          </cell>
          <cell r="F62">
            <v>9203325743.5181789</v>
          </cell>
          <cell r="G62">
            <v>12343375481.386206</v>
          </cell>
          <cell r="M62">
            <v>58923861.240000002</v>
          </cell>
          <cell r="V62">
            <v>62</v>
          </cell>
        </row>
        <row r="63">
          <cell r="B63">
            <v>21525</v>
          </cell>
          <cell r="C63" t="str">
            <v>UNC-General Administration</v>
          </cell>
          <cell r="D63">
            <v>26289411.439999998</v>
          </cell>
          <cell r="E63">
            <v>27240178.579999987</v>
          </cell>
          <cell r="F63">
            <v>215462075.18339983</v>
          </cell>
          <cell r="G63">
            <v>298915016.01031876</v>
          </cell>
          <cell r="M63">
            <v>1636125.2789071039</v>
          </cell>
          <cell r="V63">
            <v>63</v>
          </cell>
        </row>
        <row r="64">
          <cell r="B64">
            <v>21550</v>
          </cell>
          <cell r="C64" t="str">
            <v>UNC Health Care System</v>
          </cell>
          <cell r="D64">
            <v>497424933.12000048</v>
          </cell>
          <cell r="E64">
            <v>525945521.43999976</v>
          </cell>
          <cell r="F64">
            <v>4713269831.466692</v>
          </cell>
          <cell r="G64">
            <v>6670988864.1124773</v>
          </cell>
          <cell r="M64">
            <v>32115489.009999994</v>
          </cell>
          <cell r="V64">
            <v>64</v>
          </cell>
        </row>
        <row r="65">
          <cell r="B65">
            <v>21570</v>
          </cell>
          <cell r="C65" t="str">
            <v>University Of North Carolina Press</v>
          </cell>
          <cell r="D65">
            <v>2730178.14</v>
          </cell>
          <cell r="E65">
            <v>2811511.41</v>
          </cell>
          <cell r="F65">
            <v>21110274.446299996</v>
          </cell>
          <cell r="G65">
            <v>26798459.970199998</v>
          </cell>
          <cell r="M65">
            <v>165114.88999999998</v>
          </cell>
          <cell r="V65">
            <v>65</v>
          </cell>
        </row>
        <row r="66">
          <cell r="B66">
            <v>21800</v>
          </cell>
          <cell r="C66" t="str">
            <v>Western Carolina University</v>
          </cell>
          <cell r="D66">
            <v>81977394.010000005</v>
          </cell>
          <cell r="E66">
            <v>84770573.239999905</v>
          </cell>
          <cell r="F66">
            <v>716645001.98660028</v>
          </cell>
          <cell r="G66">
            <v>998094809.3206625</v>
          </cell>
          <cell r="M66">
            <v>4834362.2</v>
          </cell>
          <cell r="V66">
            <v>66</v>
          </cell>
        </row>
        <row r="67">
          <cell r="B67">
            <v>21900</v>
          </cell>
          <cell r="C67" t="str">
            <v>Winston-Salem State University</v>
          </cell>
          <cell r="D67">
            <v>55203377.569999985</v>
          </cell>
          <cell r="E67">
            <v>53762735.439999938</v>
          </cell>
          <cell r="F67">
            <v>455979947.9205001</v>
          </cell>
          <cell r="G67">
            <v>574886370.75963628</v>
          </cell>
          <cell r="M67">
            <v>3049632.5</v>
          </cell>
          <cell r="V67">
            <v>67</v>
          </cell>
        </row>
        <row r="68">
          <cell r="B68">
            <v>22000</v>
          </cell>
          <cell r="C68" t="str">
            <v>Department Of Public Instruction</v>
          </cell>
          <cell r="D68">
            <v>64904889.819999985</v>
          </cell>
          <cell r="E68">
            <v>61444720.999999948</v>
          </cell>
          <cell r="F68">
            <v>466149875.54069984</v>
          </cell>
          <cell r="G68">
            <v>564894877.32439375</v>
          </cell>
          <cell r="M68">
            <v>3547697.5900000003</v>
          </cell>
          <cell r="V68">
            <v>68</v>
          </cell>
        </row>
        <row r="69">
          <cell r="B69">
            <v>23000</v>
          </cell>
          <cell r="C69" t="str">
            <v>University Of North Carolina At Asheville</v>
          </cell>
          <cell r="D69">
            <v>37366144.430000015</v>
          </cell>
          <cell r="E69">
            <v>37896518.979999989</v>
          </cell>
          <cell r="F69">
            <v>316900261.63699943</v>
          </cell>
          <cell r="G69">
            <v>434366191.347305</v>
          </cell>
          <cell r="M69">
            <v>2215314.13</v>
          </cell>
          <cell r="V69">
            <v>69</v>
          </cell>
        </row>
        <row r="70">
          <cell r="B70">
            <v>23100</v>
          </cell>
          <cell r="C70" t="str">
            <v>University Of North Carolina At Charlotte</v>
          </cell>
          <cell r="D70">
            <v>205992830.08000067</v>
          </cell>
          <cell r="E70">
            <v>214830271.9000006</v>
          </cell>
          <cell r="F70">
            <v>1831324169.1407039</v>
          </cell>
          <cell r="G70">
            <v>2518260422.8764181</v>
          </cell>
          <cell r="M70">
            <v>12514087.529999999</v>
          </cell>
          <cell r="V70">
            <v>70</v>
          </cell>
        </row>
        <row r="71">
          <cell r="B71">
            <v>23200</v>
          </cell>
          <cell r="C71" t="str">
            <v>University Of North Carolina At Wilmington</v>
          </cell>
          <cell r="D71">
            <v>108198225.66999948</v>
          </cell>
          <cell r="E71">
            <v>113827268.77999999</v>
          </cell>
          <cell r="F71">
            <v>946326477.90640259</v>
          </cell>
          <cell r="G71">
            <v>1327351938.9052331</v>
          </cell>
          <cell r="M71">
            <v>6585519.0799999991</v>
          </cell>
          <cell r="V71">
            <v>71</v>
          </cell>
        </row>
        <row r="72">
          <cell r="B72">
            <v>30000</v>
          </cell>
          <cell r="C72" t="str">
            <v>Yancey County Schools</v>
          </cell>
          <cell r="D72">
            <v>13031347.669999994</v>
          </cell>
          <cell r="E72">
            <v>13112906.86999999</v>
          </cell>
          <cell r="F72">
            <v>112603928.53299998</v>
          </cell>
          <cell r="G72">
            <v>148858147.21044779</v>
          </cell>
          <cell r="M72">
            <v>747288.26</v>
          </cell>
          <cell r="V72">
            <v>72</v>
          </cell>
        </row>
        <row r="73">
          <cell r="B73">
            <v>30100</v>
          </cell>
          <cell r="C73" t="str">
            <v>Alamance County Schools</v>
          </cell>
          <cell r="D73">
            <v>105902601.34000026</v>
          </cell>
          <cell r="E73">
            <v>110519985.77999982</v>
          </cell>
          <cell r="F73">
            <v>943806604.37829947</v>
          </cell>
          <cell r="G73">
            <v>1315975123.4475124</v>
          </cell>
          <cell r="M73">
            <v>6391482.4500000002</v>
          </cell>
          <cell r="V73">
            <v>73</v>
          </cell>
        </row>
        <row r="74">
          <cell r="B74">
            <v>30102</v>
          </cell>
          <cell r="C74" t="str">
            <v>Clover Garden Charter School</v>
          </cell>
          <cell r="D74">
            <v>1519454.8899999997</v>
          </cell>
          <cell r="E74">
            <v>1936670.5900000003</v>
          </cell>
          <cell r="F74">
            <v>14860235.458700003</v>
          </cell>
          <cell r="G74">
            <v>24565618.844999999</v>
          </cell>
          <cell r="M74">
            <v>111275.96</v>
          </cell>
          <cell r="V74">
            <v>74</v>
          </cell>
        </row>
        <row r="75">
          <cell r="B75">
            <v>30103</v>
          </cell>
          <cell r="C75" t="str">
            <v>River Mill Academy Charter</v>
          </cell>
          <cell r="D75">
            <v>2123645.1999999993</v>
          </cell>
          <cell r="E75">
            <v>2194122.9700000007</v>
          </cell>
          <cell r="F75">
            <v>20471167.812699996</v>
          </cell>
          <cell r="G75">
            <v>28106871.640900012</v>
          </cell>
          <cell r="M75">
            <v>129638.95</v>
          </cell>
          <cell r="V75">
            <v>75</v>
          </cell>
        </row>
        <row r="76">
          <cell r="B76">
            <v>30104</v>
          </cell>
          <cell r="C76" t="str">
            <v>The Hawbridge School</v>
          </cell>
          <cell r="D76">
            <v>975550.09999999974</v>
          </cell>
          <cell r="E76">
            <v>1290327.7399999995</v>
          </cell>
          <cell r="F76">
            <v>10020105.476999996</v>
          </cell>
          <cell r="G76">
            <v>17922597.775549997</v>
          </cell>
          <cell r="M76">
            <v>72361.23</v>
          </cell>
          <cell r="V76">
            <v>76</v>
          </cell>
        </row>
        <row r="77">
          <cell r="B77">
            <v>30105</v>
          </cell>
          <cell r="C77" t="str">
            <v>Alamance Community College</v>
          </cell>
          <cell r="D77">
            <v>12276715.640000001</v>
          </cell>
          <cell r="E77">
            <v>12013260.689999999</v>
          </cell>
          <cell r="F77">
            <v>93694444.576300025</v>
          </cell>
          <cell r="G77">
            <v>122039540.98607707</v>
          </cell>
          <cell r="M77">
            <v>700821.97</v>
          </cell>
          <cell r="V77">
            <v>77</v>
          </cell>
        </row>
        <row r="78">
          <cell r="B78">
            <v>30200</v>
          </cell>
          <cell r="C78" t="str">
            <v>Alexander County Schools</v>
          </cell>
          <cell r="D78">
            <v>25525775.909999959</v>
          </cell>
          <cell r="E78">
            <v>25714708.279999994</v>
          </cell>
          <cell r="F78">
            <v>220167585.53150004</v>
          </cell>
          <cell r="G78">
            <v>289255275.02418065</v>
          </cell>
          <cell r="M78">
            <v>1467244.5999999999</v>
          </cell>
          <cell r="V78">
            <v>78</v>
          </cell>
        </row>
        <row r="79">
          <cell r="B79">
            <v>30300</v>
          </cell>
          <cell r="C79" t="str">
            <v>Alleghany County Schools</v>
          </cell>
          <cell r="D79">
            <v>8764748.0699999966</v>
          </cell>
          <cell r="E79">
            <v>8935775.4199999999</v>
          </cell>
          <cell r="F79">
            <v>74847802.275299981</v>
          </cell>
          <cell r="G79">
            <v>99135837.153100967</v>
          </cell>
          <cell r="M79">
            <v>514114.92000000004</v>
          </cell>
          <cell r="V79">
            <v>79</v>
          </cell>
        </row>
        <row r="80">
          <cell r="B80">
            <v>30400</v>
          </cell>
          <cell r="C80" t="str">
            <v>Anson County Schools</v>
          </cell>
          <cell r="D80">
            <v>18511623.109999988</v>
          </cell>
          <cell r="E80">
            <v>17862843.95999999</v>
          </cell>
          <cell r="F80">
            <v>145560271.24089998</v>
          </cell>
          <cell r="G80">
            <v>182571738.43050006</v>
          </cell>
          <cell r="M80">
            <v>1037458.53</v>
          </cell>
          <cell r="V80">
            <v>80</v>
          </cell>
        </row>
        <row r="81">
          <cell r="B81">
            <v>30405</v>
          </cell>
          <cell r="C81" t="str">
            <v>South Piedmont Community College</v>
          </cell>
          <cell r="D81">
            <v>10676622.369999995</v>
          </cell>
          <cell r="E81">
            <v>10981955.869999997</v>
          </cell>
          <cell r="F81">
            <v>94571837.140199959</v>
          </cell>
          <cell r="G81">
            <v>126665953.00343375</v>
          </cell>
          <cell r="M81">
            <v>631676.55999999994</v>
          </cell>
          <cell r="V81">
            <v>81</v>
          </cell>
        </row>
        <row r="82">
          <cell r="B82">
            <v>30500</v>
          </cell>
          <cell r="C82" t="str">
            <v>Ashe County Schools</v>
          </cell>
          <cell r="D82">
            <v>16891159.300000008</v>
          </cell>
          <cell r="E82">
            <v>17406464.430000011</v>
          </cell>
          <cell r="F82">
            <v>142492235.53230006</v>
          </cell>
          <cell r="G82">
            <v>192489327.76847321</v>
          </cell>
          <cell r="M82">
            <v>1000188.52</v>
          </cell>
          <cell r="V82">
            <v>82</v>
          </cell>
        </row>
        <row r="83">
          <cell r="B83">
            <v>30600</v>
          </cell>
          <cell r="C83" t="str">
            <v>Avery County Schools</v>
          </cell>
          <cell r="D83">
            <v>13347129.399999995</v>
          </cell>
          <cell r="E83">
            <v>13750307.159999993</v>
          </cell>
          <cell r="F83">
            <v>110626073.18459992</v>
          </cell>
          <cell r="G83">
            <v>149968079.5864</v>
          </cell>
          <cell r="M83">
            <v>781149.03999999992</v>
          </cell>
          <cell r="V83">
            <v>83</v>
          </cell>
        </row>
        <row r="84">
          <cell r="B84">
            <v>30601</v>
          </cell>
          <cell r="C84" t="str">
            <v>Grandfather Academy</v>
          </cell>
          <cell r="D84">
            <v>301713.57</v>
          </cell>
          <cell r="E84">
            <v>283559.88999999996</v>
          </cell>
          <cell r="F84">
            <v>2883222.6488999999</v>
          </cell>
          <cell r="G84">
            <v>3758350.7156000002</v>
          </cell>
          <cell r="M84">
            <v>16741.000000000004</v>
          </cell>
          <cell r="V84">
            <v>84</v>
          </cell>
        </row>
        <row r="85">
          <cell r="B85">
            <v>30700</v>
          </cell>
          <cell r="C85" t="str">
            <v>Beaufort County Schools</v>
          </cell>
          <cell r="D85">
            <v>35950135.379999995</v>
          </cell>
          <cell r="E85">
            <v>35413191.710000023</v>
          </cell>
          <cell r="F85">
            <v>295446375.5456</v>
          </cell>
          <cell r="G85">
            <v>384055889.41871679</v>
          </cell>
          <cell r="M85">
            <v>2064064.7600000002</v>
          </cell>
          <cell r="V85">
            <v>85</v>
          </cell>
        </row>
        <row r="86">
          <cell r="B86">
            <v>30705</v>
          </cell>
          <cell r="C86" t="str">
            <v>Beaufort County Community College</v>
          </cell>
          <cell r="D86">
            <v>7067343.4100000011</v>
          </cell>
          <cell r="E86">
            <v>7293056.6900000023</v>
          </cell>
          <cell r="F86">
            <v>55357607.234200016</v>
          </cell>
          <cell r="G86">
            <v>76342124.522497058</v>
          </cell>
          <cell r="M86">
            <v>429161.42999999993</v>
          </cell>
          <cell r="V86">
            <v>86</v>
          </cell>
        </row>
        <row r="87">
          <cell r="B87">
            <v>30800</v>
          </cell>
          <cell r="C87" t="str">
            <v>Bertie County Schools</v>
          </cell>
          <cell r="D87">
            <v>14889750.080000015</v>
          </cell>
          <cell r="E87">
            <v>14297118.020000001</v>
          </cell>
          <cell r="F87">
            <v>120965830.46959998</v>
          </cell>
          <cell r="G87">
            <v>149249889.03292903</v>
          </cell>
          <cell r="M87">
            <v>840230.13</v>
          </cell>
          <cell r="V87">
            <v>87</v>
          </cell>
        </row>
        <row r="88">
          <cell r="B88">
            <v>30900</v>
          </cell>
          <cell r="C88" t="str">
            <v>Bladen County Schools</v>
          </cell>
          <cell r="D88">
            <v>24470480.339999992</v>
          </cell>
          <cell r="E88">
            <v>23961633.410000011</v>
          </cell>
          <cell r="F88">
            <v>193657797.64629993</v>
          </cell>
          <cell r="G88">
            <v>249150663.22814754</v>
          </cell>
          <cell r="M88">
            <v>1375376.3199999998</v>
          </cell>
          <cell r="V88">
            <v>88</v>
          </cell>
        </row>
        <row r="89">
          <cell r="B89">
            <v>30905</v>
          </cell>
          <cell r="C89" t="str">
            <v>Bladen Community College</v>
          </cell>
          <cell r="D89">
            <v>5695714.0800000029</v>
          </cell>
          <cell r="E89">
            <v>5723122.6500000013</v>
          </cell>
          <cell r="F89">
            <v>42095421.583200015</v>
          </cell>
          <cell r="G89">
            <v>51575576.516830571</v>
          </cell>
          <cell r="M89">
            <v>315615.95</v>
          </cell>
          <cell r="V89">
            <v>89</v>
          </cell>
        </row>
        <row r="90">
          <cell r="B90">
            <v>31000</v>
          </cell>
          <cell r="C90" t="str">
            <v>Brunswick County Schools</v>
          </cell>
          <cell r="D90">
            <v>64948632.759999983</v>
          </cell>
          <cell r="E90">
            <v>64067581.710000083</v>
          </cell>
          <cell r="F90">
            <v>534620340.58959943</v>
          </cell>
          <cell r="G90">
            <v>709717633.272493</v>
          </cell>
          <cell r="M90">
            <v>3691012.3200000003</v>
          </cell>
          <cell r="V90">
            <v>90</v>
          </cell>
        </row>
        <row r="91">
          <cell r="B91">
            <v>31005</v>
          </cell>
          <cell r="C91" t="str">
            <v>Brunswick Community College</v>
          </cell>
          <cell r="D91">
            <v>7141530.990000003</v>
          </cell>
          <cell r="E91">
            <v>7512434.1100000022</v>
          </cell>
          <cell r="F91">
            <v>52990233.921899997</v>
          </cell>
          <cell r="G91">
            <v>70495969.770887136</v>
          </cell>
          <cell r="M91">
            <v>429428.59</v>
          </cell>
          <cell r="V91">
            <v>91</v>
          </cell>
        </row>
        <row r="92">
          <cell r="B92">
            <v>31100</v>
          </cell>
          <cell r="C92" t="str">
            <v>Buncombe County Schools</v>
          </cell>
          <cell r="D92">
            <v>127855359.8200004</v>
          </cell>
          <cell r="E92">
            <v>129776898.55999997</v>
          </cell>
          <cell r="F92">
            <v>1096255442.8021002</v>
          </cell>
          <cell r="G92">
            <v>1481539091.7470157</v>
          </cell>
          <cell r="M92">
            <v>7441833.4299999997</v>
          </cell>
          <cell r="V92">
            <v>92</v>
          </cell>
        </row>
        <row r="93">
          <cell r="B93">
            <v>31101</v>
          </cell>
          <cell r="C93" t="str">
            <v>F. Delany New School For Children</v>
          </cell>
          <cell r="D93">
            <v>752793.35</v>
          </cell>
          <cell r="E93">
            <v>758738.24999999988</v>
          </cell>
          <cell r="F93">
            <v>7874178.2448999994</v>
          </cell>
          <cell r="G93">
            <v>10039090.600400001</v>
          </cell>
          <cell r="M93">
            <v>43901.68</v>
          </cell>
          <cell r="V93">
            <v>93</v>
          </cell>
        </row>
        <row r="94">
          <cell r="B94">
            <v>31102</v>
          </cell>
          <cell r="C94" t="str">
            <v>Evergreen Community Charter School</v>
          </cell>
          <cell r="D94">
            <v>1767528.4500000009</v>
          </cell>
          <cell r="E94">
            <v>1780792.73</v>
          </cell>
          <cell r="F94">
            <v>17834011.990000006</v>
          </cell>
          <cell r="G94">
            <v>24905613.844707288</v>
          </cell>
          <cell r="M94">
            <v>100928.47</v>
          </cell>
          <cell r="V94">
            <v>94</v>
          </cell>
        </row>
        <row r="95">
          <cell r="B95">
            <v>31105</v>
          </cell>
          <cell r="C95" t="str">
            <v>Asheville-Buncombe Technical College</v>
          </cell>
          <cell r="D95">
            <v>21910659.469999976</v>
          </cell>
          <cell r="E95">
            <v>21942969.110000011</v>
          </cell>
          <cell r="F95">
            <v>181017184.37960017</v>
          </cell>
          <cell r="G95">
            <v>236729179.39203152</v>
          </cell>
          <cell r="M95">
            <v>1267278.3799999999</v>
          </cell>
          <cell r="V95">
            <v>95</v>
          </cell>
        </row>
        <row r="96">
          <cell r="B96">
            <v>31110</v>
          </cell>
          <cell r="C96" t="str">
            <v>Asheville City Schools</v>
          </cell>
          <cell r="D96">
            <v>28750380.699999977</v>
          </cell>
          <cell r="E96">
            <v>28443769.960000005</v>
          </cell>
          <cell r="F96">
            <v>261926022.04389995</v>
          </cell>
          <cell r="G96">
            <v>343947043.29053557</v>
          </cell>
          <cell r="M96">
            <v>1632015.24</v>
          </cell>
          <cell r="V96">
            <v>96</v>
          </cell>
        </row>
        <row r="97">
          <cell r="B97">
            <v>31200</v>
          </cell>
          <cell r="C97" t="str">
            <v>Burke County Schools</v>
          </cell>
          <cell r="D97">
            <v>62905900.439999983</v>
          </cell>
          <cell r="E97">
            <v>63059125.209999941</v>
          </cell>
          <cell r="F97">
            <v>540345065.27859974</v>
          </cell>
          <cell r="G97">
            <v>700390399.49469924</v>
          </cell>
          <cell r="M97">
            <v>3576358.79</v>
          </cell>
          <cell r="V97">
            <v>97</v>
          </cell>
        </row>
        <row r="98">
          <cell r="B98">
            <v>31205</v>
          </cell>
          <cell r="C98" t="str">
            <v>Western Piedmont Community College</v>
          </cell>
          <cell r="D98">
            <v>9037730.9999999981</v>
          </cell>
          <cell r="E98">
            <v>8767270.7700000014</v>
          </cell>
          <cell r="F98">
            <v>72265602.304499999</v>
          </cell>
          <cell r="G98">
            <v>86113188.520000011</v>
          </cell>
          <cell r="M98">
            <v>499527.33</v>
          </cell>
          <cell r="V98">
            <v>98</v>
          </cell>
        </row>
        <row r="99">
          <cell r="B99">
            <v>31300</v>
          </cell>
          <cell r="C99" t="str">
            <v>Cabarrus County Schools</v>
          </cell>
          <cell r="D99">
            <v>135311229.06999975</v>
          </cell>
          <cell r="E99">
            <v>143348965.94999999</v>
          </cell>
          <cell r="F99">
            <v>1257837736.1727977</v>
          </cell>
          <cell r="G99">
            <v>1768462598.34375</v>
          </cell>
          <cell r="M99">
            <v>8357210.9700000007</v>
          </cell>
          <cell r="V99">
            <v>99</v>
          </cell>
        </row>
        <row r="100">
          <cell r="B100">
            <v>31301</v>
          </cell>
          <cell r="C100" t="str">
            <v>Carolina International School</v>
          </cell>
          <cell r="D100">
            <v>2023366.7800000003</v>
          </cell>
          <cell r="E100">
            <v>2594207.0499999993</v>
          </cell>
          <cell r="F100">
            <v>20676946.978299998</v>
          </cell>
          <cell r="G100">
            <v>34071367.213900007</v>
          </cell>
          <cell r="M100">
            <v>160406.21000000002</v>
          </cell>
          <cell r="V100">
            <v>100</v>
          </cell>
        </row>
        <row r="101">
          <cell r="B101">
            <v>31320</v>
          </cell>
          <cell r="C101" t="str">
            <v>Kannapolis City Schools</v>
          </cell>
          <cell r="D101">
            <v>26524779.199999981</v>
          </cell>
          <cell r="E101">
            <v>27324139.419999998</v>
          </cell>
          <cell r="F101">
            <v>246221894.77109998</v>
          </cell>
          <cell r="G101">
            <v>331389648.85337532</v>
          </cell>
          <cell r="M101">
            <v>1579369.91</v>
          </cell>
          <cell r="V101">
            <v>101</v>
          </cell>
        </row>
        <row r="102">
          <cell r="B102">
            <v>31400</v>
          </cell>
          <cell r="C102" t="str">
            <v>Caldwell County Schools</v>
          </cell>
          <cell r="D102">
            <v>61460651.279999897</v>
          </cell>
          <cell r="E102">
            <v>62632254.550000124</v>
          </cell>
          <cell r="F102">
            <v>519676465.63999957</v>
          </cell>
          <cell r="G102">
            <v>690951239.94812691</v>
          </cell>
          <cell r="M102">
            <v>3601142.0500000003</v>
          </cell>
          <cell r="V102">
            <v>102</v>
          </cell>
        </row>
        <row r="103">
          <cell r="B103">
            <v>31405</v>
          </cell>
          <cell r="C103" t="str">
            <v>Caldwell Community College</v>
          </cell>
          <cell r="D103">
            <v>14777320.380000012</v>
          </cell>
          <cell r="E103">
            <v>14321380.540000012</v>
          </cell>
          <cell r="F103">
            <v>113182789.79310001</v>
          </cell>
          <cell r="G103">
            <v>139189350.79784983</v>
          </cell>
          <cell r="M103">
            <v>826096.32000000018</v>
          </cell>
          <cell r="V103">
            <v>103</v>
          </cell>
        </row>
        <row r="104">
          <cell r="B104">
            <v>31500</v>
          </cell>
          <cell r="C104" t="str">
            <v>Camden County Schools</v>
          </cell>
          <cell r="D104">
            <v>9852711.339999998</v>
          </cell>
          <cell r="E104">
            <v>10090422.93</v>
          </cell>
          <cell r="F104">
            <v>81809654.070100054</v>
          </cell>
          <cell r="G104">
            <v>106680078.60839999</v>
          </cell>
          <cell r="M104">
            <v>584050.2699999999</v>
          </cell>
          <cell r="V104">
            <v>104</v>
          </cell>
        </row>
        <row r="105">
          <cell r="B105">
            <v>31600</v>
          </cell>
          <cell r="C105" t="str">
            <v>Carteret County Schools</v>
          </cell>
          <cell r="D105">
            <v>44501315.880000032</v>
          </cell>
          <cell r="E105">
            <v>44557895.530000061</v>
          </cell>
          <cell r="F105">
            <v>366224690.73940021</v>
          </cell>
          <cell r="G105">
            <v>493095520.61112005</v>
          </cell>
          <cell r="M105">
            <v>2539583.1999999997</v>
          </cell>
          <cell r="V105">
            <v>105</v>
          </cell>
        </row>
        <row r="106">
          <cell r="B106">
            <v>31605</v>
          </cell>
          <cell r="C106" t="str">
            <v>Carteret Community College</v>
          </cell>
          <cell r="D106">
            <v>7012980.4799999986</v>
          </cell>
          <cell r="E106">
            <v>7142382.8599999985</v>
          </cell>
          <cell r="F106">
            <v>51480581.102199972</v>
          </cell>
          <cell r="G106">
            <v>67874025.654912695</v>
          </cell>
          <cell r="M106">
            <v>418219.78</v>
          </cell>
          <cell r="V106">
            <v>106</v>
          </cell>
        </row>
        <row r="107">
          <cell r="B107">
            <v>31700</v>
          </cell>
          <cell r="C107" t="str">
            <v>Caswell County Schools</v>
          </cell>
          <cell r="D107">
            <v>13968786.370000007</v>
          </cell>
          <cell r="E107">
            <v>13772995.999999993</v>
          </cell>
          <cell r="F107">
            <v>109954546.40759997</v>
          </cell>
          <cell r="G107">
            <v>143096515.73373985</v>
          </cell>
          <cell r="M107">
            <v>811590.37000000011</v>
          </cell>
          <cell r="V107">
            <v>107</v>
          </cell>
        </row>
        <row r="108">
          <cell r="B108">
            <v>31800</v>
          </cell>
          <cell r="C108" t="str">
            <v>Catawba County Schools</v>
          </cell>
          <cell r="D108">
            <v>81039419.090000018</v>
          </cell>
          <cell r="E108">
            <v>82414063.260000065</v>
          </cell>
          <cell r="F108">
            <v>687927268.97030091</v>
          </cell>
          <cell r="G108">
            <v>907197434.60667217</v>
          </cell>
          <cell r="M108">
            <v>4666941.1500000004</v>
          </cell>
          <cell r="V108">
            <v>108</v>
          </cell>
        </row>
        <row r="109">
          <cell r="B109">
            <v>31805</v>
          </cell>
          <cell r="C109" t="str">
            <v>Catawba Valley Community College</v>
          </cell>
          <cell r="D109">
            <v>17361800.369999994</v>
          </cell>
          <cell r="E109">
            <v>16926582.729999989</v>
          </cell>
          <cell r="F109">
            <v>130528452.04869987</v>
          </cell>
          <cell r="G109">
            <v>168763191.96074688</v>
          </cell>
          <cell r="M109">
            <v>984462.41000000015</v>
          </cell>
          <cell r="V109">
            <v>109</v>
          </cell>
        </row>
        <row r="110">
          <cell r="B110">
            <v>31810</v>
          </cell>
          <cell r="C110" t="str">
            <v>Hickory City Schools</v>
          </cell>
          <cell r="D110">
            <v>19785394.159999996</v>
          </cell>
          <cell r="E110">
            <v>20050932.22000001</v>
          </cell>
          <cell r="F110">
            <v>166799813.75370002</v>
          </cell>
          <cell r="G110">
            <v>225416660.24890015</v>
          </cell>
          <cell r="M110">
            <v>1164278.3999999999</v>
          </cell>
          <cell r="V110">
            <v>110</v>
          </cell>
        </row>
        <row r="111">
          <cell r="B111">
            <v>31820</v>
          </cell>
          <cell r="C111" t="str">
            <v>Newton-Conover City Schools</v>
          </cell>
          <cell r="D111">
            <v>16095314.310000001</v>
          </cell>
          <cell r="E111">
            <v>16854643.890000008</v>
          </cell>
          <cell r="F111">
            <v>145330374.45430011</v>
          </cell>
          <cell r="G111">
            <v>201114695.69890016</v>
          </cell>
          <cell r="M111">
            <v>966713.2899999998</v>
          </cell>
          <cell r="V111">
            <v>111</v>
          </cell>
        </row>
        <row r="112">
          <cell r="B112">
            <v>31900</v>
          </cell>
          <cell r="C112" t="str">
            <v>Chatham County Schools</v>
          </cell>
          <cell r="D112">
            <v>45419718.050000034</v>
          </cell>
          <cell r="E112">
            <v>45846473.449999966</v>
          </cell>
          <cell r="F112">
            <v>398867950.97809964</v>
          </cell>
          <cell r="G112">
            <v>529647263.10611236</v>
          </cell>
          <cell r="M112">
            <v>2656470.5000000005</v>
          </cell>
          <cell r="V112">
            <v>112</v>
          </cell>
        </row>
        <row r="113">
          <cell r="B113">
            <v>32000</v>
          </cell>
          <cell r="C113" t="str">
            <v>Cherokee County Schools</v>
          </cell>
          <cell r="D113">
            <v>17939030.000000004</v>
          </cell>
          <cell r="E113">
            <v>18666686.109999992</v>
          </cell>
          <cell r="F113">
            <v>151756448.22019994</v>
          </cell>
          <cell r="G113">
            <v>212912478.82260874</v>
          </cell>
          <cell r="M113">
            <v>1088380.05</v>
          </cell>
          <cell r="V113">
            <v>113</v>
          </cell>
        </row>
        <row r="114">
          <cell r="B114">
            <v>32005</v>
          </cell>
          <cell r="C114" t="str">
            <v>Tri-County Community College</v>
          </cell>
          <cell r="D114">
            <v>4433596.3600000013</v>
          </cell>
          <cell r="E114">
            <v>4742534.0500000007</v>
          </cell>
          <cell r="F114">
            <v>33707948.462099999</v>
          </cell>
          <cell r="G114">
            <v>48015712.040344745</v>
          </cell>
          <cell r="M114">
            <v>273319.93000000005</v>
          </cell>
          <cell r="V114">
            <v>114</v>
          </cell>
        </row>
        <row r="115">
          <cell r="B115">
            <v>32100</v>
          </cell>
          <cell r="C115" t="str">
            <v>Edenton-Chowan County Schools</v>
          </cell>
          <cell r="D115">
            <v>12579217.870000005</v>
          </cell>
          <cell r="E115">
            <v>12404863.179999989</v>
          </cell>
          <cell r="F115">
            <v>103670001.09210008</v>
          </cell>
          <cell r="G115">
            <v>132767746.29320997</v>
          </cell>
          <cell r="M115">
            <v>701321.67</v>
          </cell>
          <cell r="V115">
            <v>115</v>
          </cell>
        </row>
        <row r="116">
          <cell r="B116">
            <v>32200</v>
          </cell>
          <cell r="C116" t="str">
            <v>Clay County Schools</v>
          </cell>
          <cell r="D116">
            <v>7162579.6999999974</v>
          </cell>
          <cell r="E116">
            <v>7296762.5800000038</v>
          </cell>
          <cell r="F116">
            <v>58227961.717499994</v>
          </cell>
          <cell r="G116">
            <v>81734057.554073185</v>
          </cell>
          <cell r="M116">
            <v>423160.93</v>
          </cell>
          <cell r="V116">
            <v>116</v>
          </cell>
        </row>
        <row r="117">
          <cell r="B117">
            <v>32300</v>
          </cell>
          <cell r="C117" t="str">
            <v>Cleveland County Schools</v>
          </cell>
          <cell r="D117">
            <v>79222817.200000063</v>
          </cell>
          <cell r="E117">
            <v>80257674.519999996</v>
          </cell>
          <cell r="F117">
            <v>694105623.57039905</v>
          </cell>
          <cell r="G117">
            <v>929025133.40120316</v>
          </cell>
          <cell r="M117">
            <v>4600158.58</v>
          </cell>
          <cell r="V117">
            <v>117</v>
          </cell>
        </row>
        <row r="118">
          <cell r="B118">
            <v>32305</v>
          </cell>
          <cell r="C118" t="str">
            <v>Cleveland Technical College</v>
          </cell>
          <cell r="D118">
            <v>9432073.8199999966</v>
          </cell>
          <cell r="E118">
            <v>9632273.0300000012</v>
          </cell>
          <cell r="F118">
            <v>72434493.646200001</v>
          </cell>
          <cell r="G118">
            <v>95464721.90110001</v>
          </cell>
          <cell r="M118">
            <v>562796.46</v>
          </cell>
          <cell r="V118">
            <v>118</v>
          </cell>
        </row>
        <row r="119">
          <cell r="B119">
            <v>32400</v>
          </cell>
          <cell r="C119" t="str">
            <v>Columbus County Schools</v>
          </cell>
          <cell r="D119">
            <v>30307843.97000001</v>
          </cell>
          <cell r="E119">
            <v>31292810.310000047</v>
          </cell>
          <cell r="F119">
            <v>242031931.12379974</v>
          </cell>
          <cell r="G119">
            <v>329063471.68641323</v>
          </cell>
          <cell r="M119">
            <v>1803256.7000000002</v>
          </cell>
          <cell r="V119">
            <v>119</v>
          </cell>
        </row>
        <row r="120">
          <cell r="B120">
            <v>32405</v>
          </cell>
          <cell r="C120" t="str">
            <v>Southeastern Community College</v>
          </cell>
          <cell r="D120">
            <v>8855177.1099999994</v>
          </cell>
          <cell r="E120">
            <v>8446599.3999999985</v>
          </cell>
          <cell r="F120">
            <v>66011949.488999985</v>
          </cell>
          <cell r="G120">
            <v>82246311.512199968</v>
          </cell>
          <cell r="M120">
            <v>488429.27999999997</v>
          </cell>
          <cell r="V120">
            <v>120</v>
          </cell>
        </row>
        <row r="121">
          <cell r="B121">
            <v>32410</v>
          </cell>
          <cell r="C121" t="str">
            <v>Whiteville City Schools</v>
          </cell>
          <cell r="D121">
            <v>12562228.100000007</v>
          </cell>
          <cell r="E121">
            <v>12612983.220000003</v>
          </cell>
          <cell r="F121">
            <v>100461318.99999997</v>
          </cell>
          <cell r="G121">
            <v>131058988.42799997</v>
          </cell>
          <cell r="M121">
            <v>724239.97</v>
          </cell>
          <cell r="V121">
            <v>121</v>
          </cell>
        </row>
        <row r="122">
          <cell r="B122">
            <v>32500</v>
          </cell>
          <cell r="C122" t="str">
            <v>New Bern/Craven County Board Of Education</v>
          </cell>
          <cell r="D122">
            <v>65739933.16999986</v>
          </cell>
          <cell r="E122">
            <v>66814500.440000139</v>
          </cell>
          <cell r="F122">
            <v>553734799.86949992</v>
          </cell>
          <cell r="G122">
            <v>751463628.71451771</v>
          </cell>
          <cell r="M122">
            <v>3858650.53</v>
          </cell>
          <cell r="V122">
            <v>122</v>
          </cell>
        </row>
        <row r="123">
          <cell r="B123">
            <v>32505</v>
          </cell>
          <cell r="C123" t="str">
            <v>Craven Community College</v>
          </cell>
          <cell r="D123">
            <v>10164390.000000006</v>
          </cell>
          <cell r="E123">
            <v>10117872.079999996</v>
          </cell>
          <cell r="F123">
            <v>82144699.435000017</v>
          </cell>
          <cell r="G123">
            <v>109586342.02042952</v>
          </cell>
          <cell r="M123">
            <v>574795.8899999999</v>
          </cell>
          <cell r="V123">
            <v>123</v>
          </cell>
        </row>
        <row r="124">
          <cell r="B124">
            <v>32600</v>
          </cell>
          <cell r="C124" t="str">
            <v>Cumberland County Schools</v>
          </cell>
          <cell r="D124">
            <v>241973389.43999976</v>
          </cell>
          <cell r="E124">
            <v>236983812.70999849</v>
          </cell>
          <cell r="F124">
            <v>2087538107.7927005</v>
          </cell>
          <cell r="G124">
            <v>2698672922.500627</v>
          </cell>
          <cell r="M124">
            <v>13526134.420000002</v>
          </cell>
          <cell r="V124">
            <v>124</v>
          </cell>
        </row>
        <row r="125">
          <cell r="B125">
            <v>32605</v>
          </cell>
          <cell r="C125" t="str">
            <v>Fayetteville Technical Community College</v>
          </cell>
          <cell r="D125">
            <v>36527293.129999988</v>
          </cell>
          <cell r="E125">
            <v>37431550.5</v>
          </cell>
          <cell r="F125">
            <v>281698716.81259972</v>
          </cell>
          <cell r="G125">
            <v>383772986.3054682</v>
          </cell>
          <cell r="M125">
            <v>2132182.7000000002</v>
          </cell>
          <cell r="V125">
            <v>125</v>
          </cell>
        </row>
        <row r="126">
          <cell r="B126">
            <v>32700</v>
          </cell>
          <cell r="C126" t="str">
            <v>Currituck County Schools</v>
          </cell>
          <cell r="D126">
            <v>20244862.339999989</v>
          </cell>
          <cell r="E126">
            <v>20714552.539999999</v>
          </cell>
          <cell r="F126">
            <v>169456624.49879983</v>
          </cell>
          <cell r="G126">
            <v>229541841.44503731</v>
          </cell>
          <cell r="M126">
            <v>1207773.6499999999</v>
          </cell>
          <cell r="V126">
            <v>126</v>
          </cell>
        </row>
        <row r="127">
          <cell r="B127">
            <v>32800</v>
          </cell>
          <cell r="C127" t="str">
            <v>Dare County Schools</v>
          </cell>
          <cell r="D127">
            <v>31316632.339999981</v>
          </cell>
          <cell r="E127">
            <v>31559927.679999985</v>
          </cell>
          <cell r="F127">
            <v>231824683.23170018</v>
          </cell>
          <cell r="G127">
            <v>307712099.49276775</v>
          </cell>
          <cell r="M127">
            <v>1812643.01</v>
          </cell>
          <cell r="V127">
            <v>127</v>
          </cell>
        </row>
        <row r="128">
          <cell r="B128">
            <v>32900</v>
          </cell>
          <cell r="C128" t="str">
            <v>Davidson County Schools</v>
          </cell>
          <cell r="D128">
            <v>85207736.559999779</v>
          </cell>
          <cell r="E128">
            <v>86770011.830000177</v>
          </cell>
          <cell r="F128">
            <v>732544895.72070062</v>
          </cell>
          <cell r="G128">
            <v>979338173.18845117</v>
          </cell>
          <cell r="M128">
            <v>4967240.21</v>
          </cell>
          <cell r="V128">
            <v>128</v>
          </cell>
        </row>
        <row r="129">
          <cell r="B129">
            <v>32901</v>
          </cell>
          <cell r="C129" t="str">
            <v>Invest Collegiate Charter School</v>
          </cell>
          <cell r="D129">
            <v>1347489.2899999998</v>
          </cell>
          <cell r="E129">
            <v>2206162.0200000005</v>
          </cell>
          <cell r="F129">
            <v>13834081.556499997</v>
          </cell>
          <cell r="G129">
            <v>33655641.5145</v>
          </cell>
          <cell r="M129">
            <v>123637.35999999997</v>
          </cell>
          <cell r="V129">
            <v>129</v>
          </cell>
        </row>
        <row r="130">
          <cell r="B130">
            <v>32905</v>
          </cell>
          <cell r="C130" t="str">
            <v>Davidson County Community College</v>
          </cell>
          <cell r="D130">
            <v>13299918.769999998</v>
          </cell>
          <cell r="E130">
            <v>13363003.759999996</v>
          </cell>
          <cell r="F130">
            <v>108969942.02679999</v>
          </cell>
          <cell r="G130">
            <v>141526662.77274996</v>
          </cell>
          <cell r="M130">
            <v>768667.2300000001</v>
          </cell>
          <cell r="V130">
            <v>130</v>
          </cell>
        </row>
        <row r="131">
          <cell r="B131">
            <v>32910</v>
          </cell>
          <cell r="C131" t="str">
            <v>Lexington City Schools</v>
          </cell>
          <cell r="D131">
            <v>16201975.220000017</v>
          </cell>
          <cell r="E131">
            <v>16502634.739999995</v>
          </cell>
          <cell r="F131">
            <v>135416117.9043</v>
          </cell>
          <cell r="G131">
            <v>178247922.94302073</v>
          </cell>
          <cell r="M131">
            <v>957832.84</v>
          </cell>
          <cell r="V131">
            <v>131</v>
          </cell>
        </row>
        <row r="132">
          <cell r="B132">
            <v>32920</v>
          </cell>
          <cell r="C132" t="str">
            <v>Thomasville City Schools</v>
          </cell>
          <cell r="D132">
            <v>12994875.190000003</v>
          </cell>
          <cell r="E132">
            <v>12899764.759999992</v>
          </cell>
          <cell r="F132">
            <v>112511051.44719993</v>
          </cell>
          <cell r="G132">
            <v>146242903.88170004</v>
          </cell>
          <cell r="M132">
            <v>766288.93</v>
          </cell>
          <cell r="V132">
            <v>132</v>
          </cell>
        </row>
        <row r="133">
          <cell r="B133">
            <v>33000</v>
          </cell>
          <cell r="C133" t="str">
            <v>Davie County Schools</v>
          </cell>
          <cell r="D133">
            <v>32690806.749999974</v>
          </cell>
          <cell r="E133">
            <v>32554020.660000037</v>
          </cell>
          <cell r="F133">
            <v>286175444.66159993</v>
          </cell>
          <cell r="G133">
            <v>378285211.09255856</v>
          </cell>
          <cell r="M133">
            <v>1861430.54</v>
          </cell>
          <cell r="V133">
            <v>133</v>
          </cell>
        </row>
        <row r="134">
          <cell r="B134">
            <v>33001</v>
          </cell>
          <cell r="C134" t="str">
            <v>N.E. Regional School For Biotechnology</v>
          </cell>
          <cell r="D134">
            <v>583559.75</v>
          </cell>
          <cell r="E134">
            <v>746290.78</v>
          </cell>
          <cell r="F134">
            <v>6160817.843700001</v>
          </cell>
          <cell r="G134">
            <v>10066611.2788</v>
          </cell>
          <cell r="M134">
            <v>49703.859999999993</v>
          </cell>
          <cell r="V134">
            <v>134</v>
          </cell>
        </row>
        <row r="135">
          <cell r="B135">
            <v>33027</v>
          </cell>
          <cell r="C135" t="str">
            <v>Cornerstone Academy</v>
          </cell>
          <cell r="D135">
            <v>2098097.4</v>
          </cell>
          <cell r="E135">
            <v>2796774.3499999982</v>
          </cell>
          <cell r="F135">
            <v>22279178.684700012</v>
          </cell>
          <cell r="G135">
            <v>38902117.024400003</v>
          </cell>
          <cell r="M135">
            <v>153643.65000000002</v>
          </cell>
          <cell r="V135">
            <v>135</v>
          </cell>
        </row>
        <row r="136">
          <cell r="B136">
            <v>33100</v>
          </cell>
          <cell r="C136" t="str">
            <v>Duplin County Schools</v>
          </cell>
          <cell r="D136">
            <v>45657689.179999955</v>
          </cell>
          <cell r="E136">
            <v>48424353.820000038</v>
          </cell>
          <cell r="F136">
            <v>383169764.52360028</v>
          </cell>
          <cell r="G136">
            <v>540831654.12982905</v>
          </cell>
          <cell r="M136">
            <v>2815157.9</v>
          </cell>
          <cell r="V136">
            <v>136</v>
          </cell>
        </row>
        <row r="137">
          <cell r="B137">
            <v>33105</v>
          </cell>
          <cell r="C137" t="str">
            <v>James Sprunt Technical College</v>
          </cell>
          <cell r="D137">
            <v>6230244.6800000016</v>
          </cell>
          <cell r="E137">
            <v>5705826.6699999999</v>
          </cell>
          <cell r="F137">
            <v>48983556.219799981</v>
          </cell>
          <cell r="G137">
            <v>60795810.004299961</v>
          </cell>
          <cell r="M137">
            <v>325797.21999999991</v>
          </cell>
          <cell r="V137">
            <v>137</v>
          </cell>
        </row>
        <row r="138">
          <cell r="B138">
            <v>33200</v>
          </cell>
          <cell r="C138" t="str">
            <v>Durham Public Schools</v>
          </cell>
          <cell r="D138">
            <v>192393437.68000066</v>
          </cell>
          <cell r="E138">
            <v>198407653.93000114</v>
          </cell>
          <cell r="F138">
            <v>1705876350.6737006</v>
          </cell>
          <cell r="G138">
            <v>2360413438.8245788</v>
          </cell>
          <cell r="M138">
            <v>11538019.280000001</v>
          </cell>
          <cell r="V138">
            <v>138</v>
          </cell>
        </row>
        <row r="139">
          <cell r="B139">
            <v>33202</v>
          </cell>
          <cell r="C139" t="str">
            <v>Central Park School For Children</v>
          </cell>
          <cell r="D139">
            <v>1826455.58</v>
          </cell>
          <cell r="E139">
            <v>2083307.32</v>
          </cell>
          <cell r="F139">
            <v>18316075.637599997</v>
          </cell>
          <cell r="G139">
            <v>28241064.610799994</v>
          </cell>
          <cell r="M139">
            <v>129400.48999999999</v>
          </cell>
          <cell r="V139">
            <v>139</v>
          </cell>
        </row>
        <row r="140">
          <cell r="B140">
            <v>33203</v>
          </cell>
          <cell r="C140" t="str">
            <v>Healthy Start Academy</v>
          </cell>
          <cell r="D140">
            <v>1267860.8600000003</v>
          </cell>
          <cell r="E140">
            <v>1400711.38</v>
          </cell>
          <cell r="F140">
            <v>12715691.774200002</v>
          </cell>
          <cell r="G140">
            <v>19541158.916000001</v>
          </cell>
          <cell r="M140">
            <v>79264.840000000011</v>
          </cell>
          <cell r="V140">
            <v>140</v>
          </cell>
        </row>
        <row r="141">
          <cell r="B141">
            <v>33204</v>
          </cell>
          <cell r="C141" t="str">
            <v>Voyager Academy</v>
          </cell>
          <cell r="D141">
            <v>4636538.4700000025</v>
          </cell>
          <cell r="E141">
            <v>4874017.7599999988</v>
          </cell>
          <cell r="F141">
            <v>46426053.481499992</v>
          </cell>
          <cell r="G141">
            <v>68952111.42930001</v>
          </cell>
          <cell r="M141">
            <v>284204.88999999996</v>
          </cell>
          <cell r="V141">
            <v>141</v>
          </cell>
        </row>
        <row r="142">
          <cell r="B142">
            <v>33205</v>
          </cell>
          <cell r="C142" t="str">
            <v>Durham Technical Institute</v>
          </cell>
          <cell r="D142">
            <v>17003235.209999997</v>
          </cell>
          <cell r="E142">
            <v>17495640.5</v>
          </cell>
          <cell r="F142">
            <v>137046543.072</v>
          </cell>
          <cell r="G142">
            <v>190436540.39355904</v>
          </cell>
          <cell r="M142">
            <v>1025837.1900000001</v>
          </cell>
          <cell r="V142">
            <v>142</v>
          </cell>
        </row>
        <row r="143">
          <cell r="B143">
            <v>33206</v>
          </cell>
          <cell r="C143" t="str">
            <v>Bear Grass Charter School</v>
          </cell>
          <cell r="D143">
            <v>1281442.6299999999</v>
          </cell>
          <cell r="E143">
            <v>1272069.9199999997</v>
          </cell>
          <cell r="F143">
            <v>12167202.5986</v>
          </cell>
          <cell r="G143">
            <v>15561724.852200005</v>
          </cell>
          <cell r="M143">
            <v>72229.179999999993</v>
          </cell>
          <cell r="V143">
            <v>143</v>
          </cell>
        </row>
        <row r="144">
          <cell r="B144">
            <v>33207</v>
          </cell>
          <cell r="C144" t="str">
            <v>Invest Collegiate Charter (Buncombe)</v>
          </cell>
          <cell r="D144">
            <v>747052.84</v>
          </cell>
          <cell r="E144">
            <v>1940969.2600000007</v>
          </cell>
          <cell r="F144">
            <v>8592327.6204000004</v>
          </cell>
          <cell r="G144">
            <v>31930114.221099988</v>
          </cell>
          <cell r="M144">
            <v>137746.23000000001</v>
          </cell>
          <cell r="V144">
            <v>144</v>
          </cell>
        </row>
        <row r="145">
          <cell r="B145">
            <v>33208</v>
          </cell>
          <cell r="C145" t="str">
            <v>Kipp Halifax College Prep Charter</v>
          </cell>
          <cell r="D145">
            <v>233474.93999999997</v>
          </cell>
          <cell r="E145">
            <v>364821.84</v>
          </cell>
          <cell r="F145">
            <v>2361138.2366000004</v>
          </cell>
          <cell r="G145">
            <v>5103787.2952999994</v>
          </cell>
          <cell r="M145">
            <v>28186.83</v>
          </cell>
          <cell r="V145">
            <v>145</v>
          </cell>
        </row>
        <row r="146">
          <cell r="B146">
            <v>33209</v>
          </cell>
          <cell r="C146" t="str">
            <v>Pioneer Springs Community Charter</v>
          </cell>
          <cell r="D146">
            <v>478723.3</v>
          </cell>
          <cell r="E146">
            <v>801128.51</v>
          </cell>
          <cell r="F146">
            <v>5414746.1972000012</v>
          </cell>
          <cell r="G146">
            <v>11768698.4888</v>
          </cell>
          <cell r="M146">
            <v>45089.120000000003</v>
          </cell>
          <cell r="V146">
            <v>146</v>
          </cell>
        </row>
        <row r="147">
          <cell r="B147">
            <v>33300</v>
          </cell>
          <cell r="C147" t="str">
            <v>Edgecombe County Schools</v>
          </cell>
          <cell r="D147">
            <v>30039631.739999976</v>
          </cell>
          <cell r="E147">
            <v>30152921.930000052</v>
          </cell>
          <cell r="F147">
            <v>254249312.88950005</v>
          </cell>
          <cell r="G147">
            <v>340240809.52600038</v>
          </cell>
          <cell r="M147">
            <v>1724356.99</v>
          </cell>
          <cell r="V147">
            <v>147</v>
          </cell>
        </row>
        <row r="148">
          <cell r="B148">
            <v>33305</v>
          </cell>
          <cell r="C148" t="str">
            <v>Edgecombe Technical College</v>
          </cell>
          <cell r="D148">
            <v>9638960.1099999994</v>
          </cell>
          <cell r="E148">
            <v>9481893.4399999995</v>
          </cell>
          <cell r="F148">
            <v>67918415.264599994</v>
          </cell>
          <cell r="G148">
            <v>86758747.13913925</v>
          </cell>
          <cell r="M148">
            <v>553706.70000000007</v>
          </cell>
          <cell r="V148">
            <v>148</v>
          </cell>
        </row>
        <row r="149">
          <cell r="B149">
            <v>33400</v>
          </cell>
          <cell r="C149" t="str">
            <v>Winston-Salem-Forsyth County Schools</v>
          </cell>
          <cell r="D149">
            <v>267475359.33000049</v>
          </cell>
          <cell r="E149">
            <v>271727145.94999874</v>
          </cell>
          <cell r="F149">
            <v>2247124548.495707</v>
          </cell>
          <cell r="G149">
            <v>3025967618.994173</v>
          </cell>
          <cell r="M149">
            <v>15713796.310000002</v>
          </cell>
          <cell r="V149">
            <v>149</v>
          </cell>
        </row>
        <row r="150">
          <cell r="B150">
            <v>33402</v>
          </cell>
          <cell r="C150" t="str">
            <v>Arts Based Elementary Charter</v>
          </cell>
          <cell r="D150">
            <v>1600124.9800000007</v>
          </cell>
          <cell r="E150">
            <v>1807378.6900000004</v>
          </cell>
          <cell r="F150">
            <v>16724103.943499999</v>
          </cell>
          <cell r="G150">
            <v>23937073.506199997</v>
          </cell>
          <cell r="M150">
            <v>103491.48999999999</v>
          </cell>
          <cell r="V150">
            <v>150</v>
          </cell>
        </row>
        <row r="151">
          <cell r="B151">
            <v>33405</v>
          </cell>
          <cell r="C151" t="str">
            <v>Forsyth Technical Institute</v>
          </cell>
          <cell r="D151">
            <v>28325932.84999999</v>
          </cell>
          <cell r="E151">
            <v>29326717.320000004</v>
          </cell>
          <cell r="F151">
            <v>226003589.73210004</v>
          </cell>
          <cell r="G151">
            <v>304144971.65534997</v>
          </cell>
          <cell r="M151">
            <v>1679024.1600000001</v>
          </cell>
          <cell r="V151">
            <v>151</v>
          </cell>
        </row>
        <row r="152">
          <cell r="B152">
            <v>33500</v>
          </cell>
          <cell r="C152" t="str">
            <v>Franklin County Schools</v>
          </cell>
          <cell r="D152">
            <v>41685067.619999982</v>
          </cell>
          <cell r="E152">
            <v>43377886.109999992</v>
          </cell>
          <cell r="F152">
            <v>361955196.75179976</v>
          </cell>
          <cell r="G152">
            <v>505844242.20540476</v>
          </cell>
          <cell r="M152">
            <v>2528393.9399999995</v>
          </cell>
          <cell r="V152">
            <v>152</v>
          </cell>
        </row>
        <row r="153">
          <cell r="B153">
            <v>33501</v>
          </cell>
          <cell r="C153" t="str">
            <v>A Childs Garden Charter (AKA Cross Creek Charter)</v>
          </cell>
          <cell r="D153">
            <v>744154.34</v>
          </cell>
          <cell r="E153">
            <v>814819.99</v>
          </cell>
          <cell r="F153">
            <v>7457116.5794999991</v>
          </cell>
          <cell r="G153">
            <v>10504364.202400001</v>
          </cell>
          <cell r="M153">
            <v>49061.13</v>
          </cell>
          <cell r="V153">
            <v>153</v>
          </cell>
        </row>
        <row r="154">
          <cell r="B154">
            <v>33600</v>
          </cell>
          <cell r="C154" t="str">
            <v>Gaston County Schools</v>
          </cell>
          <cell r="D154">
            <v>132541224.41000038</v>
          </cell>
          <cell r="E154">
            <v>138243699.03999978</v>
          </cell>
          <cell r="F154">
            <v>1153602483.013</v>
          </cell>
          <cell r="G154">
            <v>1603241985.7174375</v>
          </cell>
          <cell r="M154">
            <v>8055759.8799999999</v>
          </cell>
          <cell r="V154">
            <v>154</v>
          </cell>
        </row>
        <row r="155">
          <cell r="B155">
            <v>33605</v>
          </cell>
          <cell r="C155" t="str">
            <v>Gaston College</v>
          </cell>
          <cell r="D155">
            <v>20628390.429999985</v>
          </cell>
          <cell r="E155">
            <v>21891172.329999983</v>
          </cell>
          <cell r="F155">
            <v>158200358.54609978</v>
          </cell>
          <cell r="G155">
            <v>213443448.58930016</v>
          </cell>
          <cell r="M155">
            <v>1278907.46</v>
          </cell>
          <cell r="V155">
            <v>155</v>
          </cell>
        </row>
        <row r="156">
          <cell r="B156">
            <v>33700</v>
          </cell>
          <cell r="C156" t="str">
            <v>Gates County Schools</v>
          </cell>
          <cell r="D156">
            <v>11002251.23000001</v>
          </cell>
          <cell r="E156">
            <v>10624542.059999999</v>
          </cell>
          <cell r="F156">
            <v>90149223.248599991</v>
          </cell>
          <cell r="G156">
            <v>113746970.07750002</v>
          </cell>
          <cell r="M156">
            <v>581800.07999999996</v>
          </cell>
          <cell r="V156">
            <v>156</v>
          </cell>
        </row>
        <row r="157">
          <cell r="B157">
            <v>33800</v>
          </cell>
          <cell r="C157" t="str">
            <v>Graham County Schools</v>
          </cell>
          <cell r="D157">
            <v>7488526.8900000053</v>
          </cell>
          <cell r="E157">
            <v>7657986.129999998</v>
          </cell>
          <cell r="F157">
            <v>63136367.960599981</v>
          </cell>
          <cell r="G157">
            <v>86004421.076900065</v>
          </cell>
          <cell r="M157">
            <v>448022.58999999997</v>
          </cell>
          <cell r="V157">
            <v>157</v>
          </cell>
        </row>
        <row r="158">
          <cell r="B158">
            <v>33900</v>
          </cell>
          <cell r="C158" t="str">
            <v>Granville County Schools And Oxford Orphanage</v>
          </cell>
          <cell r="D158">
            <v>38842735.289999992</v>
          </cell>
          <cell r="E158">
            <v>40592529.850000031</v>
          </cell>
          <cell r="F158">
            <v>330042793.80299991</v>
          </cell>
          <cell r="G158">
            <v>448699530.14413673</v>
          </cell>
          <cell r="M158">
            <v>2321466.9900000002</v>
          </cell>
          <cell r="V158">
            <v>158</v>
          </cell>
        </row>
        <row r="159">
          <cell r="B159">
            <v>34000</v>
          </cell>
          <cell r="C159" t="str">
            <v>Greene County Schools</v>
          </cell>
          <cell r="D159">
            <v>16898888.390000001</v>
          </cell>
          <cell r="E159">
            <v>16688110.669999991</v>
          </cell>
          <cell r="F159">
            <v>150543233.05450007</v>
          </cell>
          <cell r="G159">
            <v>195735824.92934257</v>
          </cell>
          <cell r="M159">
            <v>961712.79</v>
          </cell>
          <cell r="V159">
            <v>159</v>
          </cell>
        </row>
        <row r="160">
          <cell r="B160">
            <v>34100</v>
          </cell>
          <cell r="C160" t="str">
            <v>Guilford County Schools</v>
          </cell>
          <cell r="D160">
            <v>380089037.70000285</v>
          </cell>
          <cell r="E160">
            <v>379271646.59000385</v>
          </cell>
          <cell r="F160">
            <v>3367191402.8343058</v>
          </cell>
          <cell r="G160">
            <v>4441086748.0954542</v>
          </cell>
          <cell r="M160">
            <v>21659015.900000002</v>
          </cell>
          <cell r="V160">
            <v>160</v>
          </cell>
        </row>
        <row r="161">
          <cell r="B161">
            <v>34105</v>
          </cell>
          <cell r="C161" t="str">
            <v>Guilford Technical Community College</v>
          </cell>
          <cell r="D161">
            <v>35681492.379999988</v>
          </cell>
          <cell r="E161">
            <v>35328585.719999991</v>
          </cell>
          <cell r="F161">
            <v>291489891.90259999</v>
          </cell>
          <cell r="G161">
            <v>372585535.59367543</v>
          </cell>
          <cell r="M161">
            <v>2032892.2400000002</v>
          </cell>
          <cell r="V161">
            <v>161</v>
          </cell>
        </row>
        <row r="162">
          <cell r="B162">
            <v>34200</v>
          </cell>
          <cell r="C162" t="str">
            <v>Halifax County Schools</v>
          </cell>
          <cell r="D162">
            <v>18791556.239999983</v>
          </cell>
          <cell r="E162">
            <v>16579502.449999988</v>
          </cell>
          <cell r="F162">
            <v>148167777.89740002</v>
          </cell>
          <cell r="G162">
            <v>170585589.21027422</v>
          </cell>
          <cell r="M162">
            <v>895134.38</v>
          </cell>
          <cell r="V162">
            <v>162</v>
          </cell>
        </row>
        <row r="163">
          <cell r="B163">
            <v>34205</v>
          </cell>
          <cell r="C163" t="str">
            <v>Halifax Community College</v>
          </cell>
          <cell r="D163">
            <v>7243825.2300000023</v>
          </cell>
          <cell r="E163">
            <v>7032339.1499999976</v>
          </cell>
          <cell r="F163">
            <v>53943092.6435</v>
          </cell>
          <cell r="G163">
            <v>69599223.944643199</v>
          </cell>
          <cell r="M163">
            <v>398210.05</v>
          </cell>
          <cell r="V163">
            <v>163</v>
          </cell>
        </row>
        <row r="164">
          <cell r="B164">
            <v>34220</v>
          </cell>
          <cell r="C164" t="str">
            <v>Roanoke Rapids City Schools</v>
          </cell>
          <cell r="D164">
            <v>14949699.830000006</v>
          </cell>
          <cell r="E164">
            <v>15110977.050000003</v>
          </cell>
          <cell r="F164">
            <v>118429909.89819995</v>
          </cell>
          <cell r="G164">
            <v>155206534.69359991</v>
          </cell>
          <cell r="M164">
            <v>875993.44</v>
          </cell>
          <cell r="V164">
            <v>164</v>
          </cell>
        </row>
        <row r="165">
          <cell r="B165">
            <v>34230</v>
          </cell>
          <cell r="C165" t="str">
            <v>Weldon City Schools</v>
          </cell>
          <cell r="D165">
            <v>6700183.9900000012</v>
          </cell>
          <cell r="E165">
            <v>6807248.9900000021</v>
          </cell>
          <cell r="F165">
            <v>55045539.019500002</v>
          </cell>
          <cell r="G165">
            <v>73076508.394220456</v>
          </cell>
          <cell r="M165">
            <v>383407.63</v>
          </cell>
          <cell r="V165">
            <v>165</v>
          </cell>
        </row>
        <row r="166">
          <cell r="B166">
            <v>34300</v>
          </cell>
          <cell r="C166" t="str">
            <v>Harnett County Schools</v>
          </cell>
          <cell r="D166">
            <v>87666995.99999994</v>
          </cell>
          <cell r="E166">
            <v>88020095.33999981</v>
          </cell>
          <cell r="F166">
            <v>790961804.42079854</v>
          </cell>
          <cell r="G166">
            <v>1049072210.1307783</v>
          </cell>
          <cell r="M166">
            <v>5145791.63</v>
          </cell>
          <cell r="V166">
            <v>166</v>
          </cell>
        </row>
        <row r="167">
          <cell r="B167">
            <v>34400</v>
          </cell>
          <cell r="C167" t="str">
            <v>Haywood County Schools</v>
          </cell>
          <cell r="D167">
            <v>37703209.599999957</v>
          </cell>
          <cell r="E167">
            <v>38324638.400000051</v>
          </cell>
          <cell r="F167">
            <v>330333674.88579983</v>
          </cell>
          <cell r="G167">
            <v>445321897.43584991</v>
          </cell>
          <cell r="M167">
            <v>2200991.9500000002</v>
          </cell>
          <cell r="V167">
            <v>167</v>
          </cell>
        </row>
        <row r="168">
          <cell r="B168">
            <v>34405</v>
          </cell>
          <cell r="C168" t="str">
            <v>Haywood Technical College</v>
          </cell>
          <cell r="D168">
            <v>7796539.9800000051</v>
          </cell>
          <cell r="E168">
            <v>8141265.6999999993</v>
          </cell>
          <cell r="F168">
            <v>67443710.810500026</v>
          </cell>
          <cell r="G168">
            <v>93311472.113350034</v>
          </cell>
          <cell r="M168">
            <v>470881.04</v>
          </cell>
          <cell r="V168">
            <v>168</v>
          </cell>
        </row>
        <row r="169">
          <cell r="B169">
            <v>34500</v>
          </cell>
          <cell r="C169" t="str">
            <v>Henderson County Schools</v>
          </cell>
          <cell r="D169">
            <v>65171651.7999999</v>
          </cell>
          <cell r="E169">
            <v>66754769.790000111</v>
          </cell>
          <cell r="F169">
            <v>561355987.82840014</v>
          </cell>
          <cell r="G169">
            <v>765261550.13365066</v>
          </cell>
          <cell r="M169">
            <v>3820570.3299999996</v>
          </cell>
          <cell r="V169">
            <v>169</v>
          </cell>
        </row>
        <row r="170">
          <cell r="B170">
            <v>34501</v>
          </cell>
          <cell r="C170" t="str">
            <v>Mountain Community School</v>
          </cell>
          <cell r="D170">
            <v>804887.60000000009</v>
          </cell>
          <cell r="E170">
            <v>756108.58000000007</v>
          </cell>
          <cell r="F170">
            <v>7235431.0033</v>
          </cell>
          <cell r="G170">
            <v>8785160.5747999996</v>
          </cell>
          <cell r="M170">
            <v>43751.279999999992</v>
          </cell>
          <cell r="V170">
            <v>170</v>
          </cell>
        </row>
        <row r="171">
          <cell r="B171">
            <v>34505</v>
          </cell>
          <cell r="C171" t="str">
            <v>Blue Ridge Community College</v>
          </cell>
          <cell r="D171">
            <v>9196687.3600000031</v>
          </cell>
          <cell r="E171">
            <v>9672640.7699999996</v>
          </cell>
          <cell r="F171">
            <v>69681023.913699985</v>
          </cell>
          <cell r="G171">
            <v>94589426.762144983</v>
          </cell>
          <cell r="M171">
            <v>550374.14999999991</v>
          </cell>
          <cell r="V171">
            <v>171</v>
          </cell>
        </row>
        <row r="172">
          <cell r="B172">
            <v>34600</v>
          </cell>
          <cell r="C172" t="str">
            <v>Hertford County Schools</v>
          </cell>
          <cell r="D172">
            <v>16989970.689999994</v>
          </cell>
          <cell r="E172">
            <v>16910461.929999992</v>
          </cell>
          <cell r="F172">
            <v>137730573.17679998</v>
          </cell>
          <cell r="G172">
            <v>180240834.44930002</v>
          </cell>
          <cell r="M172">
            <v>969396.17</v>
          </cell>
          <cell r="V172">
            <v>172</v>
          </cell>
        </row>
        <row r="173">
          <cell r="B173">
            <v>34605</v>
          </cell>
          <cell r="C173" t="str">
            <v>Roanoke-Chowan Community College</v>
          </cell>
          <cell r="D173">
            <v>3903033.63</v>
          </cell>
          <cell r="E173">
            <v>4201772.21</v>
          </cell>
          <cell r="F173">
            <v>29988984.926500004</v>
          </cell>
          <cell r="G173">
            <v>42171665.991499998</v>
          </cell>
          <cell r="M173">
            <v>241490.59</v>
          </cell>
          <cell r="V173">
            <v>173</v>
          </cell>
        </row>
        <row r="174">
          <cell r="B174">
            <v>34700</v>
          </cell>
          <cell r="C174" t="str">
            <v>Hoke County Schools</v>
          </cell>
          <cell r="D174">
            <v>38046585.169999994</v>
          </cell>
          <cell r="E174">
            <v>39591307.19000005</v>
          </cell>
          <cell r="F174">
            <v>355386227.61370003</v>
          </cell>
          <cell r="G174">
            <v>502347260.23419255</v>
          </cell>
          <cell r="M174">
            <v>2283360.0299999998</v>
          </cell>
          <cell r="V174">
            <v>174</v>
          </cell>
        </row>
        <row r="175">
          <cell r="B175">
            <v>34800</v>
          </cell>
          <cell r="C175" t="str">
            <v>Hyde County Schools</v>
          </cell>
          <cell r="D175">
            <v>4912898.5600000024</v>
          </cell>
          <cell r="E175">
            <v>5121679.4700000016</v>
          </cell>
          <cell r="F175">
            <v>36137845.977499999</v>
          </cell>
          <cell r="G175">
            <v>51423047.80969999</v>
          </cell>
          <cell r="M175">
            <v>302836.2</v>
          </cell>
          <cell r="V175">
            <v>175</v>
          </cell>
        </row>
        <row r="176">
          <cell r="B176">
            <v>34900</v>
          </cell>
          <cell r="C176" t="str">
            <v>Iredell County Schools</v>
          </cell>
          <cell r="D176">
            <v>95953710.000000164</v>
          </cell>
          <cell r="E176">
            <v>96933813.520000041</v>
          </cell>
          <cell r="F176">
            <v>827633809.60330069</v>
          </cell>
          <cell r="G176">
            <v>1094443212.7282977</v>
          </cell>
          <cell r="M176">
            <v>5516097.8100000005</v>
          </cell>
          <cell r="V176">
            <v>176</v>
          </cell>
        </row>
        <row r="177">
          <cell r="B177">
            <v>34901</v>
          </cell>
          <cell r="C177" t="str">
            <v>American Renaissance Middle School</v>
          </cell>
          <cell r="D177">
            <v>2047338.7399999998</v>
          </cell>
          <cell r="E177">
            <v>2162233.81</v>
          </cell>
          <cell r="F177">
            <v>19571119.108699996</v>
          </cell>
          <cell r="G177">
            <v>27909201.869599998</v>
          </cell>
          <cell r="M177">
            <v>122589.16000000002</v>
          </cell>
          <cell r="V177">
            <v>177</v>
          </cell>
        </row>
        <row r="178">
          <cell r="B178">
            <v>34903</v>
          </cell>
          <cell r="C178" t="str">
            <v>Success Institute</v>
          </cell>
          <cell r="D178">
            <v>295846.37</v>
          </cell>
          <cell r="E178">
            <v>241292.06</v>
          </cell>
          <cell r="F178">
            <v>1952862.3412000001</v>
          </cell>
          <cell r="G178">
            <v>1750220.3961999998</v>
          </cell>
          <cell r="M178">
            <v>15207.669999999998</v>
          </cell>
          <cell r="V178">
            <v>178</v>
          </cell>
        </row>
        <row r="179">
          <cell r="B179">
            <v>34905</v>
          </cell>
          <cell r="C179" t="str">
            <v>Mitchell Community College</v>
          </cell>
          <cell r="D179">
            <v>10861096.220000008</v>
          </cell>
          <cell r="E179">
            <v>10185169.599999998</v>
          </cell>
          <cell r="F179">
            <v>88254760.301699966</v>
          </cell>
          <cell r="G179">
            <v>110145218.94029997</v>
          </cell>
          <cell r="M179">
            <v>574849.68999999994</v>
          </cell>
          <cell r="V179">
            <v>179</v>
          </cell>
        </row>
        <row r="180">
          <cell r="B180">
            <v>34910</v>
          </cell>
          <cell r="C180" t="str">
            <v>Mooresville City Schools</v>
          </cell>
          <cell r="D180">
            <v>27815335.029999979</v>
          </cell>
          <cell r="E180">
            <v>28760253.99000001</v>
          </cell>
          <cell r="F180">
            <v>249116192.37790003</v>
          </cell>
          <cell r="G180">
            <v>344826539.49079365</v>
          </cell>
          <cell r="M180">
            <v>1663838.31</v>
          </cell>
          <cell r="V180">
            <v>180</v>
          </cell>
        </row>
        <row r="181">
          <cell r="B181">
            <v>35000</v>
          </cell>
          <cell r="C181" t="str">
            <v>Jackson County Schools</v>
          </cell>
          <cell r="D181">
            <v>18809247.109999999</v>
          </cell>
          <cell r="E181">
            <v>18923949.79000001</v>
          </cell>
          <cell r="F181">
            <v>165578477.62439996</v>
          </cell>
          <cell r="G181">
            <v>221604541.90329152</v>
          </cell>
          <cell r="M181">
            <v>1123383.75</v>
          </cell>
          <cell r="V181">
            <v>181</v>
          </cell>
        </row>
        <row r="182">
          <cell r="B182">
            <v>35005</v>
          </cell>
          <cell r="C182" t="str">
            <v>Southwestern Community College</v>
          </cell>
          <cell r="D182">
            <v>9040718.5099999942</v>
          </cell>
          <cell r="E182">
            <v>9473854.3199999947</v>
          </cell>
          <cell r="F182">
            <v>76549898.889899999</v>
          </cell>
          <cell r="G182">
            <v>104446843.56925759</v>
          </cell>
          <cell r="M182">
            <v>546952.01</v>
          </cell>
          <cell r="V182">
            <v>182</v>
          </cell>
        </row>
        <row r="183">
          <cell r="B183">
            <v>35100</v>
          </cell>
          <cell r="C183" t="str">
            <v>Johnston County Schools</v>
          </cell>
          <cell r="D183">
            <v>155746591.00000027</v>
          </cell>
          <cell r="E183">
            <v>160761230.99999928</v>
          </cell>
          <cell r="F183">
            <v>1419794838.4342992</v>
          </cell>
          <cell r="G183">
            <v>1943610128.088058</v>
          </cell>
          <cell r="M183">
            <v>9279436.1999999993</v>
          </cell>
          <cell r="V183">
            <v>183</v>
          </cell>
        </row>
        <row r="184">
          <cell r="B184">
            <v>35105</v>
          </cell>
          <cell r="C184" t="str">
            <v>Johnston Technical College</v>
          </cell>
          <cell r="D184">
            <v>14689301.380000019</v>
          </cell>
          <cell r="E184">
            <v>15728539.479999999</v>
          </cell>
          <cell r="F184">
            <v>130060784.8611999</v>
          </cell>
          <cell r="G184">
            <v>180913688.44229022</v>
          </cell>
          <cell r="M184">
            <v>887406.2100000002</v>
          </cell>
          <cell r="V184">
            <v>184</v>
          </cell>
        </row>
        <row r="185">
          <cell r="B185">
            <v>35106</v>
          </cell>
          <cell r="C185" t="str">
            <v>Neuse Charter School</v>
          </cell>
          <cell r="D185">
            <v>2897664.0999999996</v>
          </cell>
          <cell r="E185">
            <v>3395559.830000001</v>
          </cell>
          <cell r="F185">
            <v>29906751.935900003</v>
          </cell>
          <cell r="G185">
            <v>45347219.3248</v>
          </cell>
          <cell r="M185">
            <v>191932.71</v>
          </cell>
          <cell r="V185">
            <v>185</v>
          </cell>
        </row>
        <row r="186">
          <cell r="B186">
            <v>35200</v>
          </cell>
          <cell r="C186" t="str">
            <v>Jones County Schools</v>
          </cell>
          <cell r="D186">
            <v>7932774.8499999987</v>
          </cell>
          <cell r="E186">
            <v>8278732.1899999976</v>
          </cell>
          <cell r="F186">
            <v>61090043.161999963</v>
          </cell>
          <cell r="G186">
            <v>83553045.66460003</v>
          </cell>
          <cell r="M186">
            <v>476656.06</v>
          </cell>
          <cell r="V186">
            <v>186</v>
          </cell>
        </row>
        <row r="187">
          <cell r="B187">
            <v>35300</v>
          </cell>
          <cell r="C187" t="str">
            <v>Sanford-Lee County Board Of Education</v>
          </cell>
          <cell r="D187">
            <v>46228675.499999963</v>
          </cell>
          <cell r="E187">
            <v>47527684.359999925</v>
          </cell>
          <cell r="F187">
            <v>405789074.6906001</v>
          </cell>
          <cell r="G187">
            <v>569720738.94249952</v>
          </cell>
          <cell r="M187">
            <v>2829384.72</v>
          </cell>
          <cell r="V187">
            <v>187</v>
          </cell>
        </row>
        <row r="188">
          <cell r="B188">
            <v>35305</v>
          </cell>
          <cell r="C188" t="str">
            <v>Central Carolina Community College</v>
          </cell>
          <cell r="D188">
            <v>17606707.239999987</v>
          </cell>
          <cell r="E188">
            <v>18830477.289999992</v>
          </cell>
          <cell r="F188">
            <v>147185182.02880001</v>
          </cell>
          <cell r="G188">
            <v>214516259.31055698</v>
          </cell>
          <cell r="M188">
            <v>1121723.2100000002</v>
          </cell>
          <cell r="V188">
            <v>188</v>
          </cell>
        </row>
        <row r="189">
          <cell r="B189">
            <v>35400</v>
          </cell>
          <cell r="C189" t="str">
            <v>Lenoir County Schools</v>
          </cell>
          <cell r="D189">
            <v>41247451.629999936</v>
          </cell>
          <cell r="E189">
            <v>41850396.309999958</v>
          </cell>
          <cell r="F189">
            <v>341011721.65120065</v>
          </cell>
          <cell r="G189">
            <v>455841642.2640931</v>
          </cell>
          <cell r="M189">
            <v>2417648.89</v>
          </cell>
          <cell r="V189">
            <v>189</v>
          </cell>
        </row>
        <row r="190">
          <cell r="B190">
            <v>35401</v>
          </cell>
          <cell r="C190" t="str">
            <v>Childrens Village Academy</v>
          </cell>
          <cell r="D190">
            <v>371769.55</v>
          </cell>
          <cell r="E190">
            <v>344520.31</v>
          </cell>
          <cell r="F190">
            <v>3208962.2691000002</v>
          </cell>
          <cell r="G190">
            <v>4197896.2397000007</v>
          </cell>
          <cell r="M190">
            <v>22698.78</v>
          </cell>
          <cell r="V190">
            <v>190</v>
          </cell>
        </row>
        <row r="191">
          <cell r="B191">
            <v>35405</v>
          </cell>
          <cell r="C191" t="str">
            <v>Lenoir County Community College</v>
          </cell>
          <cell r="D191">
            <v>13499277.029999997</v>
          </cell>
          <cell r="E191">
            <v>14071193.000000006</v>
          </cell>
          <cell r="F191">
            <v>112003256.63830002</v>
          </cell>
          <cell r="G191">
            <v>158082423.65269998</v>
          </cell>
          <cell r="M191">
            <v>816379.52</v>
          </cell>
          <cell r="V191">
            <v>191</v>
          </cell>
        </row>
        <row r="192">
          <cell r="B192">
            <v>35500</v>
          </cell>
          <cell r="C192" t="str">
            <v>Lincoln County Schools</v>
          </cell>
          <cell r="D192">
            <v>54233858.759999864</v>
          </cell>
          <cell r="E192">
            <v>55798882.090000018</v>
          </cell>
          <cell r="F192">
            <v>481781308.9702996</v>
          </cell>
          <cell r="G192">
            <v>649863438.98545659</v>
          </cell>
          <cell r="M192">
            <v>3177916.0800000005</v>
          </cell>
          <cell r="V192">
            <v>192</v>
          </cell>
        </row>
        <row r="193">
          <cell r="B193">
            <v>35600</v>
          </cell>
          <cell r="C193" t="str">
            <v>Macon County Schools</v>
          </cell>
          <cell r="D193">
            <v>22146187.539999947</v>
          </cell>
          <cell r="E193">
            <v>22403744.750000019</v>
          </cell>
          <cell r="F193">
            <v>187976347.73040006</v>
          </cell>
          <cell r="G193">
            <v>249039963.56705093</v>
          </cell>
          <cell r="M193">
            <v>1305102.3500000003</v>
          </cell>
          <cell r="V193">
            <v>193</v>
          </cell>
        </row>
        <row r="194">
          <cell r="B194">
            <v>35700</v>
          </cell>
          <cell r="C194" t="str">
            <v>Madison County Schools</v>
          </cell>
          <cell r="D194">
            <v>12825790.349999998</v>
          </cell>
          <cell r="E194">
            <v>12609939.180000005</v>
          </cell>
          <cell r="F194">
            <v>111991217.40370001</v>
          </cell>
          <cell r="G194">
            <v>140294928.03499994</v>
          </cell>
          <cell r="M194">
            <v>740681.17</v>
          </cell>
          <cell r="V194">
            <v>194</v>
          </cell>
        </row>
        <row r="195">
          <cell r="B195">
            <v>35800</v>
          </cell>
          <cell r="C195" t="str">
            <v>Martin County Schools</v>
          </cell>
          <cell r="D195">
            <v>20140409.27</v>
          </cell>
          <cell r="E195">
            <v>19721483.920000002</v>
          </cell>
          <cell r="F195">
            <v>158297787.06939995</v>
          </cell>
          <cell r="G195">
            <v>202087906.11369976</v>
          </cell>
          <cell r="M195">
            <v>1132700.52</v>
          </cell>
          <cell r="V195">
            <v>195</v>
          </cell>
        </row>
        <row r="196">
          <cell r="B196">
            <v>35805</v>
          </cell>
          <cell r="C196" t="str">
            <v>Martin Community College</v>
          </cell>
          <cell r="D196">
            <v>3054730.0500000007</v>
          </cell>
          <cell r="E196">
            <v>3495280.6200000006</v>
          </cell>
          <cell r="F196">
            <v>23109713.635900009</v>
          </cell>
          <cell r="G196">
            <v>31612496.356900003</v>
          </cell>
          <cell r="M196">
            <v>210359.18</v>
          </cell>
          <cell r="V196">
            <v>196</v>
          </cell>
        </row>
        <row r="197">
          <cell r="B197">
            <v>35900</v>
          </cell>
          <cell r="C197" t="str">
            <v>Mcdowell County Schools</v>
          </cell>
          <cell r="D197">
            <v>32296410.949999969</v>
          </cell>
          <cell r="E197">
            <v>33198038.550000027</v>
          </cell>
          <cell r="F197">
            <v>282897174.7049998</v>
          </cell>
          <cell r="G197">
            <v>379024722.38289273</v>
          </cell>
          <cell r="M197">
            <v>1899327.8199999998</v>
          </cell>
          <cell r="V197">
            <v>197</v>
          </cell>
        </row>
        <row r="198">
          <cell r="B198">
            <v>35905</v>
          </cell>
          <cell r="C198" t="str">
            <v>Mcdowell Technical College</v>
          </cell>
          <cell r="D198">
            <v>5550163.2800000012</v>
          </cell>
          <cell r="E198">
            <v>5626005.3199999994</v>
          </cell>
          <cell r="F198">
            <v>40331169.474400021</v>
          </cell>
          <cell r="G198">
            <v>49838384.816099986</v>
          </cell>
          <cell r="M198">
            <v>326862.16000000003</v>
          </cell>
          <cell r="V198">
            <v>198</v>
          </cell>
        </row>
        <row r="199">
          <cell r="B199">
            <v>36000</v>
          </cell>
          <cell r="C199" t="str">
            <v>Charlotte-Mecklenburg County Schools</v>
          </cell>
          <cell r="D199">
            <v>681625731.35000134</v>
          </cell>
          <cell r="E199">
            <v>714265233.25000679</v>
          </cell>
          <cell r="F199">
            <v>6344928233.2403946</v>
          </cell>
          <cell r="G199">
            <v>8895219968.9437866</v>
          </cell>
          <cell r="M199">
            <v>41564996.18</v>
          </cell>
          <cell r="V199">
            <v>199</v>
          </cell>
        </row>
        <row r="200">
          <cell r="B200">
            <v>36001</v>
          </cell>
          <cell r="C200" t="str">
            <v>Community Charter School</v>
          </cell>
          <cell r="D200">
            <v>372417.35</v>
          </cell>
          <cell r="E200">
            <v>353785.51</v>
          </cell>
          <cell r="F200">
            <v>3595364.1063999999</v>
          </cell>
          <cell r="G200">
            <v>4542279.4012000002</v>
          </cell>
          <cell r="M200">
            <v>20743.060000000001</v>
          </cell>
          <cell r="V200">
            <v>200</v>
          </cell>
        </row>
        <row r="201">
          <cell r="B201">
            <v>36002</v>
          </cell>
          <cell r="C201" t="str">
            <v>Kennedy Charter</v>
          </cell>
          <cell r="D201">
            <v>2425078.2400000002</v>
          </cell>
          <cell r="E201">
            <v>1857050.5799999996</v>
          </cell>
          <cell r="F201">
            <v>25196002.790000003</v>
          </cell>
          <cell r="G201">
            <v>24992530.963199999</v>
          </cell>
          <cell r="M201">
            <v>100328.58999999998</v>
          </cell>
          <cell r="V201">
            <v>201</v>
          </cell>
        </row>
        <row r="202">
          <cell r="B202">
            <v>36003</v>
          </cell>
          <cell r="C202" t="str">
            <v>Community School Of Davidson</v>
          </cell>
          <cell r="D202">
            <v>4658513.9599999981</v>
          </cell>
          <cell r="E202">
            <v>4819997.4300000006</v>
          </cell>
          <cell r="F202">
            <v>48379237.402099974</v>
          </cell>
          <cell r="G202">
            <v>66010446.137750059</v>
          </cell>
          <cell r="M202">
            <v>279634.84000000003</v>
          </cell>
          <cell r="V202">
            <v>202</v>
          </cell>
        </row>
        <row r="203">
          <cell r="B203">
            <v>36004</v>
          </cell>
          <cell r="C203" t="str">
            <v>Corvian Community School</v>
          </cell>
          <cell r="D203">
            <v>1786867.3900000006</v>
          </cell>
          <cell r="E203">
            <v>2255330.2499999995</v>
          </cell>
          <cell r="F203">
            <v>19739524.042199999</v>
          </cell>
          <cell r="G203">
            <v>33599579.738799989</v>
          </cell>
          <cell r="M203">
            <v>131096.16999999998</v>
          </cell>
          <cell r="V203">
            <v>203</v>
          </cell>
        </row>
        <row r="204">
          <cell r="B204">
            <v>36005</v>
          </cell>
          <cell r="C204" t="str">
            <v>Central Piedmont Community College</v>
          </cell>
          <cell r="D204">
            <v>65165142.030000031</v>
          </cell>
          <cell r="E204">
            <v>69143334.120000049</v>
          </cell>
          <cell r="F204">
            <v>531054589.96099967</v>
          </cell>
          <cell r="G204">
            <v>756899607.51857007</v>
          </cell>
          <cell r="M204">
            <v>4000939.22</v>
          </cell>
          <cell r="V204">
            <v>204</v>
          </cell>
        </row>
        <row r="205">
          <cell r="B205">
            <v>36006</v>
          </cell>
          <cell r="C205" t="str">
            <v>Lake Norman Charter School</v>
          </cell>
          <cell r="D205">
            <v>5823841.2600000016</v>
          </cell>
          <cell r="E205">
            <v>6132666.4799999995</v>
          </cell>
          <cell r="F205">
            <v>60069189.214000031</v>
          </cell>
          <cell r="G205">
            <v>82296269.40169999</v>
          </cell>
          <cell r="M205">
            <v>351875.18</v>
          </cell>
          <cell r="V205">
            <v>205</v>
          </cell>
        </row>
        <row r="206">
          <cell r="B206">
            <v>36007</v>
          </cell>
          <cell r="C206" t="str">
            <v>Socrates Academy</v>
          </cell>
          <cell r="D206">
            <v>2071786.96</v>
          </cell>
          <cell r="E206">
            <v>2123885.6199999996</v>
          </cell>
          <cell r="F206">
            <v>20947455.407699998</v>
          </cell>
          <cell r="G206">
            <v>27996668.607399989</v>
          </cell>
          <cell r="M206">
            <v>124428.83</v>
          </cell>
          <cell r="V206">
            <v>206</v>
          </cell>
        </row>
        <row r="207">
          <cell r="B207">
            <v>36008</v>
          </cell>
          <cell r="C207" t="str">
            <v>Pine Lake Prep Charter</v>
          </cell>
          <cell r="D207">
            <v>5639232.1999999993</v>
          </cell>
          <cell r="E207">
            <v>5994908.870000002</v>
          </cell>
          <cell r="F207">
            <v>61533643.993499979</v>
          </cell>
          <cell r="G207">
            <v>87251733.359599978</v>
          </cell>
          <cell r="M207">
            <v>336740.07999999996</v>
          </cell>
          <cell r="V207">
            <v>207</v>
          </cell>
        </row>
        <row r="208">
          <cell r="B208">
            <v>36009</v>
          </cell>
          <cell r="C208" t="str">
            <v>Charlotte Secondary Charter</v>
          </cell>
          <cell r="D208">
            <v>1668773.7199999997</v>
          </cell>
          <cell r="E208">
            <v>1841895.1</v>
          </cell>
          <cell r="F208">
            <v>16918037.484999999</v>
          </cell>
          <cell r="G208">
            <v>27122899.102750003</v>
          </cell>
          <cell r="M208">
            <v>110076.58</v>
          </cell>
          <cell r="V208">
            <v>208</v>
          </cell>
        </row>
        <row r="209">
          <cell r="B209">
            <v>36100</v>
          </cell>
          <cell r="C209" t="str">
            <v>Mitchell County Schools</v>
          </cell>
          <cell r="D209">
            <v>10832002.170000002</v>
          </cell>
          <cell r="E209">
            <v>10989867.26999999</v>
          </cell>
          <cell r="F209">
            <v>87150476.48909995</v>
          </cell>
          <cell r="G209">
            <v>114527189.78119996</v>
          </cell>
          <cell r="M209">
            <v>628618.34</v>
          </cell>
          <cell r="V209">
            <v>209</v>
          </cell>
        </row>
        <row r="210">
          <cell r="B210">
            <v>36102</v>
          </cell>
          <cell r="C210" t="str">
            <v>Kipp Charlotte Charter</v>
          </cell>
          <cell r="D210">
            <v>1482553.2</v>
          </cell>
          <cell r="E210">
            <v>1834403.22</v>
          </cell>
          <cell r="F210">
            <v>16364264.1558</v>
          </cell>
          <cell r="G210">
            <v>27713089.4113</v>
          </cell>
          <cell r="M210">
            <v>102156.22</v>
          </cell>
          <cell r="V210">
            <v>210</v>
          </cell>
        </row>
        <row r="211">
          <cell r="B211">
            <v>36105</v>
          </cell>
          <cell r="C211" t="str">
            <v>Mayland Technical College</v>
          </cell>
          <cell r="D211">
            <v>6093298.2900000019</v>
          </cell>
          <cell r="E211">
            <v>5969869.6899999995</v>
          </cell>
          <cell r="F211">
            <v>45558500.696099989</v>
          </cell>
          <cell r="G211">
            <v>58669980.106100015</v>
          </cell>
          <cell r="M211">
            <v>351269.18999999994</v>
          </cell>
          <cell r="V211">
            <v>211</v>
          </cell>
        </row>
        <row r="212">
          <cell r="B212">
            <v>36200</v>
          </cell>
          <cell r="C212" t="str">
            <v>Montgomery County Schools</v>
          </cell>
          <cell r="D212">
            <v>21942123.84</v>
          </cell>
          <cell r="E212">
            <v>22195620.610000007</v>
          </cell>
          <cell r="F212">
            <v>172980741.7345998</v>
          </cell>
          <cell r="G212">
            <v>235217459.57333708</v>
          </cell>
          <cell r="M212">
            <v>1280053.18</v>
          </cell>
          <cell r="V212">
            <v>212</v>
          </cell>
        </row>
        <row r="213">
          <cell r="B213">
            <v>36205</v>
          </cell>
          <cell r="C213" t="str">
            <v>Montgomery Community College</v>
          </cell>
          <cell r="D213">
            <v>3841057.79</v>
          </cell>
          <cell r="E213">
            <v>3891820.2999999989</v>
          </cell>
          <cell r="F213">
            <v>30920111.273899991</v>
          </cell>
          <cell r="G213">
            <v>41496389.026300006</v>
          </cell>
          <cell r="M213">
            <v>223448.52</v>
          </cell>
          <cell r="V213">
            <v>213</v>
          </cell>
        </row>
        <row r="214">
          <cell r="B214">
            <v>36300</v>
          </cell>
          <cell r="C214" t="str">
            <v>Moore County Schools</v>
          </cell>
          <cell r="D214">
            <v>62785133.499999993</v>
          </cell>
          <cell r="E214">
            <v>65112504.539999925</v>
          </cell>
          <cell r="F214">
            <v>539842785.9162997</v>
          </cell>
          <cell r="G214">
            <v>743835092.31826484</v>
          </cell>
          <cell r="M214">
            <v>3827040.9699999993</v>
          </cell>
          <cell r="V214">
            <v>214</v>
          </cell>
        </row>
        <row r="215">
          <cell r="B215">
            <v>36301</v>
          </cell>
          <cell r="C215" t="str">
            <v>Academy Of Moore County</v>
          </cell>
          <cell r="D215">
            <v>648816.75</v>
          </cell>
          <cell r="E215">
            <v>726906.58000000007</v>
          </cell>
          <cell r="F215">
            <v>5795161.1009999998</v>
          </cell>
          <cell r="G215">
            <v>9600362.6270000003</v>
          </cell>
          <cell r="M215">
            <v>40808.53</v>
          </cell>
          <cell r="V215">
            <v>215</v>
          </cell>
        </row>
        <row r="216">
          <cell r="B216">
            <v>36302</v>
          </cell>
          <cell r="C216" t="str">
            <v>Stars Charter School</v>
          </cell>
          <cell r="D216">
            <v>1398097.9100000001</v>
          </cell>
          <cell r="E216">
            <v>1436669.5200000003</v>
          </cell>
          <cell r="F216">
            <v>13425178.953499999</v>
          </cell>
          <cell r="G216">
            <v>18896299.531399991</v>
          </cell>
          <cell r="M216">
            <v>81262.929999999993</v>
          </cell>
          <cell r="V216">
            <v>216</v>
          </cell>
        </row>
        <row r="217">
          <cell r="B217">
            <v>36305</v>
          </cell>
          <cell r="C217" t="str">
            <v>Sandhills Community College</v>
          </cell>
          <cell r="D217">
            <v>14337065.23</v>
          </cell>
          <cell r="E217">
            <v>14893977.860000012</v>
          </cell>
          <cell r="F217">
            <v>107568019.03640008</v>
          </cell>
          <cell r="G217">
            <v>149767204.85058302</v>
          </cell>
          <cell r="M217">
            <v>853154.71000000008</v>
          </cell>
          <cell r="V217">
            <v>217</v>
          </cell>
        </row>
        <row r="218">
          <cell r="B218">
            <v>36400</v>
          </cell>
          <cell r="C218" t="str">
            <v>Nash-Rocky Mount Schools</v>
          </cell>
          <cell r="D218">
            <v>72903363.039999947</v>
          </cell>
          <cell r="E218">
            <v>73556121.539999887</v>
          </cell>
          <cell r="F218">
            <v>597417872.85470033</v>
          </cell>
          <cell r="G218">
            <v>798178934.62570596</v>
          </cell>
          <cell r="M218">
            <v>4324194.4699999988</v>
          </cell>
          <cell r="V218">
            <v>218</v>
          </cell>
        </row>
        <row r="219">
          <cell r="B219">
            <v>36405</v>
          </cell>
          <cell r="C219" t="str">
            <v>Nash Technical College</v>
          </cell>
          <cell r="D219">
            <v>11692311.660000008</v>
          </cell>
          <cell r="E219">
            <v>12522920.060000004</v>
          </cell>
          <cell r="F219">
            <v>95025215.57510002</v>
          </cell>
          <cell r="G219">
            <v>135739117.66581658</v>
          </cell>
          <cell r="M219">
            <v>730429.57000000007</v>
          </cell>
          <cell r="V219">
            <v>219</v>
          </cell>
        </row>
        <row r="220">
          <cell r="B220">
            <v>36500</v>
          </cell>
          <cell r="C220" t="str">
            <v>New Hanover County Schools</v>
          </cell>
          <cell r="D220">
            <v>135092597.5099999</v>
          </cell>
          <cell r="E220">
            <v>137779977.63999993</v>
          </cell>
          <cell r="F220">
            <v>1152882798.6836998</v>
          </cell>
          <cell r="G220">
            <v>1576913735.8970599</v>
          </cell>
          <cell r="M220">
            <v>7912128.7299999995</v>
          </cell>
          <cell r="V220">
            <v>220</v>
          </cell>
        </row>
        <row r="221">
          <cell r="B221">
            <v>36501</v>
          </cell>
          <cell r="C221" t="str">
            <v>Cape Fear Center For Inquiry</v>
          </cell>
          <cell r="D221">
            <v>1583938.7699999998</v>
          </cell>
          <cell r="E221">
            <v>1499516.45</v>
          </cell>
          <cell r="F221">
            <v>14106043.319899995</v>
          </cell>
          <cell r="G221">
            <v>18846349.271299999</v>
          </cell>
          <cell r="M221">
            <v>85130.3</v>
          </cell>
          <cell r="V221">
            <v>221</v>
          </cell>
        </row>
        <row r="222">
          <cell r="B222">
            <v>36502</v>
          </cell>
          <cell r="C222" t="str">
            <v>Wilmington Preparatory Academy</v>
          </cell>
          <cell r="D222">
            <v>560379.66</v>
          </cell>
          <cell r="E222">
            <v>539505.5</v>
          </cell>
          <cell r="F222">
            <v>5876054.9932999983</v>
          </cell>
          <cell r="G222">
            <v>7778712.3083000015</v>
          </cell>
          <cell r="M222">
            <v>31806.739999999994</v>
          </cell>
          <cell r="V222">
            <v>222</v>
          </cell>
        </row>
        <row r="223">
          <cell r="B223">
            <v>36505</v>
          </cell>
          <cell r="C223" t="str">
            <v>Cape Fear Community College</v>
          </cell>
          <cell r="D223">
            <v>28826965.719999984</v>
          </cell>
          <cell r="E223">
            <v>29087117.839999989</v>
          </cell>
          <cell r="F223">
            <v>236703345.02600005</v>
          </cell>
          <cell r="G223">
            <v>314693107.06327885</v>
          </cell>
          <cell r="M223">
            <v>1739101.93</v>
          </cell>
          <cell r="V223">
            <v>223</v>
          </cell>
        </row>
        <row r="224">
          <cell r="B224">
            <v>36600</v>
          </cell>
          <cell r="C224" t="str">
            <v>Northampton County Schools</v>
          </cell>
          <cell r="D224">
            <v>11823180.790000005</v>
          </cell>
          <cell r="E224">
            <v>11393591.629999992</v>
          </cell>
          <cell r="F224">
            <v>93567183.885199919</v>
          </cell>
          <cell r="G224">
            <v>116482565.12861156</v>
          </cell>
          <cell r="M224">
            <v>670916.19999999995</v>
          </cell>
          <cell r="V224">
            <v>224</v>
          </cell>
        </row>
        <row r="225">
          <cell r="B225">
            <v>36601</v>
          </cell>
          <cell r="C225" t="str">
            <v>Gaston College Preparatory Charter</v>
          </cell>
          <cell r="D225">
            <v>3706030.3400000003</v>
          </cell>
          <cell r="E225">
            <v>4426537.1399999978</v>
          </cell>
          <cell r="F225">
            <v>39304146.120499998</v>
          </cell>
          <cell r="G225">
            <v>62609065.780770883</v>
          </cell>
          <cell r="M225">
            <v>264305.57</v>
          </cell>
          <cell r="V225">
            <v>225</v>
          </cell>
        </row>
        <row r="226">
          <cell r="B226">
            <v>36700</v>
          </cell>
          <cell r="C226" t="str">
            <v>Onslow County Schools</v>
          </cell>
          <cell r="D226">
            <v>119711175.93999976</v>
          </cell>
          <cell r="E226">
            <v>117141754.23999991</v>
          </cell>
          <cell r="F226">
            <v>1047976760.6706997</v>
          </cell>
          <cell r="G226">
            <v>1363004321.263164</v>
          </cell>
          <cell r="M226">
            <v>6720931.9200000009</v>
          </cell>
          <cell r="V226">
            <v>226</v>
          </cell>
        </row>
        <row r="227">
          <cell r="B227">
            <v>36701</v>
          </cell>
          <cell r="C227" t="str">
            <v>Zeca School Of The Arts And Technology</v>
          </cell>
          <cell r="D227">
            <v>325087.43</v>
          </cell>
          <cell r="E227">
            <v>473452.91000000003</v>
          </cell>
          <cell r="F227">
            <v>3247661.4950000001</v>
          </cell>
          <cell r="G227">
            <v>6984671.1623</v>
          </cell>
          <cell r="M227">
            <v>26841.470000000005</v>
          </cell>
          <cell r="V227">
            <v>227</v>
          </cell>
        </row>
        <row r="228">
          <cell r="B228">
            <v>36705</v>
          </cell>
          <cell r="C228" t="str">
            <v>Coastal Carolina Community College</v>
          </cell>
          <cell r="D228">
            <v>13786702.849999988</v>
          </cell>
          <cell r="E228">
            <v>13842596.460000001</v>
          </cell>
          <cell r="F228">
            <v>118717728.37600003</v>
          </cell>
          <cell r="G228">
            <v>158358736.23645002</v>
          </cell>
          <cell r="M228">
            <v>826433.60999999987</v>
          </cell>
          <cell r="V228">
            <v>228</v>
          </cell>
        </row>
        <row r="229">
          <cell r="B229">
            <v>36800</v>
          </cell>
          <cell r="C229" t="str">
            <v>Orange County Schools</v>
          </cell>
          <cell r="D229">
            <v>43797069.859999955</v>
          </cell>
          <cell r="E229">
            <v>45896753.31000001</v>
          </cell>
          <cell r="F229">
            <v>369240434.89219964</v>
          </cell>
          <cell r="G229">
            <v>515808782.89304972</v>
          </cell>
          <cell r="M229">
            <v>2640320.61</v>
          </cell>
          <cell r="V229">
            <v>229</v>
          </cell>
        </row>
        <row r="230">
          <cell r="B230">
            <v>36802</v>
          </cell>
          <cell r="C230" t="str">
            <v>Orange Charter School</v>
          </cell>
          <cell r="D230">
            <v>1012131.9400000003</v>
          </cell>
          <cell r="E230">
            <v>1024131.2600000001</v>
          </cell>
          <cell r="F230">
            <v>10932912.840900004</v>
          </cell>
          <cell r="G230">
            <v>13835151.160499997</v>
          </cell>
          <cell r="M230">
            <v>54759.369999999995</v>
          </cell>
          <cell r="V230">
            <v>230</v>
          </cell>
        </row>
        <row r="231">
          <cell r="B231">
            <v>36810</v>
          </cell>
          <cell r="C231" t="str">
            <v>Chapel Hill - Carboro City Schools</v>
          </cell>
          <cell r="D231">
            <v>82091462.299999923</v>
          </cell>
          <cell r="E231">
            <v>85427898.969999939</v>
          </cell>
          <cell r="F231">
            <v>725648211.6998986</v>
          </cell>
          <cell r="G231">
            <v>1009278391.727854</v>
          </cell>
          <cell r="M231">
            <v>4839997.24</v>
          </cell>
          <cell r="V231">
            <v>231</v>
          </cell>
        </row>
        <row r="232">
          <cell r="B232">
            <v>36900</v>
          </cell>
          <cell r="C232" t="str">
            <v>Pamlico County Schools</v>
          </cell>
          <cell r="D232">
            <v>8276477.8999999985</v>
          </cell>
          <cell r="E232">
            <v>8727933.4099999983</v>
          </cell>
          <cell r="F232">
            <v>68860717.255400002</v>
          </cell>
          <cell r="G232">
            <v>96356129.171299979</v>
          </cell>
          <cell r="M232">
            <v>507007.10000000003</v>
          </cell>
          <cell r="V232">
            <v>232</v>
          </cell>
        </row>
        <row r="233">
          <cell r="B233">
            <v>36901</v>
          </cell>
          <cell r="C233" t="str">
            <v>Arapahoe Charter School</v>
          </cell>
          <cell r="D233">
            <v>2546730.4500000002</v>
          </cell>
          <cell r="E233">
            <v>2816867.1299999994</v>
          </cell>
          <cell r="F233">
            <v>22593282.805899989</v>
          </cell>
          <cell r="G233">
            <v>31532940.005000003</v>
          </cell>
          <cell r="M233">
            <v>166782.29</v>
          </cell>
          <cell r="V233">
            <v>233</v>
          </cell>
        </row>
        <row r="234">
          <cell r="B234">
            <v>36905</v>
          </cell>
          <cell r="C234" t="str">
            <v>Pamlico Community College</v>
          </cell>
          <cell r="D234">
            <v>3291835.7600000012</v>
          </cell>
          <cell r="E234">
            <v>3036657.6600000006</v>
          </cell>
          <cell r="F234">
            <v>24846593.831100002</v>
          </cell>
          <cell r="G234">
            <v>28863283.236099988</v>
          </cell>
          <cell r="M234">
            <v>183315.44</v>
          </cell>
          <cell r="V234">
            <v>234</v>
          </cell>
        </row>
        <row r="235">
          <cell r="B235">
            <v>37000</v>
          </cell>
          <cell r="C235" t="str">
            <v>Elizabeth City And Pasquotank County Schools</v>
          </cell>
          <cell r="D235">
            <v>28283915.580000017</v>
          </cell>
          <cell r="E235">
            <v>29918337.110000029</v>
          </cell>
          <cell r="F235">
            <v>235091392.97449979</v>
          </cell>
          <cell r="G235">
            <v>332757912.24252808</v>
          </cell>
          <cell r="M235">
            <v>1733528.52</v>
          </cell>
          <cell r="V235">
            <v>235</v>
          </cell>
        </row>
        <row r="236">
          <cell r="B236">
            <v>37001</v>
          </cell>
          <cell r="C236" t="str">
            <v>N.E. ACADEMY OF AEROSPACE &amp; ADV.TECH</v>
          </cell>
          <cell r="D236">
            <v>0</v>
          </cell>
          <cell r="E236">
            <v>343321.99000000005</v>
          </cell>
          <cell r="F236">
            <v>0</v>
          </cell>
          <cell r="G236">
            <v>5375081.3422999987</v>
          </cell>
          <cell r="M236">
            <v>29411.79</v>
          </cell>
          <cell r="V236">
            <v>236</v>
          </cell>
        </row>
        <row r="237">
          <cell r="B237">
            <v>37005</v>
          </cell>
          <cell r="C237" t="str">
            <v>College Of The Albemarle</v>
          </cell>
          <cell r="D237">
            <v>7947206.5199999996</v>
          </cell>
          <cell r="E237">
            <v>7770150.4700000007</v>
          </cell>
          <cell r="F237">
            <v>61645795.853700005</v>
          </cell>
          <cell r="G237">
            <v>78274982.212499976</v>
          </cell>
          <cell r="M237">
            <v>463201.9</v>
          </cell>
          <cell r="V237">
            <v>237</v>
          </cell>
        </row>
        <row r="238">
          <cell r="B238">
            <v>37100</v>
          </cell>
          <cell r="C238" t="str">
            <v>Pender County Schools</v>
          </cell>
          <cell r="D238">
            <v>38430995.06999997</v>
          </cell>
          <cell r="E238">
            <v>39904202.460000046</v>
          </cell>
          <cell r="F238">
            <v>336470444.75389999</v>
          </cell>
          <cell r="G238">
            <v>469086413.25363415</v>
          </cell>
          <cell r="M238">
            <v>2336761.85</v>
          </cell>
          <cell r="V238">
            <v>238</v>
          </cell>
        </row>
        <row r="239">
          <cell r="B239">
            <v>37200</v>
          </cell>
          <cell r="C239" t="str">
            <v>Perquimans County Schools</v>
          </cell>
          <cell r="D239">
            <v>9499604.230000006</v>
          </cell>
          <cell r="E239">
            <v>9714594.7999999952</v>
          </cell>
          <cell r="F239">
            <v>79215399.174700037</v>
          </cell>
          <cell r="G239">
            <v>106077821.91629998</v>
          </cell>
          <cell r="M239">
            <v>567620.79999999993</v>
          </cell>
          <cell r="V239">
            <v>239</v>
          </cell>
        </row>
        <row r="240">
          <cell r="B240">
            <v>37300</v>
          </cell>
          <cell r="C240" t="str">
            <v>Person County Schools</v>
          </cell>
          <cell r="D240">
            <v>23288484.989999991</v>
          </cell>
          <cell r="E240">
            <v>23993814.67999997</v>
          </cell>
          <cell r="F240">
            <v>204621407.07539988</v>
          </cell>
          <cell r="G240">
            <v>278889167.66180271</v>
          </cell>
          <cell r="M240">
            <v>1419914.53</v>
          </cell>
          <cell r="V240">
            <v>240</v>
          </cell>
        </row>
        <row r="241">
          <cell r="B241">
            <v>37301</v>
          </cell>
          <cell r="C241" t="str">
            <v>Roxboro Community School</v>
          </cell>
          <cell r="D241">
            <v>2519270.84</v>
          </cell>
          <cell r="E241">
            <v>2604506.2000000002</v>
          </cell>
          <cell r="F241">
            <v>22298726.6503</v>
          </cell>
          <cell r="G241">
            <v>30536191.651600003</v>
          </cell>
          <cell r="M241">
            <v>143750.54999999999</v>
          </cell>
          <cell r="V241">
            <v>241</v>
          </cell>
        </row>
        <row r="242">
          <cell r="B242">
            <v>37305</v>
          </cell>
          <cell r="C242" t="str">
            <v>Piedmont Community College</v>
          </cell>
          <cell r="D242">
            <v>9427772.1599999983</v>
          </cell>
          <cell r="E242">
            <v>8940572.0300000012</v>
          </cell>
          <cell r="F242">
            <v>71251716.794399947</v>
          </cell>
          <cell r="G242">
            <v>81814079.883749932</v>
          </cell>
          <cell r="M242">
            <v>506041.13</v>
          </cell>
          <cell r="V242">
            <v>242</v>
          </cell>
        </row>
        <row r="243">
          <cell r="B243">
            <v>37400</v>
          </cell>
          <cell r="C243" t="str">
            <v>Pitt County Schools</v>
          </cell>
          <cell r="D243">
            <v>111901705.91000032</v>
          </cell>
          <cell r="E243">
            <v>113908109.3899996</v>
          </cell>
          <cell r="F243">
            <v>1015222513.2668983</v>
          </cell>
          <cell r="G243">
            <v>1375046115.4647663</v>
          </cell>
          <cell r="M243">
            <v>6548688.5199999996</v>
          </cell>
          <cell r="V243">
            <v>243</v>
          </cell>
        </row>
        <row r="244">
          <cell r="B244">
            <v>37405</v>
          </cell>
          <cell r="C244" t="str">
            <v>Pitt Community College</v>
          </cell>
          <cell r="D244">
            <v>25363928.390000012</v>
          </cell>
          <cell r="E244">
            <v>26844527.370000001</v>
          </cell>
          <cell r="F244">
            <v>217162532.4836998</v>
          </cell>
          <cell r="G244">
            <v>305333633.06653422</v>
          </cell>
          <cell r="M244">
            <v>1548872.51</v>
          </cell>
          <cell r="V244">
            <v>244</v>
          </cell>
        </row>
        <row r="245">
          <cell r="B245">
            <v>37500</v>
          </cell>
          <cell r="C245" t="str">
            <v>Polk County Schools</v>
          </cell>
          <cell r="D245">
            <v>14528971.859999998</v>
          </cell>
          <cell r="E245">
            <v>14478684.469999995</v>
          </cell>
          <cell r="F245">
            <v>118690091.12200011</v>
          </cell>
          <cell r="G245">
            <v>155277060.76849994</v>
          </cell>
          <cell r="M245">
            <v>841742.28</v>
          </cell>
          <cell r="V245">
            <v>245</v>
          </cell>
        </row>
        <row r="246">
          <cell r="B246">
            <v>37600</v>
          </cell>
          <cell r="C246" t="str">
            <v>Randolph County Schools</v>
          </cell>
          <cell r="D246">
            <v>81682815.009999752</v>
          </cell>
          <cell r="E246">
            <v>81665226.429999739</v>
          </cell>
          <cell r="F246">
            <v>713376818.49110115</v>
          </cell>
          <cell r="G246">
            <v>949215821.66498089</v>
          </cell>
          <cell r="M246">
            <v>4672122.43</v>
          </cell>
          <cell r="V246">
            <v>246</v>
          </cell>
        </row>
        <row r="247">
          <cell r="B247">
            <v>37601</v>
          </cell>
          <cell r="C247" t="str">
            <v>Uwharrie Charter Academy</v>
          </cell>
          <cell r="D247">
            <v>835420.74000000011</v>
          </cell>
          <cell r="E247">
            <v>2114213.23</v>
          </cell>
          <cell r="F247">
            <v>8570310.6278000027</v>
          </cell>
          <cell r="G247">
            <v>30084825.061999999</v>
          </cell>
          <cell r="M247">
            <v>125594.41</v>
          </cell>
          <cell r="V247">
            <v>247</v>
          </cell>
        </row>
        <row r="248">
          <cell r="B248">
            <v>37605</v>
          </cell>
          <cell r="C248" t="str">
            <v>Randolph Community College</v>
          </cell>
          <cell r="D248">
            <v>9562718.540000001</v>
          </cell>
          <cell r="E248">
            <v>9863149.0599999987</v>
          </cell>
          <cell r="F248">
            <v>81836905.871999949</v>
          </cell>
          <cell r="G248">
            <v>114348177.09332833</v>
          </cell>
          <cell r="M248">
            <v>581399.93999999994</v>
          </cell>
          <cell r="V248">
            <v>248</v>
          </cell>
        </row>
        <row r="249">
          <cell r="B249">
            <v>37610</v>
          </cell>
          <cell r="C249" t="str">
            <v>Asheboro City Schools</v>
          </cell>
          <cell r="D249">
            <v>24350927.729999993</v>
          </cell>
          <cell r="E249">
            <v>23483385.259999994</v>
          </cell>
          <cell r="F249">
            <v>228714052.10609978</v>
          </cell>
          <cell r="G249">
            <v>290741738.90029997</v>
          </cell>
          <cell r="M249">
            <v>1340299.8400000001</v>
          </cell>
          <cell r="V249">
            <v>249</v>
          </cell>
        </row>
        <row r="250">
          <cell r="B250">
            <v>37700</v>
          </cell>
          <cell r="C250" t="str">
            <v>Richmond County Schools</v>
          </cell>
          <cell r="D250">
            <v>34781088.399999917</v>
          </cell>
          <cell r="E250">
            <v>35867836.239999972</v>
          </cell>
          <cell r="F250">
            <v>296270128.56899995</v>
          </cell>
          <cell r="G250">
            <v>405573250.77566701</v>
          </cell>
          <cell r="M250">
            <v>2067469.7099999997</v>
          </cell>
          <cell r="V250">
            <v>250</v>
          </cell>
        </row>
        <row r="251">
          <cell r="B251">
            <v>37705</v>
          </cell>
          <cell r="C251" t="str">
            <v>Richmond Technical College</v>
          </cell>
          <cell r="D251">
            <v>10110215.08</v>
          </cell>
          <cell r="E251">
            <v>10587343.410000011</v>
          </cell>
          <cell r="F251">
            <v>85567069.112599939</v>
          </cell>
          <cell r="G251">
            <v>117724140.23142754</v>
          </cell>
          <cell r="M251">
            <v>613177.19000000006</v>
          </cell>
          <cell r="V251">
            <v>251</v>
          </cell>
        </row>
        <row r="252">
          <cell r="B252">
            <v>37800</v>
          </cell>
          <cell r="C252" t="str">
            <v>Robeson County Schools</v>
          </cell>
          <cell r="D252">
            <v>108356457.42000027</v>
          </cell>
          <cell r="E252">
            <v>110477153.28999995</v>
          </cell>
          <cell r="F252">
            <v>902323700.24900234</v>
          </cell>
          <cell r="G252">
            <v>1221532959.1897588</v>
          </cell>
          <cell r="M252">
            <v>6326977.4499999993</v>
          </cell>
          <cell r="V252">
            <v>252</v>
          </cell>
        </row>
        <row r="253">
          <cell r="B253">
            <v>37801</v>
          </cell>
          <cell r="C253" t="str">
            <v>Southeastern Academy Charter School</v>
          </cell>
          <cell r="D253">
            <v>637397.55999999994</v>
          </cell>
          <cell r="E253">
            <v>600184.69000000006</v>
          </cell>
          <cell r="F253">
            <v>6186088.5873000007</v>
          </cell>
          <cell r="G253">
            <v>7657240.9675000003</v>
          </cell>
          <cell r="M253">
            <v>38806.61</v>
          </cell>
          <cell r="V253">
            <v>253</v>
          </cell>
        </row>
        <row r="254">
          <cell r="B254">
            <v>37805</v>
          </cell>
          <cell r="C254" t="str">
            <v>Robeson Community College</v>
          </cell>
          <cell r="D254">
            <v>10648976.35</v>
          </cell>
          <cell r="E254">
            <v>9578945.2599999998</v>
          </cell>
          <cell r="F254">
            <v>84158159.942699954</v>
          </cell>
          <cell r="G254">
            <v>100100336.04870005</v>
          </cell>
          <cell r="M254">
            <v>541747.73</v>
          </cell>
          <cell r="V254">
            <v>254</v>
          </cell>
        </row>
        <row r="255">
          <cell r="B255">
            <v>37900</v>
          </cell>
          <cell r="C255" t="str">
            <v>Rockingham County Schools</v>
          </cell>
          <cell r="D255">
            <v>63788916.289999969</v>
          </cell>
          <cell r="E255">
            <v>62086132.349999972</v>
          </cell>
          <cell r="F255">
            <v>524759215.40360004</v>
          </cell>
          <cell r="G255">
            <v>664846029.47670257</v>
          </cell>
          <cell r="M255">
            <v>3565967.19</v>
          </cell>
          <cell r="V255">
            <v>255</v>
          </cell>
        </row>
        <row r="256">
          <cell r="B256">
            <v>37901</v>
          </cell>
          <cell r="C256" t="str">
            <v>Bethany Community Middle School</v>
          </cell>
          <cell r="D256">
            <v>780924.93</v>
          </cell>
          <cell r="E256">
            <v>832947.65000000026</v>
          </cell>
          <cell r="F256">
            <v>7018197.645299999</v>
          </cell>
          <cell r="G256">
            <v>9814330.6091000009</v>
          </cell>
          <cell r="M256">
            <v>42854.89</v>
          </cell>
          <cell r="V256">
            <v>256</v>
          </cell>
        </row>
        <row r="257">
          <cell r="B257">
            <v>37905</v>
          </cell>
          <cell r="C257" t="str">
            <v>Rockingham Community College</v>
          </cell>
          <cell r="D257">
            <v>7778931.8099999996</v>
          </cell>
          <cell r="E257">
            <v>7801983.4299999978</v>
          </cell>
          <cell r="F257">
            <v>57406366.161199987</v>
          </cell>
          <cell r="G257">
            <v>75719521.621150032</v>
          </cell>
          <cell r="M257">
            <v>449728.66</v>
          </cell>
          <cell r="V257">
            <v>257</v>
          </cell>
        </row>
        <row r="258">
          <cell r="B258">
            <v>38000</v>
          </cell>
          <cell r="C258" t="str">
            <v>Rowan-Salisbury School System</v>
          </cell>
          <cell r="D258">
            <v>93362198.820000276</v>
          </cell>
          <cell r="E258">
            <v>93746939.509999946</v>
          </cell>
          <cell r="F258">
            <v>793698172.59009814</v>
          </cell>
          <cell r="G258">
            <v>1063827735.6275914</v>
          </cell>
          <cell r="M258">
            <v>5413838.29</v>
          </cell>
          <cell r="V258">
            <v>258</v>
          </cell>
        </row>
        <row r="259">
          <cell r="B259">
            <v>38005</v>
          </cell>
          <cell r="C259" t="str">
            <v>Rowan-Cabarrus Community College</v>
          </cell>
          <cell r="D259">
            <v>19918552.10000002</v>
          </cell>
          <cell r="E259">
            <v>20810332.490000002</v>
          </cell>
          <cell r="F259">
            <v>161598615.2383002</v>
          </cell>
          <cell r="G259">
            <v>226478136.59690002</v>
          </cell>
          <cell r="M259">
            <v>1167285.67</v>
          </cell>
          <cell r="V259">
            <v>259</v>
          </cell>
        </row>
        <row r="260">
          <cell r="B260">
            <v>38100</v>
          </cell>
          <cell r="C260" t="str">
            <v>Rutherford County Schools</v>
          </cell>
          <cell r="D260">
            <v>43183112.209999971</v>
          </cell>
          <cell r="E260">
            <v>44237044.530000061</v>
          </cell>
          <cell r="F260">
            <v>360698115.76579976</v>
          </cell>
          <cell r="G260">
            <v>483787440.85721403</v>
          </cell>
          <cell r="M260">
            <v>2560035.0000000005</v>
          </cell>
          <cell r="V260">
            <v>260</v>
          </cell>
        </row>
        <row r="261">
          <cell r="B261">
            <v>38105</v>
          </cell>
          <cell r="C261" t="str">
            <v>Isothermal Community College</v>
          </cell>
          <cell r="D261">
            <v>8802007.5899999961</v>
          </cell>
          <cell r="E261">
            <v>9339358.4699999988</v>
          </cell>
          <cell r="F261">
            <v>75400891.181099996</v>
          </cell>
          <cell r="G261">
            <v>102012225.57402246</v>
          </cell>
          <cell r="M261">
            <v>525648.88000000012</v>
          </cell>
          <cell r="V261">
            <v>261</v>
          </cell>
        </row>
        <row r="262">
          <cell r="B262">
            <v>38200</v>
          </cell>
          <cell r="C262" t="str">
            <v>Sampson County Schools</v>
          </cell>
          <cell r="D262">
            <v>40974163.04999996</v>
          </cell>
          <cell r="E262">
            <v>41825389.139999889</v>
          </cell>
          <cell r="F262">
            <v>357751195.88000005</v>
          </cell>
          <cell r="G262">
            <v>476345202.25749987</v>
          </cell>
          <cell r="M262">
            <v>2394730.9</v>
          </cell>
          <cell r="V262">
            <v>262</v>
          </cell>
        </row>
        <row r="263">
          <cell r="B263">
            <v>38205</v>
          </cell>
          <cell r="C263" t="str">
            <v>Sampson Community College</v>
          </cell>
          <cell r="D263">
            <v>6809356.2499999991</v>
          </cell>
          <cell r="E263">
            <v>6738604.7900000019</v>
          </cell>
          <cell r="F263">
            <v>50760854.61150001</v>
          </cell>
          <cell r="G263">
            <v>65200642.752300002</v>
          </cell>
          <cell r="M263">
            <v>382844.23</v>
          </cell>
          <cell r="V263">
            <v>263</v>
          </cell>
        </row>
        <row r="264">
          <cell r="B264">
            <v>38210</v>
          </cell>
          <cell r="C264" t="str">
            <v>Clinton City Schools</v>
          </cell>
          <cell r="D264">
            <v>14910915.760000002</v>
          </cell>
          <cell r="E264">
            <v>15077834.040000003</v>
          </cell>
          <cell r="F264">
            <v>124967237.19019994</v>
          </cell>
          <cell r="G264">
            <v>174115813.97849998</v>
          </cell>
          <cell r="M264">
            <v>866001.07999999973</v>
          </cell>
          <cell r="V264">
            <v>264</v>
          </cell>
        </row>
        <row r="265">
          <cell r="B265">
            <v>38300</v>
          </cell>
          <cell r="C265" t="str">
            <v>Scotland County Schools</v>
          </cell>
          <cell r="D265">
            <v>33250291.189999994</v>
          </cell>
          <cell r="E265">
            <v>32869761.020000018</v>
          </cell>
          <cell r="F265">
            <v>277818315.56569958</v>
          </cell>
          <cell r="G265">
            <v>369430242.53882217</v>
          </cell>
          <cell r="M265">
            <v>1899623.67</v>
          </cell>
          <cell r="V265">
            <v>265</v>
          </cell>
        </row>
        <row r="266">
          <cell r="B266">
            <v>38400</v>
          </cell>
          <cell r="C266" t="str">
            <v>Stanly County Schools</v>
          </cell>
          <cell r="D266">
            <v>41381967.420000002</v>
          </cell>
          <cell r="E266">
            <v>40948904.550000034</v>
          </cell>
          <cell r="F266">
            <v>353675187.89529991</v>
          </cell>
          <cell r="G266">
            <v>458713322.32009977</v>
          </cell>
          <cell r="M266">
            <v>2338191.9500000002</v>
          </cell>
          <cell r="V266">
            <v>266</v>
          </cell>
        </row>
        <row r="267">
          <cell r="B267">
            <v>38402</v>
          </cell>
          <cell r="C267" t="str">
            <v>Gray Stone Day School</v>
          </cell>
          <cell r="D267">
            <v>1218280.83</v>
          </cell>
          <cell r="E267">
            <v>1315384.7700000005</v>
          </cell>
          <cell r="F267">
            <v>11651870.913300002</v>
          </cell>
          <cell r="G267">
            <v>16404845.884299995</v>
          </cell>
          <cell r="M267">
            <v>77575.659999999989</v>
          </cell>
          <cell r="V267">
            <v>267</v>
          </cell>
        </row>
        <row r="268">
          <cell r="B268">
            <v>38405</v>
          </cell>
          <cell r="C268" t="str">
            <v>Stanly Community College</v>
          </cell>
          <cell r="D268">
            <v>9663701.2000000142</v>
          </cell>
          <cell r="E268">
            <v>10006684.970000004</v>
          </cell>
          <cell r="F268">
            <v>85062473.5581</v>
          </cell>
          <cell r="G268">
            <v>117070466.92346326</v>
          </cell>
          <cell r="M268">
            <v>568260.92999999993</v>
          </cell>
          <cell r="V268">
            <v>268</v>
          </cell>
        </row>
        <row r="269">
          <cell r="B269">
            <v>38500</v>
          </cell>
          <cell r="C269" t="str">
            <v>Stokes County Schools</v>
          </cell>
          <cell r="D269">
            <v>33087526.24999997</v>
          </cell>
          <cell r="E269">
            <v>33024718.000000022</v>
          </cell>
          <cell r="F269">
            <v>283709400.18790001</v>
          </cell>
          <cell r="G269">
            <v>367779268.44990003</v>
          </cell>
          <cell r="M269">
            <v>1881183.72</v>
          </cell>
          <cell r="V269">
            <v>269</v>
          </cell>
        </row>
        <row r="270">
          <cell r="B270">
            <v>38600</v>
          </cell>
          <cell r="C270" t="str">
            <v>Surry County Schools</v>
          </cell>
          <cell r="D270">
            <v>40057872.370000042</v>
          </cell>
          <cell r="E270">
            <v>40492841.820000008</v>
          </cell>
          <cell r="F270">
            <v>347133163.2832002</v>
          </cell>
          <cell r="G270">
            <v>450038630.31700045</v>
          </cell>
          <cell r="M270">
            <v>2319120.38</v>
          </cell>
          <cell r="V270">
            <v>270</v>
          </cell>
        </row>
        <row r="271">
          <cell r="B271">
            <v>38601</v>
          </cell>
          <cell r="C271" t="str">
            <v>Bridges Charter Schools</v>
          </cell>
          <cell r="D271">
            <v>513466.89</v>
          </cell>
          <cell r="E271">
            <v>503972.35</v>
          </cell>
          <cell r="F271">
            <v>4986086.0928000007</v>
          </cell>
          <cell r="G271">
            <v>6343044.9625999983</v>
          </cell>
          <cell r="M271">
            <v>27891.790000000005</v>
          </cell>
          <cell r="V271">
            <v>271</v>
          </cell>
        </row>
        <row r="272">
          <cell r="B272">
            <v>38602</v>
          </cell>
          <cell r="C272" t="str">
            <v>Millennium Charter Academy</v>
          </cell>
          <cell r="D272">
            <v>2035596.7999999991</v>
          </cell>
          <cell r="E272">
            <v>2406930.850000001</v>
          </cell>
          <cell r="F272">
            <v>18149306.434799999</v>
          </cell>
          <cell r="G272">
            <v>28381714.315299999</v>
          </cell>
          <cell r="M272">
            <v>139367.79000000004</v>
          </cell>
          <cell r="V272">
            <v>272</v>
          </cell>
        </row>
        <row r="273">
          <cell r="B273">
            <v>38605</v>
          </cell>
          <cell r="C273" t="str">
            <v>Surry Community College</v>
          </cell>
          <cell r="D273">
            <v>11438038.360000035</v>
          </cell>
          <cell r="E273">
            <v>11448381.560000028</v>
          </cell>
          <cell r="F273">
            <v>94828334.557799995</v>
          </cell>
          <cell r="G273">
            <v>126935357.52603805</v>
          </cell>
          <cell r="M273">
            <v>658377.12999999989</v>
          </cell>
          <cell r="V273">
            <v>273</v>
          </cell>
        </row>
        <row r="274">
          <cell r="B274">
            <v>38610</v>
          </cell>
          <cell r="C274" t="str">
            <v>Mount Airy City Schools</v>
          </cell>
          <cell r="D274">
            <v>8890998.370000001</v>
          </cell>
          <cell r="E274">
            <v>8723212.9699999988</v>
          </cell>
          <cell r="F274">
            <v>70998858.683700025</v>
          </cell>
          <cell r="G274">
            <v>94146473.734893695</v>
          </cell>
          <cell r="M274">
            <v>506704.94000000006</v>
          </cell>
          <cell r="V274">
            <v>274</v>
          </cell>
        </row>
        <row r="275">
          <cell r="B275">
            <v>38620</v>
          </cell>
          <cell r="C275" t="str">
            <v>Elkin City Schools</v>
          </cell>
          <cell r="D275">
            <v>6833302.9399999995</v>
          </cell>
          <cell r="E275">
            <v>7242311.8899999987</v>
          </cell>
          <cell r="F275">
            <v>58085682.29989998</v>
          </cell>
          <cell r="G275">
            <v>78110918.488299996</v>
          </cell>
          <cell r="M275">
            <v>408218.96</v>
          </cell>
          <cell r="V275">
            <v>275</v>
          </cell>
        </row>
        <row r="276">
          <cell r="B276">
            <v>38700</v>
          </cell>
          <cell r="C276" t="str">
            <v>Swain County Schools</v>
          </cell>
          <cell r="D276">
            <v>11268823.930000007</v>
          </cell>
          <cell r="E276">
            <v>11830318.769999996</v>
          </cell>
          <cell r="F276">
            <v>96961019.411199942</v>
          </cell>
          <cell r="G276">
            <v>134614575.16590005</v>
          </cell>
          <cell r="M276">
            <v>695262.58</v>
          </cell>
          <cell r="V276">
            <v>276</v>
          </cell>
        </row>
        <row r="277">
          <cell r="B277">
            <v>38701</v>
          </cell>
          <cell r="C277" t="str">
            <v>Mountain Discovery Charter</v>
          </cell>
          <cell r="D277">
            <v>820089.14000000013</v>
          </cell>
          <cell r="E277">
            <v>838007.07999999984</v>
          </cell>
          <cell r="F277">
            <v>6984409.6221000012</v>
          </cell>
          <cell r="G277">
            <v>8612914.3969999999</v>
          </cell>
          <cell r="M277">
            <v>46407.740000000005</v>
          </cell>
          <cell r="V277">
            <v>277</v>
          </cell>
        </row>
        <row r="278">
          <cell r="B278">
            <v>38800</v>
          </cell>
          <cell r="C278" t="str">
            <v>Transylvania County Schools</v>
          </cell>
          <cell r="D278">
            <v>19983453.780000027</v>
          </cell>
          <cell r="E278">
            <v>20528974.84999999</v>
          </cell>
          <cell r="F278">
            <v>172151942.25239989</v>
          </cell>
          <cell r="G278">
            <v>234270874.67191151</v>
          </cell>
          <cell r="M278">
            <v>1183559.3500000001</v>
          </cell>
          <cell r="V278">
            <v>278</v>
          </cell>
        </row>
        <row r="279">
          <cell r="B279">
            <v>38801</v>
          </cell>
          <cell r="C279" t="str">
            <v>Brevard Academy Charter School</v>
          </cell>
          <cell r="D279">
            <v>898938.9</v>
          </cell>
          <cell r="E279">
            <v>1091578.8099999996</v>
          </cell>
          <cell r="F279">
            <v>9481104.9682</v>
          </cell>
          <cell r="G279">
            <v>15967793.701299999</v>
          </cell>
          <cell r="M279">
            <v>67668.319999999992</v>
          </cell>
          <cell r="V279">
            <v>279</v>
          </cell>
        </row>
        <row r="280">
          <cell r="B280">
            <v>38900</v>
          </cell>
          <cell r="C280" t="str">
            <v>Tyrrell County Schools</v>
          </cell>
          <cell r="D280">
            <v>4364451.68</v>
          </cell>
          <cell r="E280">
            <v>4694135.16</v>
          </cell>
          <cell r="F280">
            <v>34923798.645199992</v>
          </cell>
          <cell r="G280">
            <v>52229110.774300009</v>
          </cell>
          <cell r="M280">
            <v>248292.71999999997</v>
          </cell>
          <cell r="V280">
            <v>280</v>
          </cell>
        </row>
        <row r="281">
          <cell r="B281">
            <v>39000</v>
          </cell>
          <cell r="C281" t="str">
            <v>Union County Schools</v>
          </cell>
          <cell r="D281">
            <v>190647668.46999985</v>
          </cell>
          <cell r="E281">
            <v>197758811.1799998</v>
          </cell>
          <cell r="F281">
            <v>1750621017.5796063</v>
          </cell>
          <cell r="G281">
            <v>2369137246.5597515</v>
          </cell>
          <cell r="M281">
            <v>11453925.499999998</v>
          </cell>
          <cell r="V281">
            <v>281</v>
          </cell>
        </row>
        <row r="282">
          <cell r="B282">
            <v>39100</v>
          </cell>
          <cell r="C282" t="str">
            <v>Vance County Schools</v>
          </cell>
          <cell r="D282">
            <v>34259285.379999943</v>
          </cell>
          <cell r="E282">
            <v>34567866.200000018</v>
          </cell>
          <cell r="F282">
            <v>271532880.98360014</v>
          </cell>
          <cell r="G282">
            <v>363455087.54461664</v>
          </cell>
          <cell r="M282">
            <v>2025289.7299999997</v>
          </cell>
          <cell r="V282">
            <v>282</v>
          </cell>
        </row>
        <row r="283">
          <cell r="B283">
            <v>39101</v>
          </cell>
          <cell r="C283" t="str">
            <v>Vance Charter School</v>
          </cell>
          <cell r="D283">
            <v>2177496.3699999996</v>
          </cell>
          <cell r="E283">
            <v>2334424.14</v>
          </cell>
          <cell r="F283">
            <v>18404018.759900007</v>
          </cell>
          <cell r="G283">
            <v>25911098.315099992</v>
          </cell>
          <cell r="M283">
            <v>131441.69</v>
          </cell>
          <cell r="V283">
            <v>283</v>
          </cell>
        </row>
        <row r="284">
          <cell r="B284">
            <v>39105</v>
          </cell>
          <cell r="C284" t="str">
            <v>Vance-Granville Community College</v>
          </cell>
          <cell r="D284">
            <v>13688532.530000007</v>
          </cell>
          <cell r="E284">
            <v>13797491.369999997</v>
          </cell>
          <cell r="F284">
            <v>112008866.23739998</v>
          </cell>
          <cell r="G284">
            <v>150078304.02877954</v>
          </cell>
          <cell r="M284">
            <v>804936.95000000007</v>
          </cell>
          <cell r="V284">
            <v>284</v>
          </cell>
        </row>
        <row r="285">
          <cell r="B285">
            <v>39200</v>
          </cell>
          <cell r="C285" t="str">
            <v>Wake County Schools</v>
          </cell>
          <cell r="D285">
            <v>761649414.85998964</v>
          </cell>
          <cell r="E285">
            <v>801554623.66998684</v>
          </cell>
          <cell r="F285">
            <v>6819007778.1695232</v>
          </cell>
          <cell r="G285">
            <v>9571225636.3460255</v>
          </cell>
          <cell r="M285">
            <v>47022986.980000004</v>
          </cell>
          <cell r="V285">
            <v>285</v>
          </cell>
        </row>
        <row r="286">
          <cell r="B286">
            <v>39201</v>
          </cell>
          <cell r="C286" t="str">
            <v>Endeavor Charter School</v>
          </cell>
          <cell r="D286">
            <v>1937844.0899999996</v>
          </cell>
          <cell r="E286">
            <v>2039344.5000000002</v>
          </cell>
          <cell r="F286">
            <v>21167081.140799999</v>
          </cell>
          <cell r="G286">
            <v>30491247.617300011</v>
          </cell>
          <cell r="M286">
            <v>119094.57</v>
          </cell>
          <cell r="V286">
            <v>286</v>
          </cell>
        </row>
        <row r="287">
          <cell r="B287">
            <v>39204</v>
          </cell>
          <cell r="C287" t="str">
            <v>Southern Wake Academy</v>
          </cell>
          <cell r="D287">
            <v>1197555.01</v>
          </cell>
          <cell r="E287">
            <v>1435585.1600000004</v>
          </cell>
          <cell r="F287">
            <v>13042614.8125</v>
          </cell>
          <cell r="G287">
            <v>19834743.711599998</v>
          </cell>
          <cell r="M287">
            <v>90124.459999999992</v>
          </cell>
          <cell r="V287">
            <v>287</v>
          </cell>
        </row>
        <row r="288">
          <cell r="B288">
            <v>39205</v>
          </cell>
          <cell r="C288" t="str">
            <v>Wake Technical College</v>
          </cell>
          <cell r="D288">
            <v>63844071.410000034</v>
          </cell>
          <cell r="E288">
            <v>68393645.809999987</v>
          </cell>
          <cell r="F288">
            <v>521547953.68370003</v>
          </cell>
          <cell r="G288">
            <v>745561686.77654827</v>
          </cell>
          <cell r="M288">
            <v>4030820.8299999996</v>
          </cell>
          <cell r="V288">
            <v>288</v>
          </cell>
        </row>
        <row r="289">
          <cell r="B289">
            <v>39208</v>
          </cell>
          <cell r="C289" t="str">
            <v>East Wake Academy</v>
          </cell>
          <cell r="D289">
            <v>4247247.47</v>
          </cell>
          <cell r="E289">
            <v>4537560.049999998</v>
          </cell>
          <cell r="F289">
            <v>43372862.843100026</v>
          </cell>
          <cell r="G289">
            <v>61438280.4956</v>
          </cell>
          <cell r="M289">
            <v>255686.84999999998</v>
          </cell>
          <cell r="V289">
            <v>289</v>
          </cell>
        </row>
        <row r="290">
          <cell r="B290">
            <v>39209</v>
          </cell>
          <cell r="C290" t="str">
            <v>Casa Esperanza Montessori</v>
          </cell>
          <cell r="D290">
            <v>1850462.0099999995</v>
          </cell>
          <cell r="E290">
            <v>2186947.2299999995</v>
          </cell>
          <cell r="F290">
            <v>19835204.991799999</v>
          </cell>
          <cell r="G290">
            <v>30282722.122099999</v>
          </cell>
          <cell r="M290">
            <v>125458.52</v>
          </cell>
          <cell r="V290">
            <v>290</v>
          </cell>
        </row>
        <row r="291">
          <cell r="B291">
            <v>39300</v>
          </cell>
          <cell r="C291" t="str">
            <v>Warren County Schools</v>
          </cell>
          <cell r="D291">
            <v>12981046.279999994</v>
          </cell>
          <cell r="E291">
            <v>13365534.219999993</v>
          </cell>
          <cell r="F291">
            <v>105374481.47899997</v>
          </cell>
          <cell r="G291">
            <v>143888381.35777506</v>
          </cell>
          <cell r="M291">
            <v>752832.02</v>
          </cell>
          <cell r="V291">
            <v>291</v>
          </cell>
        </row>
        <row r="292">
          <cell r="B292">
            <v>39301</v>
          </cell>
          <cell r="C292" t="str">
            <v>Haliwa-Saponi Tribal Charter</v>
          </cell>
          <cell r="D292">
            <v>702751.4600000002</v>
          </cell>
          <cell r="E292">
            <v>722763.86</v>
          </cell>
          <cell r="F292">
            <v>6683961.976999999</v>
          </cell>
          <cell r="G292">
            <v>8247477.8591000019</v>
          </cell>
          <cell r="M292">
            <v>43539.86</v>
          </cell>
          <cell r="V292">
            <v>292</v>
          </cell>
        </row>
        <row r="293">
          <cell r="B293">
            <v>39400</v>
          </cell>
          <cell r="C293" t="str">
            <v>Washington County Schools</v>
          </cell>
          <cell r="D293">
            <v>9643449.1900000032</v>
          </cell>
          <cell r="E293">
            <v>9595562.179999996</v>
          </cell>
          <cell r="F293">
            <v>73616912.124099985</v>
          </cell>
          <cell r="G293">
            <v>96844541.096299961</v>
          </cell>
          <cell r="M293">
            <v>550640.34</v>
          </cell>
          <cell r="V293">
            <v>293</v>
          </cell>
        </row>
        <row r="294">
          <cell r="B294">
            <v>39401</v>
          </cell>
          <cell r="C294" t="str">
            <v>Henderson Collegiate Charter School</v>
          </cell>
          <cell r="D294">
            <v>1451889.09</v>
          </cell>
          <cell r="E294">
            <v>2125000.5299999989</v>
          </cell>
          <cell r="F294">
            <v>16786869.914900005</v>
          </cell>
          <cell r="G294">
            <v>33551726.885499999</v>
          </cell>
          <cell r="M294">
            <v>139832.41999999998</v>
          </cell>
          <cell r="V294">
            <v>294</v>
          </cell>
        </row>
        <row r="295">
          <cell r="B295">
            <v>39500</v>
          </cell>
          <cell r="C295" t="str">
            <v>Watauga County Schools</v>
          </cell>
          <cell r="D295">
            <v>25549609.91</v>
          </cell>
          <cell r="E295">
            <v>25922978.730000019</v>
          </cell>
          <cell r="F295">
            <v>216404304.2802003</v>
          </cell>
          <cell r="G295">
            <v>293719126.91107219</v>
          </cell>
          <cell r="M295">
            <v>1489020.64</v>
          </cell>
          <cell r="V295">
            <v>295</v>
          </cell>
        </row>
        <row r="296">
          <cell r="B296">
            <v>39501</v>
          </cell>
          <cell r="C296" t="str">
            <v>Two Rivers Community School</v>
          </cell>
          <cell r="D296">
            <v>893460.40999999992</v>
          </cell>
          <cell r="E296">
            <v>832761.98999999976</v>
          </cell>
          <cell r="F296">
            <v>8644717.6546999998</v>
          </cell>
          <cell r="G296">
            <v>9666635.809249999</v>
          </cell>
          <cell r="M296">
            <v>47281.659999999996</v>
          </cell>
          <cell r="V296">
            <v>296</v>
          </cell>
        </row>
        <row r="297">
          <cell r="B297">
            <v>39600</v>
          </cell>
          <cell r="C297" t="str">
            <v>Wayne County Schools</v>
          </cell>
          <cell r="D297">
            <v>85906727.890000015</v>
          </cell>
          <cell r="E297">
            <v>87409006.83999984</v>
          </cell>
          <cell r="F297">
            <v>710508566.16589868</v>
          </cell>
          <cell r="G297">
            <v>949163875.94100547</v>
          </cell>
          <cell r="M297">
            <v>5039145.9999999991</v>
          </cell>
          <cell r="V297">
            <v>297</v>
          </cell>
        </row>
        <row r="298">
          <cell r="B298">
            <v>39605</v>
          </cell>
          <cell r="C298" t="str">
            <v>Wayne Community College</v>
          </cell>
          <cell r="D298">
            <v>13188727.540000005</v>
          </cell>
          <cell r="E298">
            <v>13057119.070000004</v>
          </cell>
          <cell r="F298">
            <v>104881992.38679998</v>
          </cell>
          <cell r="G298">
            <v>136584894.22963971</v>
          </cell>
          <cell r="M298">
            <v>763935.26000000013</v>
          </cell>
          <cell r="V298">
            <v>298</v>
          </cell>
        </row>
        <row r="299">
          <cell r="B299">
            <v>39700</v>
          </cell>
          <cell r="C299" t="str">
            <v>Wilkes County Schools</v>
          </cell>
          <cell r="D299">
            <v>49093707.789999977</v>
          </cell>
          <cell r="E299">
            <v>50024277.060000062</v>
          </cell>
          <cell r="F299">
            <v>432520649.78840041</v>
          </cell>
          <cell r="G299">
            <v>575175662.19549978</v>
          </cell>
          <cell r="M299">
            <v>2876157.31</v>
          </cell>
          <cell r="V299">
            <v>299</v>
          </cell>
        </row>
        <row r="300">
          <cell r="B300">
            <v>39703</v>
          </cell>
          <cell r="C300" t="str">
            <v>Pinnacle Classical Academy</v>
          </cell>
          <cell r="D300">
            <v>934413.28000000014</v>
          </cell>
          <cell r="E300">
            <v>1235890.25</v>
          </cell>
          <cell r="F300">
            <v>9573447.0162000004</v>
          </cell>
          <cell r="G300">
            <v>17925342.557399999</v>
          </cell>
          <cell r="M300">
            <v>73239.760000000009</v>
          </cell>
          <cell r="V300">
            <v>300</v>
          </cell>
        </row>
        <row r="301">
          <cell r="B301">
            <v>39705</v>
          </cell>
          <cell r="C301" t="str">
            <v>Wilkes Community College</v>
          </cell>
          <cell r="D301">
            <v>12218429.58</v>
          </cell>
          <cell r="E301">
            <v>12760252.279999996</v>
          </cell>
          <cell r="F301">
            <v>98422805.129699931</v>
          </cell>
          <cell r="G301">
            <v>134980747.61914989</v>
          </cell>
          <cell r="M301">
            <v>732158.12</v>
          </cell>
          <cell r="V301">
            <v>301</v>
          </cell>
        </row>
        <row r="302">
          <cell r="B302">
            <v>39800</v>
          </cell>
          <cell r="C302" t="str">
            <v>Wilson County Schools</v>
          </cell>
          <cell r="D302">
            <v>55933788.470000021</v>
          </cell>
          <cell r="E302">
            <v>56969445.149999999</v>
          </cell>
          <cell r="F302">
            <v>485916403.00089908</v>
          </cell>
          <cell r="G302">
            <v>636552998.30438864</v>
          </cell>
          <cell r="M302">
            <v>3274399.4299999992</v>
          </cell>
          <cell r="V302">
            <v>302</v>
          </cell>
        </row>
        <row r="303">
          <cell r="B303">
            <v>39805</v>
          </cell>
          <cell r="C303" t="str">
            <v>Wilson Community College</v>
          </cell>
          <cell r="D303">
            <v>6840307.2700000098</v>
          </cell>
          <cell r="E303">
            <v>6996756.6699999981</v>
          </cell>
          <cell r="F303">
            <v>54232943.107400022</v>
          </cell>
          <cell r="G303">
            <v>71594491.994422868</v>
          </cell>
          <cell r="M303">
            <v>415480.67</v>
          </cell>
          <cell r="V303">
            <v>303</v>
          </cell>
        </row>
        <row r="304">
          <cell r="B304">
            <v>39900</v>
          </cell>
          <cell r="C304" t="str">
            <v>Yadkin County Schools</v>
          </cell>
          <cell r="D304">
            <v>28016785.089999966</v>
          </cell>
          <cell r="E304">
            <v>28981653.340000022</v>
          </cell>
          <cell r="F304">
            <v>236605083.61979997</v>
          </cell>
          <cell r="G304">
            <v>314396250.08479983</v>
          </cell>
          <cell r="M304">
            <v>1665447.19</v>
          </cell>
          <cell r="V304">
            <v>304</v>
          </cell>
        </row>
        <row r="305">
          <cell r="B305">
            <v>40000</v>
          </cell>
          <cell r="C305" t="str">
            <v>Consolidated Judicial Retirement System</v>
          </cell>
          <cell r="D305">
            <v>58246712.150000252</v>
          </cell>
          <cell r="E305">
            <v>68245416.099999994</v>
          </cell>
          <cell r="F305">
            <v>322339173.42939967</v>
          </cell>
          <cell r="G305">
            <v>509405989.16756624</v>
          </cell>
          <cell r="M305">
            <v>3870056.6</v>
          </cell>
          <cell r="V305">
            <v>305</v>
          </cell>
        </row>
        <row r="306">
          <cell r="B306">
            <v>51000</v>
          </cell>
          <cell r="C306" t="str">
            <v>Highway - Administrative</v>
          </cell>
          <cell r="D306">
            <v>516632772.63999844</v>
          </cell>
          <cell r="E306">
            <v>517068074.63000035</v>
          </cell>
          <cell r="F306">
            <v>3856998675.9863172</v>
          </cell>
          <cell r="G306">
            <v>4795804738.3380404</v>
          </cell>
          <cell r="M306">
            <v>28186402.90469946</v>
          </cell>
          <cell r="V306">
            <v>306</v>
          </cell>
        </row>
        <row r="307">
          <cell r="B307">
            <v>60000</v>
          </cell>
          <cell r="C307" t="str">
            <v>Legislative Retirement System</v>
          </cell>
          <cell r="D307">
            <v>3480312.46108949</v>
          </cell>
          <cell r="E307">
            <v>3577761.2099999958</v>
          </cell>
          <cell r="F307">
            <v>18168347.144803762</v>
          </cell>
          <cell r="G307">
            <v>24436426.90976106</v>
          </cell>
          <cell r="M307">
            <v>202482.98</v>
          </cell>
          <cell r="V307">
            <v>307</v>
          </cell>
        </row>
        <row r="308">
          <cell r="B308">
            <v>90901</v>
          </cell>
          <cell r="C308" t="str">
            <v>BLADEN COUNTY</v>
          </cell>
          <cell r="D308">
            <v>12515089.329999994</v>
          </cell>
          <cell r="E308">
            <v>11590746.199999994</v>
          </cell>
          <cell r="F308">
            <v>101585339.71730012</v>
          </cell>
          <cell r="G308">
            <v>121726805.52031019</v>
          </cell>
          <cell r="M308">
            <v>739032.75</v>
          </cell>
          <cell r="V308">
            <v>308</v>
          </cell>
        </row>
        <row r="309">
          <cell r="B309">
            <v>91041</v>
          </cell>
          <cell r="C309" t="str">
            <v>TOWN OF SUNSET BEACH</v>
          </cell>
          <cell r="D309">
            <v>2052996.7000000002</v>
          </cell>
          <cell r="E309">
            <v>1903519.8499999999</v>
          </cell>
          <cell r="F309">
            <v>18423033.021899998</v>
          </cell>
          <cell r="G309">
            <v>22076590.634999998</v>
          </cell>
          <cell r="M309">
            <v>118940.75</v>
          </cell>
          <cell r="V309">
            <v>309</v>
          </cell>
        </row>
        <row r="310">
          <cell r="B310">
            <v>91111</v>
          </cell>
          <cell r="C310" t="str">
            <v>TOWN OF BILTMORE FOREST</v>
          </cell>
          <cell r="D310">
            <v>1304370.94</v>
          </cell>
          <cell r="E310">
            <v>1313182.8800000004</v>
          </cell>
          <cell r="F310">
            <v>10251385.783499997</v>
          </cell>
          <cell r="G310">
            <v>11927687.519399997</v>
          </cell>
          <cell r="M310">
            <v>78071.010000000009</v>
          </cell>
          <cell r="V310">
            <v>310</v>
          </cell>
        </row>
        <row r="311">
          <cell r="B311">
            <v>91151</v>
          </cell>
          <cell r="C311" t="str">
            <v>TOWN OF BLACK MOUNTAIN</v>
          </cell>
          <cell r="D311">
            <v>3014976.4899999998</v>
          </cell>
          <cell r="E311">
            <v>3061219.0699999989</v>
          </cell>
          <cell r="F311">
            <v>26484554.139599994</v>
          </cell>
          <cell r="G311">
            <v>34714498.57093589</v>
          </cell>
          <cell r="M311">
            <v>180532</v>
          </cell>
          <cell r="V311">
            <v>311</v>
          </cell>
        </row>
        <row r="312">
          <cell r="B312">
            <v>98101</v>
          </cell>
          <cell r="C312" t="str">
            <v>RUTHERFORD COUNTY</v>
          </cell>
          <cell r="D312">
            <v>14351736.530000001</v>
          </cell>
          <cell r="E312">
            <v>14678204.360000007</v>
          </cell>
          <cell r="F312">
            <v>118117157.41689992</v>
          </cell>
          <cell r="G312">
            <v>157660588.45182958</v>
          </cell>
          <cell r="M312">
            <v>910108.62999999989</v>
          </cell>
          <cell r="V312">
            <v>312</v>
          </cell>
        </row>
        <row r="313">
          <cell r="B313">
            <v>98103</v>
          </cell>
          <cell r="C313" t="str">
            <v>RUTHERFORD POLK MCDOWELL DIST BRD OF HEALTH</v>
          </cell>
          <cell r="D313">
            <v>3323433.9099999983</v>
          </cell>
          <cell r="E313">
            <v>3153137.0500000007</v>
          </cell>
          <cell r="F313">
            <v>25177216.456699997</v>
          </cell>
          <cell r="G313">
            <v>31727401.273866609</v>
          </cell>
          <cell r="M313">
            <v>195983.55000000002</v>
          </cell>
          <cell r="V313">
            <v>313</v>
          </cell>
        </row>
        <row r="314">
          <cell r="B314">
            <v>98111</v>
          </cell>
          <cell r="C314" t="str">
            <v>TOWN OF FOREST CITY</v>
          </cell>
          <cell r="D314">
            <v>5254881.5899999989</v>
          </cell>
          <cell r="E314">
            <v>5413019.1199999982</v>
          </cell>
          <cell r="F314">
            <v>45440376.601999998</v>
          </cell>
          <cell r="G314">
            <v>60001728.72075171</v>
          </cell>
          <cell r="M314">
            <v>315543.51999999996</v>
          </cell>
          <cell r="V314">
            <v>314</v>
          </cell>
        </row>
        <row r="315">
          <cell r="B315">
            <v>98131</v>
          </cell>
          <cell r="C315" t="str">
            <v>TOWN OF LAKE LURE</v>
          </cell>
          <cell r="D315">
            <v>1390849.2300000002</v>
          </cell>
          <cell r="E315">
            <v>1643984.0100000002</v>
          </cell>
          <cell r="F315">
            <v>12213426.577499995</v>
          </cell>
          <cell r="G315">
            <v>16897171.661800001</v>
          </cell>
          <cell r="M315">
            <v>92959.1</v>
          </cell>
          <cell r="V315">
            <v>315</v>
          </cell>
        </row>
        <row r="316">
          <cell r="B316">
            <v>99401</v>
          </cell>
          <cell r="C316" t="str">
            <v>WASHINGTON COUNTY</v>
          </cell>
          <cell r="D316">
            <v>5176794.7299999967</v>
          </cell>
          <cell r="E316">
            <v>5152816.6399999987</v>
          </cell>
          <cell r="F316">
            <v>39414615.532899983</v>
          </cell>
          <cell r="G316">
            <v>51757330.603164405</v>
          </cell>
          <cell r="M316">
            <v>317353.44</v>
          </cell>
          <cell r="V316">
            <v>316</v>
          </cell>
        </row>
        <row r="317">
          <cell r="B317">
            <v>99521</v>
          </cell>
          <cell r="C317" t="str">
            <v>TOWN OF BLOWING ROCK</v>
          </cell>
          <cell r="D317">
            <v>1995396.3399999999</v>
          </cell>
          <cell r="E317">
            <v>1946333.6400000004</v>
          </cell>
          <cell r="F317">
            <v>18443253.3299</v>
          </cell>
          <cell r="G317">
            <v>23032820.853925698</v>
          </cell>
          <cell r="M317">
            <v>125012.06</v>
          </cell>
          <cell r="R317" t="str">
            <v>False</v>
          </cell>
          <cell r="V317">
            <v>317</v>
          </cell>
        </row>
        <row r="318">
          <cell r="B318">
            <v>99831</v>
          </cell>
          <cell r="C318" t="str">
            <v>TOWN OF BLACK CREEK</v>
          </cell>
          <cell r="D318">
            <v>252746.16</v>
          </cell>
          <cell r="E318">
            <v>277867.58999999997</v>
          </cell>
          <cell r="F318">
            <v>2108571.2378000002</v>
          </cell>
          <cell r="G318">
            <v>2935521.3997</v>
          </cell>
          <cell r="M318">
            <v>19565.890000000003</v>
          </cell>
          <cell r="R318" t="str">
            <v>False</v>
          </cell>
          <cell r="V318">
            <v>318</v>
          </cell>
        </row>
      </sheetData>
      <sheetData sheetId="16">
        <row r="12">
          <cell r="P12">
            <v>1</v>
          </cell>
        </row>
      </sheetData>
      <sheetData sheetId="17"/>
      <sheetData sheetId="18"/>
      <sheetData sheetId="19"/>
      <sheetData sheetId="20"/>
      <sheetData sheetId="21"/>
      <sheetData sheetId="22">
        <row r="8">
          <cell r="L8">
            <v>1</v>
          </cell>
        </row>
      </sheetData>
      <sheetData sheetId="23">
        <row r="16">
          <cell r="B16">
            <v>10200</v>
          </cell>
          <cell r="C16" t="str">
            <v>North Carolina Education Lottery</v>
          </cell>
          <cell r="D16">
            <v>9.2975964199316333E-4</v>
          </cell>
          <cell r="E16">
            <v>1608700.9717741364</v>
          </cell>
          <cell r="F16">
            <v>1254341.0405541244</v>
          </cell>
          <cell r="G16">
            <v>21319</v>
          </cell>
          <cell r="H16">
            <v>-448884.73357642355</v>
          </cell>
          <cell r="I16">
            <v>-18575.697230208028</v>
          </cell>
          <cell r="J16">
            <v>1357518.5607777569</v>
          </cell>
          <cell r="K16">
            <v>0</v>
          </cell>
          <cell r="L16">
            <v>-71326.278781496105</v>
          </cell>
          <cell r="M16">
            <v>12800.011833711942</v>
          </cell>
          <cell r="N16">
            <v>482.5266590016119</v>
          </cell>
          <cell r="O16">
            <v>-217.75900575121878</v>
          </cell>
          <cell r="P16">
            <v>0</v>
          </cell>
          <cell r="Q16">
            <v>0</v>
          </cell>
          <cell r="R16">
            <v>0</v>
          </cell>
          <cell r="S16">
            <v>3716157.6430048523</v>
          </cell>
          <cell r="T16">
            <v>106594.64999999991</v>
          </cell>
          <cell r="U16">
            <v>6787592.8038887838</v>
          </cell>
          <cell r="V16">
            <v>51200.047334847768</v>
          </cell>
          <cell r="W16">
            <v>0</v>
          </cell>
          <cell r="X16">
            <v>6945387.5012236312</v>
          </cell>
          <cell r="Y16">
            <v>0</v>
          </cell>
          <cell r="Z16">
            <v>0</v>
          </cell>
          <cell r="AA16">
            <v>0</v>
          </cell>
          <cell r="AB16">
            <v>92878.486151040124</v>
          </cell>
          <cell r="AC16">
            <v>92878.486151040124</v>
          </cell>
          <cell r="AD16" t="str">
            <v>N/A</v>
          </cell>
          <cell r="AE16">
            <v>1373062</v>
          </cell>
          <cell r="AF16">
            <v>1373062</v>
          </cell>
          <cell r="AG16">
            <v>1373062</v>
          </cell>
          <cell r="AH16">
            <v>1373062</v>
          </cell>
          <cell r="AI16">
            <v>1360262</v>
          </cell>
          <cell r="AJ16">
            <v>0</v>
          </cell>
          <cell r="AK16">
            <v>6852510</v>
          </cell>
          <cell r="AL16">
            <v>30717456</v>
          </cell>
          <cell r="AM16">
            <v>3716157.6430048523</v>
          </cell>
          <cell r="AN16">
            <v>-838417.64999999991</v>
          </cell>
          <cell r="AO16">
            <v>6745914.3650725922</v>
          </cell>
          <cell r="AP16">
            <v>0</v>
          </cell>
          <cell r="AQ16">
            <v>106594.64999999991</v>
          </cell>
          <cell r="AR16">
            <v>0</v>
          </cell>
          <cell r="AS16">
            <v>0</v>
          </cell>
          <cell r="AT16">
            <v>40447705.008077443</v>
          </cell>
          <cell r="AU16">
            <v>9.2649452119676168E-4</v>
          </cell>
          <cell r="AV16">
            <v>0</v>
          </cell>
          <cell r="AW16">
            <v>0</v>
          </cell>
          <cell r="AY16">
            <v>0</v>
          </cell>
          <cell r="AZ16">
            <v>0</v>
          </cell>
          <cell r="BA16">
            <v>0</v>
          </cell>
          <cell r="BB16">
            <v>0</v>
          </cell>
          <cell r="BC16">
            <v>0</v>
          </cell>
          <cell r="BD16">
            <v>0</v>
          </cell>
          <cell r="BE16">
            <v>0</v>
          </cell>
          <cell r="BF16">
            <v>0</v>
          </cell>
          <cell r="BG16">
            <v>0</v>
          </cell>
          <cell r="BH16">
            <v>0</v>
          </cell>
          <cell r="BJ16">
            <v>0</v>
          </cell>
          <cell r="BL16">
            <v>0</v>
          </cell>
          <cell r="BM16">
            <v>0</v>
          </cell>
          <cell r="BN16">
            <v>0</v>
          </cell>
          <cell r="BO16">
            <v>0</v>
          </cell>
          <cell r="BQ16">
            <v>0</v>
          </cell>
          <cell r="BR16">
            <v>0</v>
          </cell>
          <cell r="BS16">
            <v>0</v>
          </cell>
          <cell r="BT16">
            <v>0</v>
          </cell>
          <cell r="CB16">
            <v>0</v>
          </cell>
          <cell r="CC16">
            <v>0</v>
          </cell>
          <cell r="CD16">
            <v>0</v>
          </cell>
          <cell r="CE16">
            <v>0</v>
          </cell>
          <cell r="CF16">
            <v>0</v>
          </cell>
          <cell r="CI16">
            <v>0</v>
          </cell>
          <cell r="CJ16">
            <v>0</v>
          </cell>
          <cell r="CK16">
            <v>0</v>
          </cell>
          <cell r="CV16">
            <v>9.2975964199316333E-4</v>
          </cell>
          <cell r="DG16">
            <v>40447705</v>
          </cell>
          <cell r="DR16">
            <v>14107712.330000008</v>
          </cell>
          <cell r="EC16">
            <v>2.867063351865212</v>
          </cell>
          <cell r="EN16">
            <v>2.4095909012463064E-2</v>
          </cell>
        </row>
        <row r="17">
          <cell r="B17" t="str">
            <v>SPA</v>
          </cell>
          <cell r="C17" t="str">
            <v>NC State Ports Authority (subset of DOT)</v>
          </cell>
          <cell r="D17">
            <v>6.0591550498597594E-4</v>
          </cell>
          <cell r="E17">
            <v>1048375.1043381204</v>
          </cell>
          <cell r="F17">
            <v>817442.11157917243</v>
          </cell>
          <cell r="G17">
            <v>161699</v>
          </cell>
          <cell r="H17">
            <v>-292533.90633560531</v>
          </cell>
          <cell r="I17">
            <v>-12105.604996555499</v>
          </cell>
          <cell r="J17">
            <v>884681.91899378877</v>
          </cell>
          <cell r="K17">
            <v>0</v>
          </cell>
          <cell r="L17">
            <v>-46482.65667244191</v>
          </cell>
          <cell r="M17">
            <v>8341.6458230255903</v>
          </cell>
          <cell r="N17">
            <v>314.45802877762179</v>
          </cell>
          <cell r="O17">
            <v>-141.91147042276543</v>
          </cell>
          <cell r="P17">
            <v>0</v>
          </cell>
          <cell r="Q17">
            <v>0</v>
          </cell>
          <cell r="R17">
            <v>0</v>
          </cell>
          <cell r="S17">
            <v>2569590.1592878592</v>
          </cell>
          <cell r="T17">
            <v>808493.76502732246</v>
          </cell>
          <cell r="U17">
            <v>4423409.5949689439</v>
          </cell>
          <cell r="V17">
            <v>33366.583292102361</v>
          </cell>
          <cell r="W17">
            <v>0</v>
          </cell>
          <cell r="X17">
            <v>5265269.9432883691</v>
          </cell>
          <cell r="Y17">
            <v>0</v>
          </cell>
          <cell r="Z17">
            <v>0</v>
          </cell>
          <cell r="AA17">
            <v>0</v>
          </cell>
          <cell r="AB17">
            <v>60528.024982777497</v>
          </cell>
          <cell r="AC17">
            <v>60528.024982777497</v>
          </cell>
          <cell r="AD17" t="str">
            <v>N/A</v>
          </cell>
          <cell r="AE17">
            <v>1042617</v>
          </cell>
          <cell r="AF17">
            <v>1042616</v>
          </cell>
          <cell r="AG17">
            <v>1042616</v>
          </cell>
          <cell r="AH17">
            <v>1042616</v>
          </cell>
          <cell r="AI17">
            <v>1034274</v>
          </cell>
          <cell r="AJ17">
            <v>0</v>
          </cell>
          <cell r="AK17">
            <v>5204739</v>
          </cell>
          <cell r="AL17">
            <v>19275112</v>
          </cell>
          <cell r="AM17">
            <v>2569590.1592878592</v>
          </cell>
          <cell r="AN17">
            <v>-690060.76502732246</v>
          </cell>
          <cell r="AO17">
            <v>4396248.1532782689</v>
          </cell>
          <cell r="AP17">
            <v>0</v>
          </cell>
          <cell r="AQ17">
            <v>808493.76502732246</v>
          </cell>
          <cell r="AR17">
            <v>0</v>
          </cell>
          <cell r="AS17">
            <v>0</v>
          </cell>
          <cell r="AT17">
            <v>26359383.312566128</v>
          </cell>
          <cell r="AU17">
            <v>5.8137255472740955E-4</v>
          </cell>
          <cell r="AV17">
            <v>0</v>
          </cell>
          <cell r="AW17">
            <v>0</v>
          </cell>
          <cell r="AY17">
            <v>0</v>
          </cell>
          <cell r="AZ17">
            <v>0</v>
          </cell>
          <cell r="BA17">
            <v>0</v>
          </cell>
          <cell r="BB17">
            <v>0</v>
          </cell>
          <cell r="BC17">
            <v>0</v>
          </cell>
          <cell r="BD17">
            <v>0</v>
          </cell>
          <cell r="BE17">
            <v>0</v>
          </cell>
          <cell r="BF17">
            <v>0</v>
          </cell>
          <cell r="BG17">
            <v>0</v>
          </cell>
          <cell r="BH17">
            <v>0</v>
          </cell>
          <cell r="BJ17">
            <v>0</v>
          </cell>
          <cell r="BL17">
            <v>0</v>
          </cell>
          <cell r="BM17">
            <v>0</v>
          </cell>
          <cell r="BN17">
            <v>0</v>
          </cell>
          <cell r="BO17">
            <v>0</v>
          </cell>
          <cell r="BQ17">
            <v>0</v>
          </cell>
          <cell r="BR17">
            <v>0</v>
          </cell>
          <cell r="BS17">
            <v>0</v>
          </cell>
          <cell r="BT17">
            <v>0</v>
          </cell>
          <cell r="CB17">
            <v>0</v>
          </cell>
          <cell r="CC17">
            <v>0</v>
          </cell>
          <cell r="CD17">
            <v>0</v>
          </cell>
          <cell r="CE17">
            <v>0</v>
          </cell>
          <cell r="CF17">
            <v>0</v>
          </cell>
          <cell r="CI17">
            <v>0</v>
          </cell>
          <cell r="CJ17">
            <v>0</v>
          </cell>
          <cell r="CK17">
            <v>0</v>
          </cell>
          <cell r="CV17">
            <v>6.0591550498597594E-4</v>
          </cell>
          <cell r="DG17">
            <v>26359384</v>
          </cell>
          <cell r="DR17">
            <v>11585996.839999992</v>
          </cell>
          <cell r="EC17">
            <v>2.2751071283737736</v>
          </cell>
          <cell r="EN17">
            <v>2.4095909012463064E-2</v>
          </cell>
        </row>
        <row r="18">
          <cell r="B18" t="str">
            <v>GTPA</v>
          </cell>
          <cell r="C18" t="str">
            <v>NC Global TransPark Authority (subset of DOT)</v>
          </cell>
          <cell r="D18">
            <v>1.522404319666764E-5</v>
          </cell>
          <cell r="E18">
            <v>26341.144505163142</v>
          </cell>
          <cell r="F18">
            <v>20538.794460697234</v>
          </cell>
          <cell r="G18">
            <v>-7164</v>
          </cell>
          <cell r="H18">
            <v>-7350.1153046847003</v>
          </cell>
          <cell r="I18">
            <v>-304.16163949067806</v>
          </cell>
          <cell r="J18">
            <v>22228.240801304451</v>
          </cell>
          <cell r="K18">
            <v>0</v>
          </cell>
          <cell r="L18">
            <v>-1167.908672502952</v>
          </cell>
          <cell r="M18">
            <v>209.58958022370311</v>
          </cell>
          <cell r="N18">
            <v>7.9009739382065716</v>
          </cell>
          <cell r="O18">
            <v>-3.5656231570915278</v>
          </cell>
          <cell r="P18">
            <v>0</v>
          </cell>
          <cell r="Q18">
            <v>0</v>
          </cell>
          <cell r="R18">
            <v>0</v>
          </cell>
          <cell r="S18">
            <v>53335.919081491324</v>
          </cell>
          <cell r="T18">
            <v>9694.6502732240442</v>
          </cell>
          <cell r="U18">
            <v>111141.20400652227</v>
          </cell>
          <cell r="V18">
            <v>838.35832089481244</v>
          </cell>
          <cell r="W18">
            <v>0</v>
          </cell>
          <cell r="X18">
            <v>121674.21260064113</v>
          </cell>
          <cell r="Y18">
            <v>45516</v>
          </cell>
          <cell r="Z18">
            <v>0</v>
          </cell>
          <cell r="AA18">
            <v>0</v>
          </cell>
          <cell r="AB18">
            <v>1520.8081974533902</v>
          </cell>
          <cell r="AC18">
            <v>47036.808197453392</v>
          </cell>
          <cell r="AD18" t="str">
            <v>N/A</v>
          </cell>
          <cell r="AE18">
            <v>14970</v>
          </cell>
          <cell r="AF18">
            <v>14970</v>
          </cell>
          <cell r="AG18">
            <v>14970</v>
          </cell>
          <cell r="AH18">
            <v>14970</v>
          </cell>
          <cell r="AI18">
            <v>14760</v>
          </cell>
          <cell r="AJ18">
            <v>0</v>
          </cell>
          <cell r="AK18">
            <v>74640</v>
          </cell>
          <cell r="AL18">
            <v>559364</v>
          </cell>
          <cell r="AM18">
            <v>53335.919081491324</v>
          </cell>
          <cell r="AN18">
            <v>-25039.650273224044</v>
          </cell>
          <cell r="AO18">
            <v>110458.75412996369</v>
          </cell>
          <cell r="AP18">
            <v>0</v>
          </cell>
          <cell r="AQ18">
            <v>-35821.349726775952</v>
          </cell>
          <cell r="AR18">
            <v>0</v>
          </cell>
          <cell r="AS18">
            <v>0</v>
          </cell>
          <cell r="AT18">
            <v>662297.67321145511</v>
          </cell>
          <cell r="AU18">
            <v>1.6871427572934688E-5</v>
          </cell>
          <cell r="AV18">
            <v>0</v>
          </cell>
          <cell r="AW18">
            <v>0</v>
          </cell>
          <cell r="AY18">
            <v>0</v>
          </cell>
          <cell r="AZ18">
            <v>0</v>
          </cell>
          <cell r="BA18">
            <v>0</v>
          </cell>
          <cell r="BB18">
            <v>0</v>
          </cell>
          <cell r="BC18">
            <v>0</v>
          </cell>
          <cell r="BD18">
            <v>0</v>
          </cell>
          <cell r="BE18">
            <v>0</v>
          </cell>
          <cell r="BF18">
            <v>0</v>
          </cell>
          <cell r="BG18">
            <v>0</v>
          </cell>
          <cell r="BH18">
            <v>0</v>
          </cell>
          <cell r="BJ18">
            <v>0</v>
          </cell>
          <cell r="BL18">
            <v>0</v>
          </cell>
          <cell r="BM18">
            <v>0</v>
          </cell>
          <cell r="BN18">
            <v>0</v>
          </cell>
          <cell r="BO18">
            <v>0</v>
          </cell>
          <cell r="BQ18">
            <v>0</v>
          </cell>
          <cell r="BR18">
            <v>0</v>
          </cell>
          <cell r="BS18">
            <v>0</v>
          </cell>
          <cell r="BT18">
            <v>0</v>
          </cell>
          <cell r="CB18">
            <v>0</v>
          </cell>
          <cell r="CC18">
            <v>0</v>
          </cell>
          <cell r="CD18">
            <v>0</v>
          </cell>
          <cell r="CE18">
            <v>0</v>
          </cell>
          <cell r="CF18">
            <v>0</v>
          </cell>
          <cell r="CI18">
            <v>0</v>
          </cell>
          <cell r="CJ18">
            <v>0</v>
          </cell>
          <cell r="CK18">
            <v>0</v>
          </cell>
          <cell r="CV18">
            <v>1.522404319666764E-5</v>
          </cell>
          <cell r="DG18">
            <v>662298</v>
          </cell>
          <cell r="DR18">
            <v>413152.68</v>
          </cell>
          <cell r="EC18">
            <v>1.6030345004660262</v>
          </cell>
          <cell r="EN18">
            <v>2.4095909012463064E-2</v>
          </cell>
        </row>
        <row r="19">
          <cell r="B19" t="str">
            <v>SEAA</v>
          </cell>
          <cell r="C19" t="str">
            <v>State Education Assistance Authority (subset of UNC General Administration)</v>
          </cell>
          <cell r="D19">
            <v>9.683277732053869E-5</v>
          </cell>
          <cell r="E19">
            <v>167543.28316638697</v>
          </cell>
          <cell r="F19">
            <v>130637.34020935645</v>
          </cell>
          <cell r="G19">
            <v>-23095</v>
          </cell>
          <cell r="H19">
            <v>-46750.529368874006</v>
          </cell>
          <cell r="I19">
            <v>-1934.6251140891181</v>
          </cell>
          <cell r="J19">
            <v>141383.09146489849</v>
          </cell>
          <cell r="K19">
            <v>0</v>
          </cell>
          <cell r="L19">
            <v>-7428.5023337268731</v>
          </cell>
          <cell r="M19">
            <v>1333.0979745872887</v>
          </cell>
          <cell r="N19">
            <v>50.254274773813172</v>
          </cell>
          <cell r="O19">
            <v>-22.679204776243367</v>
          </cell>
          <cell r="P19">
            <v>0</v>
          </cell>
          <cell r="Q19">
            <v>0</v>
          </cell>
          <cell r="R19">
            <v>0</v>
          </cell>
          <cell r="S19">
            <v>361715.73106853681</v>
          </cell>
          <cell r="T19">
            <v>24352.601092896177</v>
          </cell>
          <cell r="U19">
            <v>706915.45732449251</v>
          </cell>
          <cell r="V19">
            <v>5332.3918983491549</v>
          </cell>
          <cell r="W19">
            <v>0</v>
          </cell>
          <cell r="X19">
            <v>736600.45031573786</v>
          </cell>
          <cell r="Y19">
            <v>139827</v>
          </cell>
          <cell r="Z19">
            <v>0</v>
          </cell>
          <cell r="AA19">
            <v>0</v>
          </cell>
          <cell r="AB19">
            <v>9673.1255704455907</v>
          </cell>
          <cell r="AC19">
            <v>149500.12557044558</v>
          </cell>
          <cell r="AD19" t="str">
            <v>N/A</v>
          </cell>
          <cell r="AE19">
            <v>117688</v>
          </cell>
          <cell r="AF19">
            <v>117686</v>
          </cell>
          <cell r="AG19">
            <v>117686</v>
          </cell>
          <cell r="AH19">
            <v>117686</v>
          </cell>
          <cell r="AI19">
            <v>116352</v>
          </cell>
          <cell r="AJ19">
            <v>0</v>
          </cell>
          <cell r="AK19">
            <v>587098</v>
          </cell>
          <cell r="AL19">
            <v>3378234</v>
          </cell>
          <cell r="AM19">
            <v>361715.73106853681</v>
          </cell>
          <cell r="AN19">
            <v>-114494.60109289618</v>
          </cell>
          <cell r="AO19">
            <v>702574.72365239612</v>
          </cell>
          <cell r="AP19">
            <v>0</v>
          </cell>
          <cell r="AQ19">
            <v>-115474.39890710382</v>
          </cell>
          <cell r="AR19">
            <v>0</v>
          </cell>
          <cell r="AS19">
            <v>0</v>
          </cell>
          <cell r="AT19">
            <v>4212555.454720933</v>
          </cell>
          <cell r="AU19">
            <v>1.0189371226110923E-4</v>
          </cell>
          <cell r="AV19">
            <v>0</v>
          </cell>
          <cell r="AW19">
            <v>0</v>
          </cell>
          <cell r="AY19">
            <v>0</v>
          </cell>
          <cell r="AZ19">
            <v>0</v>
          </cell>
          <cell r="BA19">
            <v>0</v>
          </cell>
          <cell r="BB19">
            <v>0</v>
          </cell>
          <cell r="BC19">
            <v>0</v>
          </cell>
          <cell r="BD19">
            <v>0</v>
          </cell>
          <cell r="BE19">
            <v>0</v>
          </cell>
          <cell r="BF19">
            <v>0</v>
          </cell>
          <cell r="BG19">
            <v>0</v>
          </cell>
          <cell r="BH19">
            <v>0</v>
          </cell>
          <cell r="BJ19">
            <v>0</v>
          </cell>
          <cell r="BL19">
            <v>0</v>
          </cell>
          <cell r="BM19">
            <v>0</v>
          </cell>
          <cell r="BN19">
            <v>0</v>
          </cell>
          <cell r="BO19">
            <v>0</v>
          </cell>
          <cell r="BQ19">
            <v>0</v>
          </cell>
          <cell r="BR19">
            <v>0</v>
          </cell>
          <cell r="BS19">
            <v>0</v>
          </cell>
          <cell r="BT19">
            <v>0</v>
          </cell>
          <cell r="CB19">
            <v>0</v>
          </cell>
          <cell r="CC19">
            <v>0</v>
          </cell>
          <cell r="CD19">
            <v>0</v>
          </cell>
          <cell r="CE19">
            <v>0</v>
          </cell>
          <cell r="CF19">
            <v>0</v>
          </cell>
          <cell r="CI19">
            <v>0</v>
          </cell>
          <cell r="CJ19">
            <v>0</v>
          </cell>
          <cell r="CK19">
            <v>0</v>
          </cell>
          <cell r="CV19">
            <v>9.683277732053869E-5</v>
          </cell>
          <cell r="DG19">
            <v>4212555</v>
          </cell>
          <cell r="DR19">
            <v>1806684.4100000004</v>
          </cell>
          <cell r="EC19">
            <v>2.3316496100168371</v>
          </cell>
          <cell r="EN19">
            <v>2.4095909012463064E-2</v>
          </cell>
        </row>
        <row r="20">
          <cell r="B20" t="str">
            <v>SHP</v>
          </cell>
          <cell r="C20" t="str">
            <v>State Health Plan (subset of Department of Treasurer)</v>
          </cell>
          <cell r="D20">
            <v>1.2782000866170282E-4</v>
          </cell>
          <cell r="E20">
            <v>221158.41864834551</v>
          </cell>
          <cell r="F20">
            <v>172442.29091795365</v>
          </cell>
          <cell r="G20">
            <v>115</v>
          </cell>
          <cell r="H20">
            <v>-61711.057290940706</v>
          </cell>
          <cell r="I20">
            <v>-2553.7199869983365</v>
          </cell>
          <cell r="J20">
            <v>186626.76498310638</v>
          </cell>
          <cell r="K20">
            <v>0</v>
          </cell>
          <cell r="L20">
            <v>-9805.6800487850178</v>
          </cell>
          <cell r="M20">
            <v>1759.6995498186934</v>
          </cell>
          <cell r="N20">
            <v>66.336028095250526</v>
          </cell>
          <cell r="O20">
            <v>-29.936724228657418</v>
          </cell>
          <cell r="P20">
            <v>0</v>
          </cell>
          <cell r="Q20">
            <v>0</v>
          </cell>
          <cell r="R20">
            <v>0</v>
          </cell>
          <cell r="S20">
            <v>508068.1160763668</v>
          </cell>
          <cell r="T20">
            <v>34436.103825136641</v>
          </cell>
          <cell r="U20">
            <v>933133.82491553191</v>
          </cell>
          <cell r="V20">
            <v>7038.7981992747737</v>
          </cell>
          <cell r="W20">
            <v>0</v>
          </cell>
          <cell r="X20">
            <v>974608.72693994339</v>
          </cell>
          <cell r="Y20">
            <v>33862</v>
          </cell>
          <cell r="Z20">
            <v>0</v>
          </cell>
          <cell r="AA20">
            <v>0</v>
          </cell>
          <cell r="AB20">
            <v>12768.599934991682</v>
          </cell>
          <cell r="AC20">
            <v>46630.599934991682</v>
          </cell>
          <cell r="AD20" t="str">
            <v>N/A</v>
          </cell>
          <cell r="AE20">
            <v>185948</v>
          </cell>
          <cell r="AF20">
            <v>185947</v>
          </cell>
          <cell r="AG20">
            <v>185947</v>
          </cell>
          <cell r="AH20">
            <v>185947</v>
          </cell>
          <cell r="AI20">
            <v>184187</v>
          </cell>
          <cell r="AJ20">
            <v>0</v>
          </cell>
          <cell r="AK20">
            <v>927976</v>
          </cell>
          <cell r="AL20">
            <v>4278442</v>
          </cell>
          <cell r="AM20">
            <v>508068.1160763668</v>
          </cell>
          <cell r="AN20">
            <v>-153883.10382513664</v>
          </cell>
          <cell r="AO20">
            <v>927404.02317981503</v>
          </cell>
          <cell r="AP20">
            <v>0</v>
          </cell>
          <cell r="AQ20">
            <v>574.10382513664081</v>
          </cell>
          <cell r="AR20">
            <v>0</v>
          </cell>
          <cell r="AS20">
            <v>0</v>
          </cell>
          <cell r="AT20">
            <v>5560605.1392561821</v>
          </cell>
          <cell r="AU20">
            <v>1.2904562970872618E-4</v>
          </cell>
          <cell r="AV20">
            <v>0</v>
          </cell>
          <cell r="AW20">
            <v>0</v>
          </cell>
          <cell r="AY20">
            <v>0</v>
          </cell>
          <cell r="AZ20">
            <v>0</v>
          </cell>
          <cell r="BA20">
            <v>0</v>
          </cell>
          <cell r="BB20">
            <v>0</v>
          </cell>
          <cell r="BC20">
            <v>0</v>
          </cell>
          <cell r="BD20">
            <v>0</v>
          </cell>
          <cell r="BE20">
            <v>0</v>
          </cell>
          <cell r="BF20">
            <v>0</v>
          </cell>
          <cell r="BG20">
            <v>0</v>
          </cell>
          <cell r="BH20">
            <v>0</v>
          </cell>
          <cell r="BJ20">
            <v>0</v>
          </cell>
          <cell r="BL20">
            <v>0</v>
          </cell>
          <cell r="BM20">
            <v>0</v>
          </cell>
          <cell r="BN20">
            <v>0</v>
          </cell>
          <cell r="BO20">
            <v>0</v>
          </cell>
          <cell r="BQ20">
            <v>0</v>
          </cell>
          <cell r="BR20">
            <v>0</v>
          </cell>
          <cell r="BS20">
            <v>0</v>
          </cell>
          <cell r="BT20">
            <v>0</v>
          </cell>
          <cell r="CB20">
            <v>0</v>
          </cell>
          <cell r="CC20">
            <v>0</v>
          </cell>
          <cell r="CD20">
            <v>0</v>
          </cell>
          <cell r="CE20">
            <v>0</v>
          </cell>
          <cell r="CF20">
            <v>0</v>
          </cell>
          <cell r="CI20">
            <v>0</v>
          </cell>
          <cell r="CJ20">
            <v>0</v>
          </cell>
          <cell r="CK20">
            <v>0</v>
          </cell>
          <cell r="CV20">
            <v>1.2782000866170282E-4</v>
          </cell>
          <cell r="DG20">
            <v>5560605</v>
          </cell>
          <cell r="DR20">
            <v>2028909.9300000002</v>
          </cell>
          <cell r="EC20">
            <v>2.740685980081925</v>
          </cell>
          <cell r="EN20">
            <v>2.4095909012463064E-2</v>
          </cell>
        </row>
        <row r="21">
          <cell r="B21">
            <v>10400</v>
          </cell>
          <cell r="C21" t="str">
            <v>Department Of Justice</v>
          </cell>
          <cell r="D21">
            <v>2.7120260227884259E-3</v>
          </cell>
          <cell r="E21">
            <v>4692437.3798196847</v>
          </cell>
          <cell r="F21">
            <v>3658801.0382357636</v>
          </cell>
          <cell r="G21">
            <v>-97610</v>
          </cell>
          <cell r="H21">
            <v>-1309356.7667466705</v>
          </cell>
          <cell r="I21">
            <v>-54183.653499700398</v>
          </cell>
          <cell r="J21">
            <v>3959760.6703546713</v>
          </cell>
          <cell r="K21">
            <v>0</v>
          </cell>
          <cell r="L21">
            <v>-208052.39916565636</v>
          </cell>
          <cell r="M21">
            <v>37336.49388201972</v>
          </cell>
          <cell r="N21">
            <v>1407.4872653067373</v>
          </cell>
          <cell r="O21">
            <v>-635.18361479727719</v>
          </cell>
          <cell r="P21">
            <v>0</v>
          </cell>
          <cell r="Q21">
            <v>0</v>
          </cell>
          <cell r="R21">
            <v>0</v>
          </cell>
          <cell r="S21">
            <v>10679905.066530623</v>
          </cell>
          <cell r="T21">
            <v>270493.90999999922</v>
          </cell>
          <cell r="U21">
            <v>19798803.351773355</v>
          </cell>
          <cell r="V21">
            <v>149345.97552807888</v>
          </cell>
          <cell r="W21">
            <v>0</v>
          </cell>
          <cell r="X21">
            <v>20218643.237301435</v>
          </cell>
          <cell r="Y21">
            <v>758542</v>
          </cell>
          <cell r="Z21">
            <v>0</v>
          </cell>
          <cell r="AA21">
            <v>0</v>
          </cell>
          <cell r="AB21">
            <v>270918.26749850198</v>
          </cell>
          <cell r="AC21">
            <v>1029460.267498502</v>
          </cell>
          <cell r="AD21" t="str">
            <v>N/A</v>
          </cell>
          <cell r="AE21">
            <v>3845305</v>
          </cell>
          <cell r="AF21">
            <v>3845304</v>
          </cell>
          <cell r="AG21">
            <v>3845304</v>
          </cell>
          <cell r="AH21">
            <v>3845304</v>
          </cell>
          <cell r="AI21">
            <v>3807967</v>
          </cell>
          <cell r="AJ21">
            <v>0</v>
          </cell>
          <cell r="AK21">
            <v>19189184</v>
          </cell>
          <cell r="AL21">
            <v>90826099</v>
          </cell>
          <cell r="AM21">
            <v>10679905.066530623</v>
          </cell>
          <cell r="AN21">
            <v>-2712836.9099999992</v>
          </cell>
          <cell r="AO21">
            <v>19677231.059802935</v>
          </cell>
          <cell r="AP21">
            <v>0</v>
          </cell>
          <cell r="AQ21">
            <v>-488048.09000000078</v>
          </cell>
          <cell r="AR21">
            <v>0</v>
          </cell>
          <cell r="AS21">
            <v>0</v>
          </cell>
          <cell r="AT21">
            <v>117982350.12633355</v>
          </cell>
          <cell r="AU21">
            <v>2.7394808535894772E-3</v>
          </cell>
          <cell r="AV21">
            <v>0</v>
          </cell>
          <cell r="AW21">
            <v>0</v>
          </cell>
          <cell r="AY21">
            <v>0</v>
          </cell>
          <cell r="AZ21">
            <v>0</v>
          </cell>
          <cell r="BA21">
            <v>0</v>
          </cell>
          <cell r="BB21">
            <v>0</v>
          </cell>
          <cell r="BC21">
            <v>0</v>
          </cell>
          <cell r="BD21">
            <v>0</v>
          </cell>
          <cell r="BE21">
            <v>0</v>
          </cell>
          <cell r="BF21">
            <v>0</v>
          </cell>
          <cell r="BG21">
            <v>0</v>
          </cell>
          <cell r="BH21">
            <v>0</v>
          </cell>
          <cell r="BJ21">
            <v>0</v>
          </cell>
          <cell r="BL21">
            <v>0</v>
          </cell>
          <cell r="BM21">
            <v>0</v>
          </cell>
          <cell r="BN21">
            <v>0</v>
          </cell>
          <cell r="BO21">
            <v>0</v>
          </cell>
          <cell r="BQ21">
            <v>0</v>
          </cell>
          <cell r="BR21">
            <v>0</v>
          </cell>
          <cell r="BS21">
            <v>0</v>
          </cell>
          <cell r="BT21">
            <v>0</v>
          </cell>
          <cell r="CB21">
            <v>0</v>
          </cell>
          <cell r="CC21">
            <v>0</v>
          </cell>
          <cell r="CD21">
            <v>0</v>
          </cell>
          <cell r="CE21">
            <v>0</v>
          </cell>
          <cell r="CF21">
            <v>0</v>
          </cell>
          <cell r="CI21">
            <v>0</v>
          </cell>
          <cell r="CJ21">
            <v>0</v>
          </cell>
          <cell r="CK21">
            <v>0</v>
          </cell>
          <cell r="CV21">
            <v>2.7120260227884259E-3</v>
          </cell>
          <cell r="DG21">
            <v>117982350</v>
          </cell>
          <cell r="DR21">
            <v>46652416.75000006</v>
          </cell>
          <cell r="EC21">
            <v>2.528965447433114</v>
          </cell>
          <cell r="EN21">
            <v>2.4095909012463064E-2</v>
          </cell>
        </row>
        <row r="22">
          <cell r="B22">
            <v>10500</v>
          </cell>
          <cell r="C22" t="str">
            <v>State Auditor</v>
          </cell>
          <cell r="D22">
            <v>6.1190789513673456E-4</v>
          </cell>
          <cell r="E22">
            <v>1058743.3365385518</v>
          </cell>
          <cell r="F22">
            <v>825526.46000388521</v>
          </cell>
          <cell r="G22">
            <v>-115823</v>
          </cell>
          <cell r="H22">
            <v>-295427.01153701288</v>
          </cell>
          <cell r="I22">
            <v>-12225.327148494842</v>
          </cell>
          <cell r="J22">
            <v>893431.25644151645</v>
          </cell>
          <cell r="K22">
            <v>0</v>
          </cell>
          <cell r="L22">
            <v>-46942.361386602483</v>
          </cell>
          <cell r="M22">
            <v>8424.1431281113419</v>
          </cell>
          <cell r="N22">
            <v>317.56795941806251</v>
          </cell>
          <cell r="O22">
            <v>-143.31494811997459</v>
          </cell>
          <cell r="P22">
            <v>0</v>
          </cell>
          <cell r="Q22">
            <v>0</v>
          </cell>
          <cell r="R22">
            <v>0</v>
          </cell>
          <cell r="S22">
            <v>2315881.7490512528</v>
          </cell>
          <cell r="T22">
            <v>47831.930000000051</v>
          </cell>
          <cell r="U22">
            <v>4467156.2822075821</v>
          </cell>
          <cell r="V22">
            <v>33696.572512445367</v>
          </cell>
          <cell r="W22">
            <v>0</v>
          </cell>
          <cell r="X22">
            <v>4548684.7847200269</v>
          </cell>
          <cell r="Y22">
            <v>626945</v>
          </cell>
          <cell r="Z22">
            <v>0</v>
          </cell>
          <cell r="AA22">
            <v>0</v>
          </cell>
          <cell r="AB22">
            <v>61126.635742474202</v>
          </cell>
          <cell r="AC22">
            <v>688071.63574247423</v>
          </cell>
          <cell r="AD22" t="str">
            <v>N/A</v>
          </cell>
          <cell r="AE22">
            <v>773807</v>
          </cell>
          <cell r="AF22">
            <v>773807</v>
          </cell>
          <cell r="AG22">
            <v>773807</v>
          </cell>
          <cell r="AH22">
            <v>773807</v>
          </cell>
          <cell r="AI22">
            <v>765383</v>
          </cell>
          <cell r="AJ22">
            <v>0</v>
          </cell>
          <cell r="AK22">
            <v>3860611</v>
          </cell>
          <cell r="AL22">
            <v>21039830</v>
          </cell>
          <cell r="AM22">
            <v>2315881.7490512528</v>
          </cell>
          <cell r="AN22">
            <v>-596251.93000000005</v>
          </cell>
          <cell r="AO22">
            <v>4439726.2189775538</v>
          </cell>
          <cell r="AP22">
            <v>0</v>
          </cell>
          <cell r="AQ22">
            <v>-579113.06999999995</v>
          </cell>
          <cell r="AR22">
            <v>0</v>
          </cell>
          <cell r="AS22">
            <v>0</v>
          </cell>
          <cell r="AT22">
            <v>26620072.968028806</v>
          </cell>
          <cell r="AU22">
            <v>6.3459966366926637E-4</v>
          </cell>
          <cell r="AV22">
            <v>0</v>
          </cell>
          <cell r="AW22">
            <v>0</v>
          </cell>
          <cell r="AY22">
            <v>0</v>
          </cell>
          <cell r="AZ22">
            <v>0</v>
          </cell>
          <cell r="BA22">
            <v>0</v>
          </cell>
          <cell r="BB22">
            <v>0</v>
          </cell>
          <cell r="BC22">
            <v>0</v>
          </cell>
          <cell r="BD22">
            <v>0</v>
          </cell>
          <cell r="BE22">
            <v>0</v>
          </cell>
          <cell r="BF22">
            <v>0</v>
          </cell>
          <cell r="BG22">
            <v>0</v>
          </cell>
          <cell r="BH22">
            <v>0</v>
          </cell>
          <cell r="BJ22">
            <v>0</v>
          </cell>
          <cell r="BL22">
            <v>0</v>
          </cell>
          <cell r="BM22">
            <v>0</v>
          </cell>
          <cell r="BN22">
            <v>0</v>
          </cell>
          <cell r="BO22">
            <v>0</v>
          </cell>
          <cell r="BQ22">
            <v>0</v>
          </cell>
          <cell r="BR22">
            <v>0</v>
          </cell>
          <cell r="BS22">
            <v>0</v>
          </cell>
          <cell r="BT22">
            <v>0</v>
          </cell>
          <cell r="CB22">
            <v>0</v>
          </cell>
          <cell r="CC22">
            <v>0</v>
          </cell>
          <cell r="CD22">
            <v>0</v>
          </cell>
          <cell r="CE22">
            <v>0</v>
          </cell>
          <cell r="CF22">
            <v>0</v>
          </cell>
          <cell r="CI22">
            <v>0</v>
          </cell>
          <cell r="CJ22">
            <v>0</v>
          </cell>
          <cell r="CK22">
            <v>0</v>
          </cell>
          <cell r="CV22">
            <v>6.1190789513673456E-4</v>
          </cell>
          <cell r="DG22">
            <v>26620073</v>
          </cell>
          <cell r="DR22">
            <v>9868361.1599999983</v>
          </cell>
          <cell r="EC22">
            <v>2.6975171022216626</v>
          </cell>
          <cell r="EN22">
            <v>2.4095909012463064E-2</v>
          </cell>
        </row>
        <row r="23">
          <cell r="B23">
            <v>10700</v>
          </cell>
          <cell r="C23" t="str">
            <v>Department Of Cultural Resources</v>
          </cell>
          <cell r="D23">
            <v>3.7215068930898806E-3</v>
          </cell>
          <cell r="E23">
            <v>6439074.665086248</v>
          </cell>
          <cell r="F23">
            <v>5020694.1857582079</v>
          </cell>
          <cell r="G23">
            <v>11728570</v>
          </cell>
          <cell r="H23">
            <v>-1796730.6331196493</v>
          </cell>
          <cell r="I23">
            <v>-74352.103666248498</v>
          </cell>
          <cell r="J23">
            <v>5433678.1822468303</v>
          </cell>
          <cell r="K23">
            <v>0</v>
          </cell>
          <cell r="L23">
            <v>-285494.47207103024</v>
          </cell>
          <cell r="M23">
            <v>51234.028795521008</v>
          </cell>
          <cell r="N23">
            <v>1931.3876473757862</v>
          </cell>
          <cell r="O23">
            <v>-871.61412943058087</v>
          </cell>
          <cell r="P23">
            <v>0</v>
          </cell>
          <cell r="Q23">
            <v>0</v>
          </cell>
          <cell r="R23">
            <v>0</v>
          </cell>
          <cell r="S23">
            <v>26517733.626547825</v>
          </cell>
          <cell r="T23">
            <v>58642846.25</v>
          </cell>
          <cell r="U23">
            <v>27168390.911234155</v>
          </cell>
          <cell r="V23">
            <v>204936.11518208403</v>
          </cell>
          <cell r="W23">
            <v>0</v>
          </cell>
          <cell r="X23">
            <v>86016173.276416242</v>
          </cell>
          <cell r="Y23">
            <v>0</v>
          </cell>
          <cell r="Z23">
            <v>0</v>
          </cell>
          <cell r="AA23">
            <v>0</v>
          </cell>
          <cell r="AB23">
            <v>371760.51833124249</v>
          </cell>
          <cell r="AC23">
            <v>371760.51833124249</v>
          </cell>
          <cell r="AD23" t="str">
            <v>N/A</v>
          </cell>
          <cell r="AE23">
            <v>17139130</v>
          </cell>
          <cell r="AF23">
            <v>17139130</v>
          </cell>
          <cell r="AG23">
            <v>17139130</v>
          </cell>
          <cell r="AH23">
            <v>17139130</v>
          </cell>
          <cell r="AI23">
            <v>17087896</v>
          </cell>
          <cell r="AJ23">
            <v>0</v>
          </cell>
          <cell r="AK23">
            <v>85644416</v>
          </cell>
          <cell r="AL23">
            <v>53077697</v>
          </cell>
          <cell r="AM23">
            <v>26517733.626547825</v>
          </cell>
          <cell r="AN23">
            <v>-3341643.25</v>
          </cell>
          <cell r="AO23">
            <v>27001566.508084998</v>
          </cell>
          <cell r="AP23">
            <v>0</v>
          </cell>
          <cell r="AQ23">
            <v>58642846.25</v>
          </cell>
          <cell r="AR23">
            <v>0</v>
          </cell>
          <cell r="AS23">
            <v>0</v>
          </cell>
          <cell r="AT23">
            <v>161898200.13463283</v>
          </cell>
          <cell r="AU23">
            <v>1.6009201690367701E-3</v>
          </cell>
          <cell r="AV23">
            <v>0</v>
          </cell>
          <cell r="AW23">
            <v>0</v>
          </cell>
          <cell r="AY23">
            <v>0</v>
          </cell>
          <cell r="AZ23">
            <v>0</v>
          </cell>
          <cell r="BA23">
            <v>0</v>
          </cell>
          <cell r="BB23">
            <v>0</v>
          </cell>
          <cell r="BC23">
            <v>0</v>
          </cell>
          <cell r="BD23">
            <v>0</v>
          </cell>
          <cell r="BE23">
            <v>0</v>
          </cell>
          <cell r="BF23">
            <v>0</v>
          </cell>
          <cell r="BG23">
            <v>0</v>
          </cell>
          <cell r="BH23">
            <v>0</v>
          </cell>
          <cell r="BJ23">
            <v>0</v>
          </cell>
          <cell r="BL23">
            <v>0</v>
          </cell>
          <cell r="BM23">
            <v>0</v>
          </cell>
          <cell r="BN23">
            <v>0</v>
          </cell>
          <cell r="BO23">
            <v>0</v>
          </cell>
          <cell r="BQ23">
            <v>0</v>
          </cell>
          <cell r="BR23">
            <v>0</v>
          </cell>
          <cell r="BS23">
            <v>0</v>
          </cell>
          <cell r="BT23">
            <v>0</v>
          </cell>
          <cell r="CB23">
            <v>0</v>
          </cell>
          <cell r="CC23">
            <v>0</v>
          </cell>
          <cell r="CD23">
            <v>0</v>
          </cell>
          <cell r="CE23">
            <v>0</v>
          </cell>
          <cell r="CF23">
            <v>0</v>
          </cell>
          <cell r="CI23">
            <v>0</v>
          </cell>
          <cell r="CJ23">
            <v>0</v>
          </cell>
          <cell r="CK23">
            <v>0</v>
          </cell>
          <cell r="CV23">
            <v>3.7215068930898806E-3</v>
          </cell>
          <cell r="DG23">
            <v>161898199</v>
          </cell>
          <cell r="DR23">
            <v>66506369.379999906</v>
          </cell>
          <cell r="EC23">
            <v>2.4343262233269156</v>
          </cell>
          <cell r="EN23">
            <v>2.4095909012463064E-2</v>
          </cell>
        </row>
        <row r="24">
          <cell r="B24">
            <v>10800</v>
          </cell>
          <cell r="C24" t="str">
            <v>Administrative Office Of The Courts</v>
          </cell>
          <cell r="D24">
            <v>1.6267906522251418E-2</v>
          </cell>
          <cell r="E24">
            <v>28147271.454990841</v>
          </cell>
          <cell r="F24">
            <v>21947073.063973792</v>
          </cell>
          <cell r="G24">
            <v>-2995686</v>
          </cell>
          <cell r="H24">
            <v>-7854088.9013342299</v>
          </cell>
          <cell r="I24">
            <v>-325017.01781640766</v>
          </cell>
          <cell r="J24">
            <v>23752359.267403234</v>
          </cell>
          <cell r="K24">
            <v>0</v>
          </cell>
          <cell r="L24">
            <v>-1247988.3868802681</v>
          </cell>
          <cell r="M24">
            <v>223960.45880002715</v>
          </cell>
          <cell r="N24">
            <v>8442.7181269180401</v>
          </cell>
          <cell r="O24">
            <v>-3810.1063865765045</v>
          </cell>
          <cell r="P24">
            <v>0</v>
          </cell>
          <cell r="Q24">
            <v>0</v>
          </cell>
          <cell r="R24">
            <v>0</v>
          </cell>
          <cell r="S24">
            <v>61652516.550877318</v>
          </cell>
          <cell r="T24">
            <v>1438207.3900000006</v>
          </cell>
          <cell r="U24">
            <v>118761796.33701618</v>
          </cell>
          <cell r="V24">
            <v>895841.83520010859</v>
          </cell>
          <cell r="W24">
            <v>0</v>
          </cell>
          <cell r="X24">
            <v>121095845.56221628</v>
          </cell>
          <cell r="Y24">
            <v>16416636</v>
          </cell>
          <cell r="Z24">
            <v>0</v>
          </cell>
          <cell r="AA24">
            <v>0</v>
          </cell>
          <cell r="AB24">
            <v>1625085.089082038</v>
          </cell>
          <cell r="AC24">
            <v>18041721.08908204</v>
          </cell>
          <cell r="AD24" t="str">
            <v>N/A</v>
          </cell>
          <cell r="AE24">
            <v>20655617</v>
          </cell>
          <cell r="AF24">
            <v>20655618</v>
          </cell>
          <cell r="AG24">
            <v>20655618</v>
          </cell>
          <cell r="AH24">
            <v>20655618</v>
          </cell>
          <cell r="AI24">
            <v>20431657</v>
          </cell>
          <cell r="AJ24">
            <v>0</v>
          </cell>
          <cell r="AK24">
            <v>103054128</v>
          </cell>
          <cell r="AL24">
            <v>559054158</v>
          </cell>
          <cell r="AM24">
            <v>61652516.550877318</v>
          </cell>
          <cell r="AN24">
            <v>-16051570.390000001</v>
          </cell>
          <cell r="AO24">
            <v>118032553.08313426</v>
          </cell>
          <cell r="AP24">
            <v>0</v>
          </cell>
          <cell r="AQ24">
            <v>-14978428.609999999</v>
          </cell>
          <cell r="AR24">
            <v>0</v>
          </cell>
          <cell r="AS24">
            <v>0</v>
          </cell>
          <cell r="AT24">
            <v>707709228.63401163</v>
          </cell>
          <cell r="AU24">
            <v>1.6862093375012675E-2</v>
          </cell>
          <cell r="AV24">
            <v>0</v>
          </cell>
          <cell r="AW24">
            <v>0</v>
          </cell>
          <cell r="AY24">
            <v>0</v>
          </cell>
          <cell r="AZ24">
            <v>0</v>
          </cell>
          <cell r="BA24">
            <v>0</v>
          </cell>
          <cell r="BB24">
            <v>0</v>
          </cell>
          <cell r="BC24">
            <v>0</v>
          </cell>
          <cell r="BD24">
            <v>0</v>
          </cell>
          <cell r="BE24">
            <v>0</v>
          </cell>
          <cell r="BF24">
            <v>0</v>
          </cell>
          <cell r="BG24">
            <v>0</v>
          </cell>
          <cell r="BH24">
            <v>0</v>
          </cell>
          <cell r="BJ24">
            <v>0</v>
          </cell>
          <cell r="BL24">
            <v>0</v>
          </cell>
          <cell r="BM24">
            <v>0</v>
          </cell>
          <cell r="BN24">
            <v>0</v>
          </cell>
          <cell r="BO24">
            <v>0</v>
          </cell>
          <cell r="BQ24">
            <v>0</v>
          </cell>
          <cell r="BR24">
            <v>0</v>
          </cell>
          <cell r="BS24">
            <v>0</v>
          </cell>
          <cell r="BT24">
            <v>0</v>
          </cell>
          <cell r="CB24">
            <v>0</v>
          </cell>
          <cell r="CC24">
            <v>0</v>
          </cell>
          <cell r="CD24">
            <v>0</v>
          </cell>
          <cell r="CE24">
            <v>0</v>
          </cell>
          <cell r="CF24">
            <v>0</v>
          </cell>
          <cell r="CI24">
            <v>0</v>
          </cell>
          <cell r="CJ24">
            <v>0</v>
          </cell>
          <cell r="CK24">
            <v>0</v>
          </cell>
          <cell r="CV24">
            <v>1.6267906522251418E-2</v>
          </cell>
          <cell r="DG24">
            <v>707709228</v>
          </cell>
          <cell r="DR24">
            <v>276869699.74999952</v>
          </cell>
          <cell r="EC24">
            <v>2.5561093490512996</v>
          </cell>
          <cell r="EN24">
            <v>2.4095909012463064E-2</v>
          </cell>
        </row>
        <row r="25">
          <cell r="B25">
            <v>10850</v>
          </cell>
          <cell r="C25" t="str">
            <v>Office Of Administrative Hearing</v>
          </cell>
          <cell r="D25">
            <v>1.1583666001428394E-4</v>
          </cell>
          <cell r="E25">
            <v>200424.43134289008</v>
          </cell>
          <cell r="F25">
            <v>156275.52551662558</v>
          </cell>
          <cell r="G25">
            <v>78746</v>
          </cell>
          <cell r="H25">
            <v>-55925.538085763619</v>
          </cell>
          <cell r="I25">
            <v>-2314.3042861820682</v>
          </cell>
          <cell r="J25">
            <v>169130.18040962607</v>
          </cell>
          <cell r="K25">
            <v>0</v>
          </cell>
          <cell r="L25">
            <v>-8886.3804494505603</v>
          </cell>
          <cell r="M25">
            <v>1594.7246492458576</v>
          </cell>
          <cell r="N25">
            <v>60.116909814213081</v>
          </cell>
          <cell r="O25">
            <v>-27.130104141945441</v>
          </cell>
          <cell r="P25">
            <v>0</v>
          </cell>
          <cell r="Q25">
            <v>0</v>
          </cell>
          <cell r="R25">
            <v>0</v>
          </cell>
          <cell r="S25">
            <v>539077.62590266357</v>
          </cell>
          <cell r="T25">
            <v>393724.12</v>
          </cell>
          <cell r="U25">
            <v>845650.9020481304</v>
          </cell>
          <cell r="V25">
            <v>6378.8985969834303</v>
          </cell>
          <cell r="W25">
            <v>0</v>
          </cell>
          <cell r="X25">
            <v>1245753.9206451138</v>
          </cell>
          <cell r="Y25">
            <v>0</v>
          </cell>
          <cell r="Z25">
            <v>0</v>
          </cell>
          <cell r="AA25">
            <v>0</v>
          </cell>
          <cell r="AB25">
            <v>11571.521430910341</v>
          </cell>
          <cell r="AC25">
            <v>11571.521430910341</v>
          </cell>
          <cell r="AD25" t="str">
            <v>N/A</v>
          </cell>
          <cell r="AE25">
            <v>247155</v>
          </cell>
          <cell r="AF25">
            <v>247157</v>
          </cell>
          <cell r="AG25">
            <v>247157</v>
          </cell>
          <cell r="AH25">
            <v>247157</v>
          </cell>
          <cell r="AI25">
            <v>245562</v>
          </cell>
          <cell r="AJ25">
            <v>0</v>
          </cell>
          <cell r="AK25">
            <v>1234188</v>
          </cell>
          <cell r="AL25">
            <v>3430193</v>
          </cell>
          <cell r="AM25">
            <v>539077.62590266357</v>
          </cell>
          <cell r="AN25">
            <v>-164164.12</v>
          </cell>
          <cell r="AO25">
            <v>840458.27921420347</v>
          </cell>
          <cell r="AP25">
            <v>0</v>
          </cell>
          <cell r="AQ25">
            <v>393724.12</v>
          </cell>
          <cell r="AR25">
            <v>0</v>
          </cell>
          <cell r="AS25">
            <v>0</v>
          </cell>
          <cell r="AT25">
            <v>5039288.9051168673</v>
          </cell>
          <cell r="AU25">
            <v>1.0346087009042805E-4</v>
          </cell>
          <cell r="AV25">
            <v>0</v>
          </cell>
          <cell r="AW25">
            <v>0</v>
          </cell>
          <cell r="AY25">
            <v>0</v>
          </cell>
          <cell r="AZ25">
            <v>0</v>
          </cell>
          <cell r="BA25">
            <v>0</v>
          </cell>
          <cell r="BB25">
            <v>0</v>
          </cell>
          <cell r="BC25">
            <v>0</v>
          </cell>
          <cell r="BD25">
            <v>0</v>
          </cell>
          <cell r="BE25">
            <v>0</v>
          </cell>
          <cell r="BF25">
            <v>0</v>
          </cell>
          <cell r="BG25">
            <v>0</v>
          </cell>
          <cell r="BH25">
            <v>0</v>
          </cell>
          <cell r="BJ25">
            <v>0</v>
          </cell>
          <cell r="BL25">
            <v>0</v>
          </cell>
          <cell r="BM25">
            <v>0</v>
          </cell>
          <cell r="BN25">
            <v>0</v>
          </cell>
          <cell r="BO25">
            <v>0</v>
          </cell>
          <cell r="BQ25">
            <v>0</v>
          </cell>
          <cell r="BR25">
            <v>0</v>
          </cell>
          <cell r="BS25">
            <v>0</v>
          </cell>
          <cell r="BT25">
            <v>0</v>
          </cell>
          <cell r="CB25">
            <v>0</v>
          </cell>
          <cell r="CC25">
            <v>0</v>
          </cell>
          <cell r="CD25">
            <v>0</v>
          </cell>
          <cell r="CE25">
            <v>0</v>
          </cell>
          <cell r="CF25">
            <v>0</v>
          </cell>
          <cell r="CI25">
            <v>0</v>
          </cell>
          <cell r="CJ25">
            <v>0</v>
          </cell>
          <cell r="CK25">
            <v>0</v>
          </cell>
          <cell r="CV25">
            <v>1.1583666001428394E-4</v>
          </cell>
          <cell r="DG25">
            <v>5039288</v>
          </cell>
          <cell r="DR25">
            <v>2828498.3000000003</v>
          </cell>
          <cell r="EC25">
            <v>1.7816125256288822</v>
          </cell>
          <cell r="EN25">
            <v>2.4095909012463064E-2</v>
          </cell>
        </row>
        <row r="26">
          <cell r="B26">
            <v>10900</v>
          </cell>
          <cell r="C26" t="str">
            <v>Department Of Administration</v>
          </cell>
          <cell r="D26">
            <v>1.5663365588164822E-3</v>
          </cell>
          <cell r="E26">
            <v>2710127.4678815971</v>
          </cell>
          <cell r="F26">
            <v>2113148.5389406481</v>
          </cell>
          <cell r="G26">
            <v>-624379</v>
          </cell>
          <cell r="H26">
            <v>-756221.86330660153</v>
          </cell>
          <cell r="I26">
            <v>-31293.887541523174</v>
          </cell>
          <cell r="J26">
            <v>2286968.4324647966</v>
          </cell>
          <cell r="K26">
            <v>0</v>
          </cell>
          <cell r="L26">
            <v>-120161.1180071152</v>
          </cell>
          <cell r="M26">
            <v>21563.773671060288</v>
          </cell>
          <cell r="N26">
            <v>812.89734729457791</v>
          </cell>
          <cell r="O26">
            <v>-366.85168544040829</v>
          </cell>
          <cell r="P26">
            <v>0</v>
          </cell>
          <cell r="Q26">
            <v>0</v>
          </cell>
          <cell r="R26">
            <v>0</v>
          </cell>
          <cell r="S26">
            <v>5600198.3897647159</v>
          </cell>
          <cell r="T26">
            <v>382617.84999999963</v>
          </cell>
          <cell r="U26">
            <v>11434842.162323983</v>
          </cell>
          <cell r="V26">
            <v>86255.09468424115</v>
          </cell>
          <cell r="W26">
            <v>0</v>
          </cell>
          <cell r="X26">
            <v>11903715.107008224</v>
          </cell>
          <cell r="Y26">
            <v>3504511</v>
          </cell>
          <cell r="Z26">
            <v>0</v>
          </cell>
          <cell r="AA26">
            <v>0</v>
          </cell>
          <cell r="AB26">
            <v>156469.43770761587</v>
          </cell>
          <cell r="AC26">
            <v>3660980.437707616</v>
          </cell>
          <cell r="AD26" t="str">
            <v>N/A</v>
          </cell>
          <cell r="AE26">
            <v>1652860</v>
          </cell>
          <cell r="AF26">
            <v>1652859</v>
          </cell>
          <cell r="AG26">
            <v>1652859</v>
          </cell>
          <cell r="AH26">
            <v>1652859</v>
          </cell>
          <cell r="AI26">
            <v>1631296</v>
          </cell>
          <cell r="AJ26">
            <v>0</v>
          </cell>
          <cell r="AK26">
            <v>8242733</v>
          </cell>
          <cell r="AL26">
            <v>56136508</v>
          </cell>
          <cell r="AM26">
            <v>5600198.3897647159</v>
          </cell>
          <cell r="AN26">
            <v>-1838476.8499999996</v>
          </cell>
          <cell r="AO26">
            <v>11364627.819300609</v>
          </cell>
          <cell r="AP26">
            <v>0</v>
          </cell>
          <cell r="AQ26">
            <v>-3121893.1500000004</v>
          </cell>
          <cell r="AR26">
            <v>0</v>
          </cell>
          <cell r="AS26">
            <v>0</v>
          </cell>
          <cell r="AT26">
            <v>68140964.209065318</v>
          </cell>
          <cell r="AU26">
            <v>1.6931795090103117E-3</v>
          </cell>
          <cell r="AV26">
            <v>0</v>
          </cell>
          <cell r="AW26">
            <v>0</v>
          </cell>
          <cell r="AY26">
            <v>0</v>
          </cell>
          <cell r="AZ26">
            <v>0</v>
          </cell>
          <cell r="BA26">
            <v>0</v>
          </cell>
          <cell r="BB26">
            <v>0</v>
          </cell>
          <cell r="BC26">
            <v>0</v>
          </cell>
          <cell r="BD26">
            <v>0</v>
          </cell>
          <cell r="BE26">
            <v>0</v>
          </cell>
          <cell r="BF26">
            <v>0</v>
          </cell>
          <cell r="BG26">
            <v>0</v>
          </cell>
          <cell r="BH26">
            <v>0</v>
          </cell>
          <cell r="BJ26">
            <v>0</v>
          </cell>
          <cell r="BL26">
            <v>0</v>
          </cell>
          <cell r="BM26">
            <v>0</v>
          </cell>
          <cell r="BN26">
            <v>0</v>
          </cell>
          <cell r="BO26">
            <v>0</v>
          </cell>
          <cell r="BQ26">
            <v>0</v>
          </cell>
          <cell r="BR26">
            <v>0</v>
          </cell>
          <cell r="BS26">
            <v>0</v>
          </cell>
          <cell r="BT26">
            <v>0</v>
          </cell>
          <cell r="CB26">
            <v>0</v>
          </cell>
          <cell r="CC26">
            <v>0</v>
          </cell>
          <cell r="CD26">
            <v>0</v>
          </cell>
          <cell r="CE26">
            <v>0</v>
          </cell>
          <cell r="CF26">
            <v>0</v>
          </cell>
          <cell r="CI26">
            <v>0</v>
          </cell>
          <cell r="CJ26">
            <v>0</v>
          </cell>
          <cell r="CK26">
            <v>0</v>
          </cell>
          <cell r="CV26">
            <v>1.5663365588164822E-3</v>
          </cell>
          <cell r="DG26">
            <v>68140964</v>
          </cell>
          <cell r="DR26">
            <v>32080362.910000026</v>
          </cell>
          <cell r="EC26">
            <v>2.1240708588978974</v>
          </cell>
          <cell r="EN26">
            <v>2.4095909012463064E-2</v>
          </cell>
        </row>
        <row r="27">
          <cell r="B27">
            <v>10910</v>
          </cell>
          <cell r="C27" t="str">
            <v>Office Of State Budget &amp; Management</v>
          </cell>
          <cell r="D27">
            <v>2.358673838756909E-4</v>
          </cell>
          <cell r="E27">
            <v>408105.57106697618</v>
          </cell>
          <cell r="F27">
            <v>318209.27297851967</v>
          </cell>
          <cell r="G27">
            <v>-167516</v>
          </cell>
          <cell r="H27">
            <v>-113875.95566466422</v>
          </cell>
          <cell r="I27">
            <v>-4712.4019063287133</v>
          </cell>
          <cell r="J27">
            <v>344384.00746985426</v>
          </cell>
          <cell r="K27">
            <v>0</v>
          </cell>
          <cell r="L27">
            <v>-18094.507459706878</v>
          </cell>
          <cell r="M27">
            <v>3247.1890243841331</v>
          </cell>
          <cell r="N27">
            <v>122.41045488380607</v>
          </cell>
          <cell r="O27">
            <v>-55.242499977525569</v>
          </cell>
          <cell r="P27">
            <v>0</v>
          </cell>
          <cell r="Q27">
            <v>0</v>
          </cell>
          <cell r="R27">
            <v>0</v>
          </cell>
          <cell r="S27">
            <v>769814.34346394066</v>
          </cell>
          <cell r="T27">
            <v>17720.609999999986</v>
          </cell>
          <cell r="U27">
            <v>1721920.0373492714</v>
          </cell>
          <cell r="V27">
            <v>12988.756097536532</v>
          </cell>
          <cell r="W27">
            <v>0</v>
          </cell>
          <cell r="X27">
            <v>1752629.403446808</v>
          </cell>
          <cell r="Y27">
            <v>855300</v>
          </cell>
          <cell r="Z27">
            <v>0</v>
          </cell>
          <cell r="AA27">
            <v>0</v>
          </cell>
          <cell r="AB27">
            <v>23562.009531643565</v>
          </cell>
          <cell r="AC27">
            <v>878862.00953164359</v>
          </cell>
          <cell r="AD27" t="str">
            <v>N/A</v>
          </cell>
          <cell r="AE27">
            <v>175403</v>
          </cell>
          <cell r="AF27">
            <v>175403</v>
          </cell>
          <cell r="AG27">
            <v>175403</v>
          </cell>
          <cell r="AH27">
            <v>175403</v>
          </cell>
          <cell r="AI27">
            <v>172156</v>
          </cell>
          <cell r="AJ27">
            <v>0</v>
          </cell>
          <cell r="AK27">
            <v>873768</v>
          </cell>
          <cell r="AL27">
            <v>8846424</v>
          </cell>
          <cell r="AM27">
            <v>769814.34346394066</v>
          </cell>
          <cell r="AN27">
            <v>-228972.61</v>
          </cell>
          <cell r="AO27">
            <v>1711346.7839151644</v>
          </cell>
          <cell r="AP27">
            <v>0</v>
          </cell>
          <cell r="AQ27">
            <v>-837579.39</v>
          </cell>
          <cell r="AR27">
            <v>0</v>
          </cell>
          <cell r="AS27">
            <v>0</v>
          </cell>
          <cell r="AT27">
            <v>10261033.127379104</v>
          </cell>
          <cell r="AU27">
            <v>2.6682429284122477E-4</v>
          </cell>
          <cell r="AV27">
            <v>0</v>
          </cell>
          <cell r="AW27">
            <v>0</v>
          </cell>
          <cell r="AY27">
            <v>0</v>
          </cell>
          <cell r="AZ27">
            <v>0</v>
          </cell>
          <cell r="BA27">
            <v>0</v>
          </cell>
          <cell r="BB27">
            <v>0</v>
          </cell>
          <cell r="BC27">
            <v>0</v>
          </cell>
          <cell r="BD27">
            <v>0</v>
          </cell>
          <cell r="BE27">
            <v>0</v>
          </cell>
          <cell r="BF27">
            <v>0</v>
          </cell>
          <cell r="BG27">
            <v>0</v>
          </cell>
          <cell r="BH27">
            <v>0</v>
          </cell>
          <cell r="BJ27">
            <v>0</v>
          </cell>
          <cell r="BL27">
            <v>0</v>
          </cell>
          <cell r="BM27">
            <v>0</v>
          </cell>
          <cell r="BN27">
            <v>0</v>
          </cell>
          <cell r="BO27">
            <v>0</v>
          </cell>
          <cell r="BQ27">
            <v>0</v>
          </cell>
          <cell r="BR27">
            <v>0</v>
          </cell>
          <cell r="BS27">
            <v>0</v>
          </cell>
          <cell r="BT27">
            <v>0</v>
          </cell>
          <cell r="CB27">
            <v>0</v>
          </cell>
          <cell r="CC27">
            <v>0</v>
          </cell>
          <cell r="CD27">
            <v>0</v>
          </cell>
          <cell r="CE27">
            <v>0</v>
          </cell>
          <cell r="CF27">
            <v>0</v>
          </cell>
          <cell r="CI27">
            <v>0</v>
          </cell>
          <cell r="CJ27">
            <v>0</v>
          </cell>
          <cell r="CK27">
            <v>0</v>
          </cell>
          <cell r="CV27">
            <v>2.358673838756909E-4</v>
          </cell>
          <cell r="DG27">
            <v>10261033</v>
          </cell>
          <cell r="DR27">
            <v>3813313.13</v>
          </cell>
          <cell r="EC27">
            <v>2.6908445884694498</v>
          </cell>
          <cell r="EN27">
            <v>2.4095909012463064E-2</v>
          </cell>
        </row>
        <row r="28">
          <cell r="B28">
            <v>10930</v>
          </cell>
          <cell r="C28" t="str">
            <v>Information Technology Services</v>
          </cell>
          <cell r="D28">
            <v>2.0859751474145644E-3</v>
          </cell>
          <cell r="E28">
            <v>3609223.3897663439</v>
          </cell>
          <cell r="F28">
            <v>2814194.2484929538</v>
          </cell>
          <cell r="G28">
            <v>-731220</v>
          </cell>
          <cell r="H28">
            <v>-1007101.5733560016</v>
          </cell>
          <cell r="I28">
            <v>-41675.763302701438</v>
          </cell>
          <cell r="J28">
            <v>3045679.6058235564</v>
          </cell>
          <cell r="K28">
            <v>0</v>
          </cell>
          <cell r="L28">
            <v>-160025.0625815588</v>
          </cell>
          <cell r="M28">
            <v>28717.644180055486</v>
          </cell>
          <cell r="N28">
            <v>1082.5793820052106</v>
          </cell>
          <cell r="O28">
            <v>-488.55623927596514</v>
          </cell>
          <cell r="P28">
            <v>0</v>
          </cell>
          <cell r="Q28">
            <v>0</v>
          </cell>
          <cell r="R28">
            <v>0</v>
          </cell>
          <cell r="S28">
            <v>7558386.512165376</v>
          </cell>
          <cell r="T28">
            <v>415078.24999999953</v>
          </cell>
          <cell r="U28">
            <v>15228398.029117782</v>
          </cell>
          <cell r="V28">
            <v>114870.57672022194</v>
          </cell>
          <cell r="W28">
            <v>0</v>
          </cell>
          <cell r="X28">
            <v>15758346.855838004</v>
          </cell>
          <cell r="Y28">
            <v>4071180</v>
          </cell>
          <cell r="Z28">
            <v>0</v>
          </cell>
          <cell r="AA28">
            <v>0</v>
          </cell>
          <cell r="AB28">
            <v>208378.81651350719</v>
          </cell>
          <cell r="AC28">
            <v>4279558.8165135076</v>
          </cell>
          <cell r="AD28" t="str">
            <v>N/A</v>
          </cell>
          <cell r="AE28">
            <v>2301501</v>
          </cell>
          <cell r="AF28">
            <v>2301501</v>
          </cell>
          <cell r="AG28">
            <v>2301501</v>
          </cell>
          <cell r="AH28">
            <v>2301501</v>
          </cell>
          <cell r="AI28">
            <v>2272784</v>
          </cell>
          <cell r="AJ28">
            <v>0</v>
          </cell>
          <cell r="AK28">
            <v>11478788</v>
          </cell>
          <cell r="AL28">
            <v>74044865</v>
          </cell>
          <cell r="AM28">
            <v>7558386.512165376</v>
          </cell>
          <cell r="AN28">
            <v>-2335030.2499999995</v>
          </cell>
          <cell r="AO28">
            <v>15134889.789324498</v>
          </cell>
          <cell r="AP28">
            <v>0</v>
          </cell>
          <cell r="AQ28">
            <v>-3656101.7500000005</v>
          </cell>
          <cell r="AR28">
            <v>0</v>
          </cell>
          <cell r="AS28">
            <v>0</v>
          </cell>
          <cell r="AT28">
            <v>90747009.301489875</v>
          </cell>
          <cell r="AU28">
            <v>2.2333282165043068E-3</v>
          </cell>
          <cell r="AV28">
            <v>0</v>
          </cell>
          <cell r="AW28">
            <v>0</v>
          </cell>
          <cell r="AY28">
            <v>0</v>
          </cell>
          <cell r="AZ28">
            <v>0</v>
          </cell>
          <cell r="BA28">
            <v>0</v>
          </cell>
          <cell r="BB28">
            <v>0</v>
          </cell>
          <cell r="BC28">
            <v>0</v>
          </cell>
          <cell r="BD28">
            <v>0</v>
          </cell>
          <cell r="BE28">
            <v>0</v>
          </cell>
          <cell r="BF28">
            <v>0</v>
          </cell>
          <cell r="BG28">
            <v>0</v>
          </cell>
          <cell r="BH28">
            <v>0</v>
          </cell>
          <cell r="BJ28">
            <v>0</v>
          </cell>
          <cell r="BL28">
            <v>0</v>
          </cell>
          <cell r="BM28">
            <v>0</v>
          </cell>
          <cell r="BN28">
            <v>0</v>
          </cell>
          <cell r="BO28">
            <v>0</v>
          </cell>
          <cell r="BQ28">
            <v>0</v>
          </cell>
          <cell r="BR28">
            <v>0</v>
          </cell>
          <cell r="BS28">
            <v>0</v>
          </cell>
          <cell r="BT28">
            <v>0</v>
          </cell>
          <cell r="CB28">
            <v>0</v>
          </cell>
          <cell r="CC28">
            <v>0</v>
          </cell>
          <cell r="CD28">
            <v>0</v>
          </cell>
          <cell r="CE28">
            <v>0</v>
          </cell>
          <cell r="CF28">
            <v>0</v>
          </cell>
          <cell r="CI28">
            <v>0</v>
          </cell>
          <cell r="CJ28">
            <v>0</v>
          </cell>
          <cell r="CK28">
            <v>0</v>
          </cell>
          <cell r="CV28">
            <v>2.0859751474145644E-3</v>
          </cell>
          <cell r="DG28">
            <v>90747009</v>
          </cell>
          <cell r="DR28">
            <v>40792819.800000012</v>
          </cell>
          <cell r="EC28">
            <v>2.2245828909331729</v>
          </cell>
          <cell r="EN28">
            <v>2.4095909012463064E-2</v>
          </cell>
        </row>
        <row r="29">
          <cell r="B29">
            <v>10940</v>
          </cell>
          <cell r="C29" t="str">
            <v>Office Of State Controller</v>
          </cell>
          <cell r="D29">
            <v>5.7249093433715641E-4</v>
          </cell>
          <cell r="E29">
            <v>990542.80354194902</v>
          </cell>
          <cell r="F29">
            <v>772348.94036146172</v>
          </cell>
          <cell r="G29">
            <v>-178355</v>
          </cell>
          <cell r="H29">
            <v>-276396.63944108027</v>
          </cell>
          <cell r="I29">
            <v>-11437.814444697222</v>
          </cell>
          <cell r="J29">
            <v>835879.54793740599</v>
          </cell>
          <cell r="K29">
            <v>0</v>
          </cell>
          <cell r="L29">
            <v>-43918.499080982328</v>
          </cell>
          <cell r="M29">
            <v>7881.4893691226616</v>
          </cell>
          <cell r="N29">
            <v>297.11134510229743</v>
          </cell>
          <cell r="O29">
            <v>-134.08310173110542</v>
          </cell>
          <cell r="P29">
            <v>0</v>
          </cell>
          <cell r="Q29">
            <v>0</v>
          </cell>
          <cell r="R29">
            <v>0</v>
          </cell>
          <cell r="S29">
            <v>2096707.8564865508</v>
          </cell>
          <cell r="T29">
            <v>114363.92999999993</v>
          </cell>
          <cell r="U29">
            <v>4179397.7396870302</v>
          </cell>
          <cell r="V29">
            <v>31525.957476490647</v>
          </cell>
          <cell r="W29">
            <v>0</v>
          </cell>
          <cell r="X29">
            <v>4325287.627163521</v>
          </cell>
          <cell r="Y29">
            <v>1006140</v>
          </cell>
          <cell r="Z29">
            <v>0</v>
          </cell>
          <cell r="AA29">
            <v>0</v>
          </cell>
          <cell r="AB29">
            <v>57189.07222348611</v>
          </cell>
          <cell r="AC29">
            <v>1063329.0722234861</v>
          </cell>
          <cell r="AD29" t="str">
            <v>N/A</v>
          </cell>
          <cell r="AE29">
            <v>653968</v>
          </cell>
          <cell r="AF29">
            <v>653968</v>
          </cell>
          <cell r="AG29">
            <v>653968</v>
          </cell>
          <cell r="AH29">
            <v>653968</v>
          </cell>
          <cell r="AI29">
            <v>646087</v>
          </cell>
          <cell r="AJ29">
            <v>0</v>
          </cell>
          <cell r="AK29">
            <v>3261959</v>
          </cell>
          <cell r="AL29">
            <v>20188015</v>
          </cell>
          <cell r="AM29">
            <v>2096707.8564865508</v>
          </cell>
          <cell r="AN29">
            <v>-641379.92999999993</v>
          </cell>
          <cell r="AO29">
            <v>4153734.6249400349</v>
          </cell>
          <cell r="AP29">
            <v>0</v>
          </cell>
          <cell r="AQ29">
            <v>-891776.07000000007</v>
          </cell>
          <cell r="AR29">
            <v>0</v>
          </cell>
          <cell r="AS29">
            <v>0</v>
          </cell>
          <cell r="AT29">
            <v>24905301.481426585</v>
          </cell>
          <cell r="AU29">
            <v>6.0890737174538188E-4</v>
          </cell>
          <cell r="AV29">
            <v>0</v>
          </cell>
          <cell r="AW29">
            <v>0</v>
          </cell>
          <cell r="AY29">
            <v>0</v>
          </cell>
          <cell r="AZ29">
            <v>0</v>
          </cell>
          <cell r="BA29">
            <v>0</v>
          </cell>
          <cell r="BB29">
            <v>0</v>
          </cell>
          <cell r="BC29">
            <v>0</v>
          </cell>
          <cell r="BD29">
            <v>0</v>
          </cell>
          <cell r="BE29">
            <v>0</v>
          </cell>
          <cell r="BF29">
            <v>0</v>
          </cell>
          <cell r="BG29">
            <v>0</v>
          </cell>
          <cell r="BH29">
            <v>0</v>
          </cell>
          <cell r="BJ29">
            <v>0</v>
          </cell>
          <cell r="BL29">
            <v>0</v>
          </cell>
          <cell r="BM29">
            <v>0</v>
          </cell>
          <cell r="BN29">
            <v>0</v>
          </cell>
          <cell r="BO29">
            <v>0</v>
          </cell>
          <cell r="BQ29">
            <v>0</v>
          </cell>
          <cell r="BR29">
            <v>0</v>
          </cell>
          <cell r="BS29">
            <v>0</v>
          </cell>
          <cell r="BT29">
            <v>0</v>
          </cell>
          <cell r="CB29">
            <v>0</v>
          </cell>
          <cell r="CC29">
            <v>0</v>
          </cell>
          <cell r="CD29">
            <v>0</v>
          </cell>
          <cell r="CE29">
            <v>0</v>
          </cell>
          <cell r="CF29">
            <v>0</v>
          </cell>
          <cell r="CI29">
            <v>0</v>
          </cell>
          <cell r="CJ29">
            <v>0</v>
          </cell>
          <cell r="CK29">
            <v>0</v>
          </cell>
          <cell r="CV29">
            <v>5.7249093433715641E-4</v>
          </cell>
          <cell r="DG29">
            <v>24905302</v>
          </cell>
          <cell r="DR29">
            <v>10915232.039999992</v>
          </cell>
          <cell r="EC29">
            <v>2.2817015624342165</v>
          </cell>
          <cell r="EN29">
            <v>2.4095909012463064E-2</v>
          </cell>
        </row>
        <row r="30">
          <cell r="B30">
            <v>10950</v>
          </cell>
          <cell r="C30" t="str">
            <v>N.C. School Of Science &amp; Mathematics</v>
          </cell>
          <cell r="D30">
            <v>7.5022903727045792E-4</v>
          </cell>
          <cell r="E30">
            <v>1298071.1646322836</v>
          </cell>
          <cell r="F30">
            <v>1012135.8561513739</v>
          </cell>
          <cell r="G30">
            <v>51543</v>
          </cell>
          <cell r="H30">
            <v>-362207.9796822613</v>
          </cell>
          <cell r="I30">
            <v>-14988.84961254207</v>
          </cell>
          <cell r="J30">
            <v>1095390.4610720486</v>
          </cell>
          <cell r="K30">
            <v>0</v>
          </cell>
          <cell r="L30">
            <v>-57553.633267639285</v>
          </cell>
          <cell r="M30">
            <v>10328.41190489831</v>
          </cell>
          <cell r="N30">
            <v>389.35386576262226</v>
          </cell>
          <cell r="O30">
            <v>-175.71114281911395</v>
          </cell>
          <cell r="P30">
            <v>0</v>
          </cell>
          <cell r="Q30">
            <v>0</v>
          </cell>
          <cell r="R30">
            <v>0</v>
          </cell>
          <cell r="S30">
            <v>3032932.0739211058</v>
          </cell>
          <cell r="T30">
            <v>257709.79000000004</v>
          </cell>
          <cell r="U30">
            <v>5476952.3053602437</v>
          </cell>
          <cell r="V30">
            <v>41313.647619593241</v>
          </cell>
          <cell r="W30">
            <v>0</v>
          </cell>
          <cell r="X30">
            <v>5775975.7429798367</v>
          </cell>
          <cell r="Y30">
            <v>0</v>
          </cell>
          <cell r="Z30">
            <v>0</v>
          </cell>
          <cell r="AA30">
            <v>0</v>
          </cell>
          <cell r="AB30">
            <v>74944.24806271035</v>
          </cell>
          <cell r="AC30">
            <v>74944.24806271035</v>
          </cell>
          <cell r="AD30" t="str">
            <v>N/A</v>
          </cell>
          <cell r="AE30">
            <v>1142272</v>
          </cell>
          <cell r="AF30">
            <v>1142272</v>
          </cell>
          <cell r="AG30">
            <v>1142272</v>
          </cell>
          <cell r="AH30">
            <v>1142272</v>
          </cell>
          <cell r="AI30">
            <v>1131944</v>
          </cell>
          <cell r="AJ30">
            <v>0</v>
          </cell>
          <cell r="AK30">
            <v>5701032</v>
          </cell>
          <cell r="AL30">
            <v>24597448</v>
          </cell>
          <cell r="AM30">
            <v>3032932.0739211058</v>
          </cell>
          <cell r="AN30">
            <v>-693898.79</v>
          </cell>
          <cell r="AO30">
            <v>5443321.7049171263</v>
          </cell>
          <cell r="AP30">
            <v>0</v>
          </cell>
          <cell r="AQ30">
            <v>257709.79000000004</v>
          </cell>
          <cell r="AR30">
            <v>0</v>
          </cell>
          <cell r="AS30">
            <v>0</v>
          </cell>
          <cell r="AT30">
            <v>32637512.778838232</v>
          </cell>
          <cell r="AU30">
            <v>7.4190389295996696E-4</v>
          </cell>
          <cell r="AV30">
            <v>0</v>
          </cell>
          <cell r="AW30">
            <v>0</v>
          </cell>
          <cell r="AY30">
            <v>0</v>
          </cell>
          <cell r="AZ30">
            <v>0</v>
          </cell>
          <cell r="BA30">
            <v>0</v>
          </cell>
          <cell r="BB30">
            <v>0</v>
          </cell>
          <cell r="BC30">
            <v>0</v>
          </cell>
          <cell r="BD30">
            <v>0</v>
          </cell>
          <cell r="BE30">
            <v>0</v>
          </cell>
          <cell r="BF30">
            <v>0</v>
          </cell>
          <cell r="BG30">
            <v>0</v>
          </cell>
          <cell r="BH30">
            <v>0</v>
          </cell>
          <cell r="BJ30">
            <v>0</v>
          </cell>
          <cell r="BL30">
            <v>0</v>
          </cell>
          <cell r="BM30">
            <v>0</v>
          </cell>
          <cell r="BN30">
            <v>0</v>
          </cell>
          <cell r="BO30">
            <v>0</v>
          </cell>
          <cell r="BQ30">
            <v>0</v>
          </cell>
          <cell r="BR30">
            <v>0</v>
          </cell>
          <cell r="BS30">
            <v>0</v>
          </cell>
          <cell r="BT30">
            <v>0</v>
          </cell>
          <cell r="CB30">
            <v>0</v>
          </cell>
          <cell r="CC30">
            <v>0</v>
          </cell>
          <cell r="CD30">
            <v>0</v>
          </cell>
          <cell r="CE30">
            <v>0</v>
          </cell>
          <cell r="CF30">
            <v>0</v>
          </cell>
          <cell r="CI30">
            <v>0</v>
          </cell>
          <cell r="CJ30">
            <v>0</v>
          </cell>
          <cell r="CK30">
            <v>0</v>
          </cell>
          <cell r="CV30">
            <v>7.5022903727045792E-4</v>
          </cell>
          <cell r="DG30">
            <v>32637513</v>
          </cell>
          <cell r="DR30">
            <v>12169359.4</v>
          </cell>
          <cell r="EC30">
            <v>2.6819417462516557</v>
          </cell>
          <cell r="EN30">
            <v>2.4095909012463064E-2</v>
          </cell>
        </row>
        <row r="31">
          <cell r="B31">
            <v>11300</v>
          </cell>
          <cell r="C31" t="str">
            <v>Environment And Natural Resources</v>
          </cell>
          <cell r="D31">
            <v>4.359677677606282E-3</v>
          </cell>
          <cell r="E31">
            <v>7543258.9239432774</v>
          </cell>
          <cell r="F31">
            <v>5881651.9750052383</v>
          </cell>
          <cell r="G31">
            <v>-14479791</v>
          </cell>
          <cell r="H31">
            <v>-2104837.2766493633</v>
          </cell>
          <cell r="I31">
            <v>-87102.137910505538</v>
          </cell>
          <cell r="J31">
            <v>6365455.2198798405</v>
          </cell>
          <cell r="K31">
            <v>0</v>
          </cell>
          <cell r="L31">
            <v>-334451.58445874735</v>
          </cell>
          <cell r="M31">
            <v>60019.73342798691</v>
          </cell>
          <cell r="N31">
            <v>2262.5855211241083</v>
          </cell>
          <cell r="O31">
            <v>-1021.0801088721673</v>
          </cell>
          <cell r="P31">
            <v>0</v>
          </cell>
          <cell r="Q31">
            <v>0</v>
          </cell>
          <cell r="R31">
            <v>0</v>
          </cell>
          <cell r="S31">
            <v>2845445.3586499798</v>
          </cell>
          <cell r="T31">
            <v>1147874.1899999995</v>
          </cell>
          <cell r="U31">
            <v>31827276.099399202</v>
          </cell>
          <cell r="V31">
            <v>240078.93371194764</v>
          </cell>
          <cell r="W31">
            <v>0</v>
          </cell>
          <cell r="X31">
            <v>33215229.223111145</v>
          </cell>
          <cell r="Y31">
            <v>73546831</v>
          </cell>
          <cell r="Z31">
            <v>0</v>
          </cell>
          <cell r="AA31">
            <v>0</v>
          </cell>
          <cell r="AB31">
            <v>435510.68955252774</v>
          </cell>
          <cell r="AC31">
            <v>73982341.689552531</v>
          </cell>
          <cell r="AD31" t="str">
            <v>N/A</v>
          </cell>
          <cell r="AE31">
            <v>-8141418</v>
          </cell>
          <cell r="AF31">
            <v>-8141418</v>
          </cell>
          <cell r="AG31">
            <v>-8141418</v>
          </cell>
          <cell r="AH31">
            <v>-8141418</v>
          </cell>
          <cell r="AI31">
            <v>-8201438</v>
          </cell>
          <cell r="AJ31">
            <v>0</v>
          </cell>
          <cell r="AK31">
            <v>-40767110</v>
          </cell>
          <cell r="AL31">
            <v>232799100</v>
          </cell>
          <cell r="AM31">
            <v>2845445.3586499798</v>
          </cell>
          <cell r="AN31">
            <v>-5216636.1899999995</v>
          </cell>
          <cell r="AO31">
            <v>31631844.343558624</v>
          </cell>
          <cell r="AP31">
            <v>0</v>
          </cell>
          <cell r="AQ31">
            <v>-72398956.810000002</v>
          </cell>
          <cell r="AR31">
            <v>0</v>
          </cell>
          <cell r="AS31">
            <v>0</v>
          </cell>
          <cell r="AT31">
            <v>189660796.70220858</v>
          </cell>
          <cell r="AU31">
            <v>7.0216455839791376E-3</v>
          </cell>
          <cell r="AV31">
            <v>0</v>
          </cell>
          <cell r="AW31">
            <v>0</v>
          </cell>
          <cell r="AY31">
            <v>0</v>
          </cell>
          <cell r="AZ31">
            <v>0</v>
          </cell>
          <cell r="BA31">
            <v>0</v>
          </cell>
          <cell r="BB31">
            <v>0</v>
          </cell>
          <cell r="BC31">
            <v>0</v>
          </cell>
          <cell r="BD31">
            <v>0</v>
          </cell>
          <cell r="BE31">
            <v>0</v>
          </cell>
          <cell r="BF31">
            <v>0</v>
          </cell>
          <cell r="BG31">
            <v>0</v>
          </cell>
          <cell r="BH31">
            <v>0</v>
          </cell>
          <cell r="BJ31">
            <v>0</v>
          </cell>
          <cell r="BL31">
            <v>0</v>
          </cell>
          <cell r="BM31">
            <v>0</v>
          </cell>
          <cell r="BN31">
            <v>0</v>
          </cell>
          <cell r="BO31">
            <v>0</v>
          </cell>
          <cell r="BQ31">
            <v>0</v>
          </cell>
          <cell r="BR31">
            <v>0</v>
          </cell>
          <cell r="BS31">
            <v>0</v>
          </cell>
          <cell r="BT31">
            <v>0</v>
          </cell>
          <cell r="CB31">
            <v>0</v>
          </cell>
          <cell r="CC31">
            <v>0</v>
          </cell>
          <cell r="CD31">
            <v>0</v>
          </cell>
          <cell r="CE31">
            <v>0</v>
          </cell>
          <cell r="CF31">
            <v>0</v>
          </cell>
          <cell r="CI31">
            <v>0</v>
          </cell>
          <cell r="CJ31">
            <v>0</v>
          </cell>
          <cell r="CK31">
            <v>0</v>
          </cell>
          <cell r="CV31">
            <v>4.359677677606282E-3</v>
          </cell>
          <cell r="DG31">
            <v>189660798</v>
          </cell>
          <cell r="DR31">
            <v>81503903.549999997</v>
          </cell>
          <cell r="EC31">
            <v>2.3270149003801919</v>
          </cell>
          <cell r="EN31">
            <v>2.4095909012463064E-2</v>
          </cell>
        </row>
        <row r="32">
          <cell r="B32">
            <v>11310</v>
          </cell>
          <cell r="C32" t="str">
            <v>N.C. Housing Finance Agency</v>
          </cell>
          <cell r="D32">
            <v>4.1985438008708826E-4</v>
          </cell>
          <cell r="E32">
            <v>726445.97457661317</v>
          </cell>
          <cell r="F32">
            <v>566426.58619884215</v>
          </cell>
          <cell r="G32">
            <v>-111876</v>
          </cell>
          <cell r="H32">
            <v>-202704.23992835873</v>
          </cell>
          <cell r="I32">
            <v>-8388.2839101891041</v>
          </cell>
          <cell r="J32">
            <v>613018.77178731351</v>
          </cell>
          <cell r="K32">
            <v>0</v>
          </cell>
          <cell r="L32">
            <v>-32209.023933891171</v>
          </cell>
          <cell r="M32">
            <v>5780.1401467907963</v>
          </cell>
          <cell r="N32">
            <v>217.89602617759707</v>
          </cell>
          <cell r="O32">
            <v>-98.334094360196943</v>
          </cell>
          <cell r="P32">
            <v>0</v>
          </cell>
          <cell r="Q32">
            <v>0</v>
          </cell>
          <cell r="R32">
            <v>0</v>
          </cell>
          <cell r="S32">
            <v>1556613.486868938</v>
          </cell>
          <cell r="T32">
            <v>59107.490000000049</v>
          </cell>
          <cell r="U32">
            <v>3065093.8589365678</v>
          </cell>
          <cell r="V32">
            <v>23120.560587163185</v>
          </cell>
          <cell r="W32">
            <v>0</v>
          </cell>
          <cell r="X32">
            <v>3147321.9095237311</v>
          </cell>
          <cell r="Y32">
            <v>618485</v>
          </cell>
          <cell r="Z32">
            <v>0</v>
          </cell>
          <cell r="AA32">
            <v>0</v>
          </cell>
          <cell r="AB32">
            <v>41941.419550945517</v>
          </cell>
          <cell r="AC32">
            <v>660426.41955094552</v>
          </cell>
          <cell r="AD32" t="str">
            <v>N/A</v>
          </cell>
          <cell r="AE32">
            <v>498535</v>
          </cell>
          <cell r="AF32">
            <v>498536</v>
          </cell>
          <cell r="AG32">
            <v>498536</v>
          </cell>
          <cell r="AH32">
            <v>498536</v>
          </cell>
          <cell r="AI32">
            <v>492755</v>
          </cell>
          <cell r="AJ32">
            <v>0</v>
          </cell>
          <cell r="AK32">
            <v>2486898</v>
          </cell>
          <cell r="AL32">
            <v>14662241</v>
          </cell>
          <cell r="AM32">
            <v>1556613.486868938</v>
          </cell>
          <cell r="AN32">
            <v>-440657.49000000005</v>
          </cell>
          <cell r="AO32">
            <v>3046272.9999727854</v>
          </cell>
          <cell r="AP32">
            <v>0</v>
          </cell>
          <cell r="AQ32">
            <v>-559377.51</v>
          </cell>
          <cell r="AR32">
            <v>0</v>
          </cell>
          <cell r="AS32">
            <v>0</v>
          </cell>
          <cell r="AT32">
            <v>18265092.486841723</v>
          </cell>
          <cell r="AU32">
            <v>4.4223994001554623E-4</v>
          </cell>
          <cell r="AV32">
            <v>0</v>
          </cell>
          <cell r="AW32">
            <v>0</v>
          </cell>
          <cell r="AY32">
            <v>0</v>
          </cell>
          <cell r="AZ32">
            <v>0</v>
          </cell>
          <cell r="BA32">
            <v>0</v>
          </cell>
          <cell r="BB32">
            <v>0</v>
          </cell>
          <cell r="BC32">
            <v>0</v>
          </cell>
          <cell r="BD32">
            <v>0</v>
          </cell>
          <cell r="BE32">
            <v>0</v>
          </cell>
          <cell r="BF32">
            <v>0</v>
          </cell>
          <cell r="BG32">
            <v>0</v>
          </cell>
          <cell r="BH32">
            <v>0</v>
          </cell>
          <cell r="BJ32">
            <v>0</v>
          </cell>
          <cell r="BL32">
            <v>0</v>
          </cell>
          <cell r="BM32">
            <v>0</v>
          </cell>
          <cell r="BN32">
            <v>0</v>
          </cell>
          <cell r="BO32">
            <v>0</v>
          </cell>
          <cell r="BQ32">
            <v>0</v>
          </cell>
          <cell r="BR32">
            <v>0</v>
          </cell>
          <cell r="BS32">
            <v>0</v>
          </cell>
          <cell r="BT32">
            <v>0</v>
          </cell>
          <cell r="CB32">
            <v>0</v>
          </cell>
          <cell r="CC32">
            <v>0</v>
          </cell>
          <cell r="CD32">
            <v>0</v>
          </cell>
          <cell r="CE32">
            <v>0</v>
          </cell>
          <cell r="CF32">
            <v>0</v>
          </cell>
          <cell r="CI32">
            <v>0</v>
          </cell>
          <cell r="CJ32">
            <v>0</v>
          </cell>
          <cell r="CK32">
            <v>0</v>
          </cell>
          <cell r="CV32">
            <v>4.1985438008708826E-4</v>
          </cell>
          <cell r="DG32">
            <v>18265093</v>
          </cell>
          <cell r="DR32">
            <v>7711680.4799999986</v>
          </cell>
          <cell r="EC32">
            <v>2.3684971190611366</v>
          </cell>
          <cell r="EN32">
            <v>2.4095909012463064E-2</v>
          </cell>
        </row>
        <row r="33">
          <cell r="B33">
            <v>11600</v>
          </cell>
          <cell r="C33" t="str">
            <v>Wildlife Resources Commission</v>
          </cell>
          <cell r="D33">
            <v>1.792159297127403E-3</v>
          </cell>
          <cell r="E33">
            <v>3100853.4600215591</v>
          </cell>
          <cell r="F33">
            <v>2417806.5556582469</v>
          </cell>
          <cell r="G33">
            <v>-285002</v>
          </cell>
          <cell r="H33">
            <v>-865248.2988968672</v>
          </cell>
          <cell r="I33">
            <v>-35805.607157108519</v>
          </cell>
          <cell r="J33">
            <v>2616686.5067463936</v>
          </cell>
          <cell r="K33">
            <v>0</v>
          </cell>
          <cell r="L33">
            <v>-137485.05299039339</v>
          </cell>
          <cell r="M33">
            <v>24672.677942818595</v>
          </cell>
          <cell r="N33">
            <v>930.09483202317961</v>
          </cell>
          <cell r="O33">
            <v>-419.74162898020904</v>
          </cell>
          <cell r="P33">
            <v>0</v>
          </cell>
          <cell r="Q33">
            <v>0</v>
          </cell>
          <cell r="R33">
            <v>0</v>
          </cell>
          <cell r="S33">
            <v>6836988.5945276935</v>
          </cell>
          <cell r="T33">
            <v>53220.220000000205</v>
          </cell>
          <cell r="U33">
            <v>13083432.533731969</v>
          </cell>
          <cell r="V33">
            <v>98690.711771274378</v>
          </cell>
          <cell r="W33">
            <v>0</v>
          </cell>
          <cell r="X33">
            <v>13235343.465503244</v>
          </cell>
          <cell r="Y33">
            <v>1478227</v>
          </cell>
          <cell r="Z33">
            <v>0</v>
          </cell>
          <cell r="AA33">
            <v>0</v>
          </cell>
          <cell r="AB33">
            <v>179028.0357855426</v>
          </cell>
          <cell r="AC33">
            <v>1657255.0357855426</v>
          </cell>
          <cell r="AD33" t="str">
            <v>N/A</v>
          </cell>
          <cell r="AE33">
            <v>2320553</v>
          </cell>
          <cell r="AF33">
            <v>2320552</v>
          </cell>
          <cell r="AG33">
            <v>2320552</v>
          </cell>
          <cell r="AH33">
            <v>2320552</v>
          </cell>
          <cell r="AI33">
            <v>2295879</v>
          </cell>
          <cell r="AJ33">
            <v>0</v>
          </cell>
          <cell r="AK33">
            <v>11578088</v>
          </cell>
          <cell r="AL33">
            <v>61192006</v>
          </cell>
          <cell r="AM33">
            <v>6836988.5945276935</v>
          </cell>
          <cell r="AN33">
            <v>-1642062.2200000002</v>
          </cell>
          <cell r="AO33">
            <v>13003095.209717702</v>
          </cell>
          <cell r="AP33">
            <v>0</v>
          </cell>
          <cell r="AQ33">
            <v>-1425006.7799999998</v>
          </cell>
          <cell r="AR33">
            <v>0</v>
          </cell>
          <cell r="AS33">
            <v>0</v>
          </cell>
          <cell r="AT33">
            <v>77965020.804245397</v>
          </cell>
          <cell r="AU33">
            <v>1.8456625566167853E-3</v>
          </cell>
          <cell r="AV33">
            <v>0</v>
          </cell>
          <cell r="AW33">
            <v>0</v>
          </cell>
          <cell r="AY33">
            <v>0</v>
          </cell>
          <cell r="AZ33">
            <v>0</v>
          </cell>
          <cell r="BA33">
            <v>0</v>
          </cell>
          <cell r="BB33">
            <v>0</v>
          </cell>
          <cell r="BC33">
            <v>0</v>
          </cell>
          <cell r="BD33">
            <v>0</v>
          </cell>
          <cell r="BE33">
            <v>0</v>
          </cell>
          <cell r="BF33">
            <v>0</v>
          </cell>
          <cell r="BG33">
            <v>0</v>
          </cell>
          <cell r="BH33">
            <v>0</v>
          </cell>
          <cell r="BJ33">
            <v>0</v>
          </cell>
          <cell r="BL33">
            <v>0</v>
          </cell>
          <cell r="BM33">
            <v>0</v>
          </cell>
          <cell r="BN33">
            <v>0</v>
          </cell>
          <cell r="BO33">
            <v>0</v>
          </cell>
          <cell r="BQ33">
            <v>0</v>
          </cell>
          <cell r="BR33">
            <v>0</v>
          </cell>
          <cell r="BS33">
            <v>0</v>
          </cell>
          <cell r="BT33">
            <v>0</v>
          </cell>
          <cell r="CB33">
            <v>0</v>
          </cell>
          <cell r="CC33">
            <v>0</v>
          </cell>
          <cell r="CD33">
            <v>0</v>
          </cell>
          <cell r="CE33">
            <v>0</v>
          </cell>
          <cell r="CF33">
            <v>0</v>
          </cell>
          <cell r="CI33">
            <v>0</v>
          </cell>
          <cell r="CJ33">
            <v>0</v>
          </cell>
          <cell r="CK33">
            <v>0</v>
          </cell>
          <cell r="CV33">
            <v>1.792159297127403E-3</v>
          </cell>
          <cell r="DG33">
            <v>77965021</v>
          </cell>
          <cell r="DR33">
            <v>28412137.169999994</v>
          </cell>
          <cell r="EC33">
            <v>2.7440744965261623</v>
          </cell>
          <cell r="EN33">
            <v>2.4095909012463064E-2</v>
          </cell>
        </row>
        <row r="34">
          <cell r="B34">
            <v>11900</v>
          </cell>
          <cell r="C34" t="str">
            <v>State Board Of Elections</v>
          </cell>
          <cell r="D34">
            <v>2.0821938671753397E-4</v>
          </cell>
          <cell r="E34">
            <v>360268.08932751528</v>
          </cell>
          <cell r="F34">
            <v>280909.29139375756</v>
          </cell>
          <cell r="G34">
            <v>-72643</v>
          </cell>
          <cell r="H34">
            <v>-100527.59843584802</v>
          </cell>
          <cell r="I34">
            <v>-4160.0216985466341</v>
          </cell>
          <cell r="J34">
            <v>304015.8654088928</v>
          </cell>
          <cell r="K34">
            <v>0</v>
          </cell>
          <cell r="L34">
            <v>-15973.498261216399</v>
          </cell>
          <cell r="M34">
            <v>2866.5587250906678</v>
          </cell>
          <cell r="N34">
            <v>108.06169731866578</v>
          </cell>
          <cell r="O34">
            <v>-48.767062563113633</v>
          </cell>
          <cell r="P34">
            <v>0</v>
          </cell>
          <cell r="Q34">
            <v>0</v>
          </cell>
          <cell r="R34">
            <v>0</v>
          </cell>
          <cell r="S34">
            <v>754814.98109440086</v>
          </cell>
          <cell r="T34">
            <v>0</v>
          </cell>
          <cell r="U34">
            <v>1520079.3270444639</v>
          </cell>
          <cell r="V34">
            <v>11466.234900362671</v>
          </cell>
          <cell r="W34">
            <v>0</v>
          </cell>
          <cell r="X34">
            <v>1531545.5619448265</v>
          </cell>
          <cell r="Y34">
            <v>363213.88</v>
          </cell>
          <cell r="Z34">
            <v>0</v>
          </cell>
          <cell r="AA34">
            <v>0</v>
          </cell>
          <cell r="AB34">
            <v>20800.108492733169</v>
          </cell>
          <cell r="AC34">
            <v>384013.98849273316</v>
          </cell>
          <cell r="AD34" t="str">
            <v>N/A</v>
          </cell>
          <cell r="AE34">
            <v>230079</v>
          </cell>
          <cell r="AF34">
            <v>230079</v>
          </cell>
          <cell r="AG34">
            <v>230079</v>
          </cell>
          <cell r="AH34">
            <v>230079</v>
          </cell>
          <cell r="AI34">
            <v>227213</v>
          </cell>
          <cell r="AJ34">
            <v>0</v>
          </cell>
          <cell r="AK34">
            <v>1147529</v>
          </cell>
          <cell r="AL34">
            <v>7338462</v>
          </cell>
          <cell r="AM34">
            <v>754814.98109440086</v>
          </cell>
          <cell r="AN34">
            <v>-182558.12</v>
          </cell>
          <cell r="AO34">
            <v>1510745.4534520935</v>
          </cell>
          <cell r="AP34">
            <v>0</v>
          </cell>
          <cell r="AQ34">
            <v>-363213.88</v>
          </cell>
          <cell r="AR34">
            <v>0</v>
          </cell>
          <cell r="AS34">
            <v>0</v>
          </cell>
          <cell r="AT34">
            <v>9058250.4345464949</v>
          </cell>
          <cell r="AU34">
            <v>2.2134141517205787E-4</v>
          </cell>
          <cell r="AV34">
            <v>0</v>
          </cell>
          <cell r="AW34">
            <v>0</v>
          </cell>
          <cell r="AY34">
            <v>0</v>
          </cell>
          <cell r="AZ34">
            <v>0</v>
          </cell>
          <cell r="BA34">
            <v>0</v>
          </cell>
          <cell r="BB34">
            <v>0</v>
          </cell>
          <cell r="BC34">
            <v>0</v>
          </cell>
          <cell r="BD34">
            <v>0</v>
          </cell>
          <cell r="BE34">
            <v>0</v>
          </cell>
          <cell r="BF34">
            <v>0</v>
          </cell>
          <cell r="BG34">
            <v>0</v>
          </cell>
          <cell r="BH34">
            <v>0</v>
          </cell>
          <cell r="BJ34">
            <v>0</v>
          </cell>
          <cell r="BL34">
            <v>0</v>
          </cell>
          <cell r="BM34">
            <v>0</v>
          </cell>
          <cell r="BN34">
            <v>0</v>
          </cell>
          <cell r="BO34">
            <v>0</v>
          </cell>
          <cell r="BQ34">
            <v>0</v>
          </cell>
          <cell r="BR34">
            <v>0</v>
          </cell>
          <cell r="BS34">
            <v>0</v>
          </cell>
          <cell r="BT34">
            <v>0</v>
          </cell>
          <cell r="CB34">
            <v>0</v>
          </cell>
          <cell r="CC34">
            <v>0</v>
          </cell>
          <cell r="CD34">
            <v>0</v>
          </cell>
          <cell r="CE34">
            <v>0</v>
          </cell>
          <cell r="CF34">
            <v>0</v>
          </cell>
          <cell r="CI34">
            <v>0</v>
          </cell>
          <cell r="CJ34">
            <v>0</v>
          </cell>
          <cell r="CK34">
            <v>0</v>
          </cell>
          <cell r="CV34">
            <v>2.0821938671753397E-4</v>
          </cell>
          <cell r="DG34">
            <v>9058251</v>
          </cell>
          <cell r="DR34">
            <v>3220506.4499999997</v>
          </cell>
          <cell r="EC34">
            <v>2.8126790430741107</v>
          </cell>
          <cell r="EN34">
            <v>2.4095909012463064E-2</v>
          </cell>
        </row>
        <row r="35">
          <cell r="B35">
            <v>12100</v>
          </cell>
          <cell r="C35" t="str">
            <v>Governor's Office</v>
          </cell>
          <cell r="D35">
            <v>2.4575505458039566E-4</v>
          </cell>
          <cell r="E35">
            <v>425213.54688440595</v>
          </cell>
          <cell r="F35">
            <v>331548.75406613515</v>
          </cell>
          <cell r="G35">
            <v>-45203</v>
          </cell>
          <cell r="H35">
            <v>-118649.68882053444</v>
          </cell>
          <cell r="I35">
            <v>-4909.9479913887744</v>
          </cell>
          <cell r="J35">
            <v>358820.74563125736</v>
          </cell>
          <cell r="K35">
            <v>0</v>
          </cell>
          <cell r="L35">
            <v>-18853.037648941085</v>
          </cell>
          <cell r="M35">
            <v>3383.3127022808753</v>
          </cell>
          <cell r="N35">
            <v>127.54195822613374</v>
          </cell>
          <cell r="O35">
            <v>-57.558291333274468</v>
          </cell>
          <cell r="P35">
            <v>0</v>
          </cell>
          <cell r="Q35">
            <v>0</v>
          </cell>
          <cell r="R35">
            <v>0</v>
          </cell>
          <cell r="S35">
            <v>931420.6684901081</v>
          </cell>
          <cell r="T35">
            <v>12777.299999999988</v>
          </cell>
          <cell r="U35">
            <v>1794103.7281562868</v>
          </cell>
          <cell r="V35">
            <v>13533.250809123501</v>
          </cell>
          <cell r="W35">
            <v>0</v>
          </cell>
          <cell r="X35">
            <v>1820414.2789654103</v>
          </cell>
          <cell r="Y35">
            <v>238790</v>
          </cell>
          <cell r="Z35">
            <v>0</v>
          </cell>
          <cell r="AA35">
            <v>0</v>
          </cell>
          <cell r="AB35">
            <v>24549.739956943871</v>
          </cell>
          <cell r="AC35">
            <v>263339.7399569439</v>
          </cell>
          <cell r="AD35" t="str">
            <v>N/A</v>
          </cell>
          <cell r="AE35">
            <v>312091</v>
          </cell>
          <cell r="AF35">
            <v>312092</v>
          </cell>
          <cell r="AG35">
            <v>312092</v>
          </cell>
          <cell r="AH35">
            <v>312092</v>
          </cell>
          <cell r="AI35">
            <v>308709</v>
          </cell>
          <cell r="AJ35">
            <v>0</v>
          </cell>
          <cell r="AK35">
            <v>1557076</v>
          </cell>
          <cell r="AL35">
            <v>8434432</v>
          </cell>
          <cell r="AM35">
            <v>931420.6684901081</v>
          </cell>
          <cell r="AN35">
            <v>-231747.3</v>
          </cell>
          <cell r="AO35">
            <v>1783087.2390084667</v>
          </cell>
          <cell r="AP35">
            <v>0</v>
          </cell>
          <cell r="AQ35">
            <v>-226012.7</v>
          </cell>
          <cell r="AR35">
            <v>0</v>
          </cell>
          <cell r="AS35">
            <v>0</v>
          </cell>
          <cell r="AT35">
            <v>10691179.907498576</v>
          </cell>
          <cell r="AU35">
            <v>2.5439784416979685E-4</v>
          </cell>
          <cell r="AV35">
            <v>0</v>
          </cell>
          <cell r="AW35">
            <v>0</v>
          </cell>
          <cell r="AY35">
            <v>0</v>
          </cell>
          <cell r="AZ35">
            <v>0</v>
          </cell>
          <cell r="BA35">
            <v>0</v>
          </cell>
          <cell r="BB35">
            <v>0</v>
          </cell>
          <cell r="BC35">
            <v>0</v>
          </cell>
          <cell r="BD35">
            <v>0</v>
          </cell>
          <cell r="BE35">
            <v>0</v>
          </cell>
          <cell r="BF35">
            <v>0</v>
          </cell>
          <cell r="BG35">
            <v>0</v>
          </cell>
          <cell r="BH35">
            <v>0</v>
          </cell>
          <cell r="BJ35">
            <v>0</v>
          </cell>
          <cell r="BL35">
            <v>0</v>
          </cell>
          <cell r="BM35">
            <v>0</v>
          </cell>
          <cell r="BN35">
            <v>0</v>
          </cell>
          <cell r="BO35">
            <v>0</v>
          </cell>
          <cell r="BQ35">
            <v>0</v>
          </cell>
          <cell r="BR35">
            <v>0</v>
          </cell>
          <cell r="BS35">
            <v>0</v>
          </cell>
          <cell r="BT35">
            <v>0</v>
          </cell>
          <cell r="CB35">
            <v>0</v>
          </cell>
          <cell r="CC35">
            <v>0</v>
          </cell>
          <cell r="CD35">
            <v>0</v>
          </cell>
          <cell r="CE35">
            <v>0</v>
          </cell>
          <cell r="CF35">
            <v>0</v>
          </cell>
          <cell r="CI35">
            <v>0</v>
          </cell>
          <cell r="CJ35">
            <v>0</v>
          </cell>
          <cell r="CK35">
            <v>0</v>
          </cell>
          <cell r="CV35">
            <v>2.4575505458039566E-4</v>
          </cell>
          <cell r="DG35">
            <v>10691180</v>
          </cell>
          <cell r="DR35">
            <v>4186906.6799999992</v>
          </cell>
          <cell r="EC35">
            <v>2.5534794102456568</v>
          </cell>
          <cell r="EN35">
            <v>2.4095909012463064E-2</v>
          </cell>
        </row>
        <row r="36">
          <cell r="B36">
            <v>12150</v>
          </cell>
          <cell r="C36" t="str">
            <v>Lt. Governor's Office</v>
          </cell>
          <cell r="D36">
            <v>3.6743207437318127E-5</v>
          </cell>
          <cell r="E36">
            <v>63574.316243495312</v>
          </cell>
          <cell r="F36">
            <v>49570.352345494211</v>
          </cell>
          <cell r="G36">
            <v>-18259</v>
          </cell>
          <cell r="H36">
            <v>-17739.49323707588</v>
          </cell>
          <cell r="I36">
            <v>-734.09370099048465</v>
          </cell>
          <cell r="J36">
            <v>53647.828778347262</v>
          </cell>
          <cell r="K36">
            <v>0</v>
          </cell>
          <cell r="L36">
            <v>-2818.7459840505367</v>
          </cell>
          <cell r="M36">
            <v>505.8441652704721</v>
          </cell>
          <cell r="N36">
            <v>19.068989795819363</v>
          </cell>
          <cell r="O36">
            <v>-8.6056266138942785</v>
          </cell>
          <cell r="P36">
            <v>0</v>
          </cell>
          <cell r="Q36">
            <v>0</v>
          </cell>
          <cell r="R36">
            <v>0</v>
          </cell>
          <cell r="S36">
            <v>127757.47197367231</v>
          </cell>
          <cell r="T36">
            <v>0</v>
          </cell>
          <cell r="U36">
            <v>268239.14389173628</v>
          </cell>
          <cell r="V36">
            <v>2023.3766610818884</v>
          </cell>
          <cell r="W36">
            <v>0</v>
          </cell>
          <cell r="X36">
            <v>270262.5205528182</v>
          </cell>
          <cell r="Y36">
            <v>91297.45</v>
          </cell>
          <cell r="Z36">
            <v>0</v>
          </cell>
          <cell r="AA36">
            <v>0</v>
          </cell>
          <cell r="AB36">
            <v>3670.4685049524232</v>
          </cell>
          <cell r="AC36">
            <v>94967.918504952424</v>
          </cell>
          <cell r="AD36" t="str">
            <v>N/A</v>
          </cell>
          <cell r="AE36">
            <v>35161</v>
          </cell>
          <cell r="AF36">
            <v>35160</v>
          </cell>
          <cell r="AG36">
            <v>35160</v>
          </cell>
          <cell r="AH36">
            <v>35160</v>
          </cell>
          <cell r="AI36">
            <v>34654</v>
          </cell>
          <cell r="AJ36">
            <v>0</v>
          </cell>
          <cell r="AK36">
            <v>175295</v>
          </cell>
          <cell r="AL36">
            <v>1322398</v>
          </cell>
          <cell r="AM36">
            <v>127757.47197367231</v>
          </cell>
          <cell r="AN36">
            <v>-26996.550000000003</v>
          </cell>
          <cell r="AO36">
            <v>266592.05204786576</v>
          </cell>
          <cell r="AP36">
            <v>0</v>
          </cell>
          <cell r="AQ36">
            <v>-91297.45</v>
          </cell>
          <cell r="AR36">
            <v>0</v>
          </cell>
          <cell r="AS36">
            <v>0</v>
          </cell>
          <cell r="AT36">
            <v>1598453.524021538</v>
          </cell>
          <cell r="AU36">
            <v>3.9885936918139238E-5</v>
          </cell>
          <cell r="AV36">
            <v>0</v>
          </cell>
          <cell r="AW36">
            <v>0</v>
          </cell>
          <cell r="AY36">
            <v>0</v>
          </cell>
          <cell r="AZ36">
            <v>0</v>
          </cell>
          <cell r="BA36">
            <v>0</v>
          </cell>
          <cell r="BB36">
            <v>0</v>
          </cell>
          <cell r="BC36">
            <v>0</v>
          </cell>
          <cell r="BD36">
            <v>0</v>
          </cell>
          <cell r="BE36">
            <v>0</v>
          </cell>
          <cell r="BF36">
            <v>0</v>
          </cell>
          <cell r="BG36">
            <v>0</v>
          </cell>
          <cell r="BH36">
            <v>0</v>
          </cell>
          <cell r="BJ36">
            <v>0</v>
          </cell>
          <cell r="BL36">
            <v>0</v>
          </cell>
          <cell r="BM36">
            <v>0</v>
          </cell>
          <cell r="BN36">
            <v>0</v>
          </cell>
          <cell r="BO36">
            <v>0</v>
          </cell>
          <cell r="BQ36">
            <v>0</v>
          </cell>
          <cell r="BR36">
            <v>0</v>
          </cell>
          <cell r="BS36">
            <v>0</v>
          </cell>
          <cell r="BT36">
            <v>0</v>
          </cell>
          <cell r="CB36">
            <v>0</v>
          </cell>
          <cell r="CC36">
            <v>0</v>
          </cell>
          <cell r="CD36">
            <v>0</v>
          </cell>
          <cell r="CE36">
            <v>0</v>
          </cell>
          <cell r="CF36">
            <v>0</v>
          </cell>
          <cell r="CI36">
            <v>0</v>
          </cell>
          <cell r="CJ36">
            <v>0</v>
          </cell>
          <cell r="CK36">
            <v>0</v>
          </cell>
          <cell r="CV36">
            <v>3.6743207437318127E-5</v>
          </cell>
          <cell r="DG36">
            <v>1598454</v>
          </cell>
          <cell r="DR36">
            <v>509215.18000000005</v>
          </cell>
          <cell r="EC36">
            <v>3.1390541028254497</v>
          </cell>
          <cell r="EN36">
            <v>2.4095909012463064E-2</v>
          </cell>
        </row>
        <row r="37">
          <cell r="B37">
            <v>12160</v>
          </cell>
          <cell r="C37" t="str">
            <v>General Assembly</v>
          </cell>
          <cell r="D37">
            <v>1.6142620447768545E-3</v>
          </cell>
          <cell r="E37">
            <v>2793049.7333306768</v>
          </cell>
          <cell r="F37">
            <v>2177804.9309945391</v>
          </cell>
          <cell r="G37">
            <v>97881</v>
          </cell>
          <cell r="H37">
            <v>-779360.12186848535</v>
          </cell>
          <cell r="I37">
            <v>-32251.392338033806</v>
          </cell>
          <cell r="J37">
            <v>2356943.2235689019</v>
          </cell>
          <cell r="K37">
            <v>0</v>
          </cell>
          <cell r="L37">
            <v>-123837.70969593077</v>
          </cell>
          <cell r="M37">
            <v>22223.564395159789</v>
          </cell>
          <cell r="N37">
            <v>837.76971599829199</v>
          </cell>
          <cell r="O37">
            <v>-378.07631350718708</v>
          </cell>
          <cell r="P37">
            <v>0</v>
          </cell>
          <cell r="Q37">
            <v>0</v>
          </cell>
          <cell r="R37">
            <v>0</v>
          </cell>
          <cell r="S37">
            <v>6512912.9217893193</v>
          </cell>
          <cell r="T37">
            <v>489404.26999999979</v>
          </cell>
          <cell r="U37">
            <v>11784716.117844509</v>
          </cell>
          <cell r="V37">
            <v>88894.257580639154</v>
          </cell>
          <cell r="W37">
            <v>0</v>
          </cell>
          <cell r="X37">
            <v>12363014.645425148</v>
          </cell>
          <cell r="Y37">
            <v>0</v>
          </cell>
          <cell r="Z37">
            <v>0</v>
          </cell>
          <cell r="AA37">
            <v>0</v>
          </cell>
          <cell r="AB37">
            <v>161256.96169016903</v>
          </cell>
          <cell r="AC37">
            <v>161256.96169016903</v>
          </cell>
          <cell r="AD37" t="str">
            <v>N/A</v>
          </cell>
          <cell r="AE37">
            <v>2444795</v>
          </cell>
          <cell r="AF37">
            <v>2444797</v>
          </cell>
          <cell r="AG37">
            <v>2444797</v>
          </cell>
          <cell r="AH37">
            <v>2444797</v>
          </cell>
          <cell r="AI37">
            <v>2422574</v>
          </cell>
          <cell r="AJ37">
            <v>0</v>
          </cell>
          <cell r="AK37">
            <v>12201760</v>
          </cell>
          <cell r="AL37">
            <v>53145901</v>
          </cell>
          <cell r="AM37">
            <v>6512912.9217893193</v>
          </cell>
          <cell r="AN37">
            <v>-1634685.2699999998</v>
          </cell>
          <cell r="AO37">
            <v>11712353.41373498</v>
          </cell>
          <cell r="AP37">
            <v>0</v>
          </cell>
          <cell r="AQ37">
            <v>489404.26999999979</v>
          </cell>
          <cell r="AR37">
            <v>0</v>
          </cell>
          <cell r="AS37">
            <v>0</v>
          </cell>
          <cell r="AT37">
            <v>70225886.335524291</v>
          </cell>
          <cell r="AU37">
            <v>1.6029773290405359E-3</v>
          </cell>
          <cell r="AV37">
            <v>0</v>
          </cell>
          <cell r="AW37">
            <v>0</v>
          </cell>
          <cell r="AY37">
            <v>0</v>
          </cell>
          <cell r="AZ37">
            <v>0</v>
          </cell>
          <cell r="BA37">
            <v>0</v>
          </cell>
          <cell r="BB37">
            <v>0</v>
          </cell>
          <cell r="BC37">
            <v>0</v>
          </cell>
          <cell r="BD37">
            <v>0</v>
          </cell>
          <cell r="BE37">
            <v>0</v>
          </cell>
          <cell r="BF37">
            <v>0</v>
          </cell>
          <cell r="BG37">
            <v>0</v>
          </cell>
          <cell r="BH37">
            <v>0</v>
          </cell>
          <cell r="BJ37">
            <v>0</v>
          </cell>
          <cell r="BL37">
            <v>0</v>
          </cell>
          <cell r="BM37">
            <v>0</v>
          </cell>
          <cell r="BN37">
            <v>0</v>
          </cell>
          <cell r="BO37">
            <v>0</v>
          </cell>
          <cell r="BQ37">
            <v>0</v>
          </cell>
          <cell r="BR37">
            <v>0</v>
          </cell>
          <cell r="BS37">
            <v>0</v>
          </cell>
          <cell r="BT37">
            <v>0</v>
          </cell>
          <cell r="CB37">
            <v>0</v>
          </cell>
          <cell r="CC37">
            <v>0</v>
          </cell>
          <cell r="CD37">
            <v>0</v>
          </cell>
          <cell r="CE37">
            <v>0</v>
          </cell>
          <cell r="CF37">
            <v>0</v>
          </cell>
          <cell r="CI37">
            <v>0</v>
          </cell>
          <cell r="CJ37">
            <v>0</v>
          </cell>
          <cell r="CK37">
            <v>0</v>
          </cell>
          <cell r="CV37">
            <v>1.6142620447768545E-3</v>
          </cell>
          <cell r="DG37">
            <v>70225886</v>
          </cell>
          <cell r="DR37">
            <v>29167151.46999998</v>
          </cell>
          <cell r="EC37">
            <v>2.4077046424033277</v>
          </cell>
          <cell r="EN37">
            <v>2.4095909012463064E-2</v>
          </cell>
        </row>
        <row r="38">
          <cell r="B38">
            <v>12220</v>
          </cell>
          <cell r="C38" t="str">
            <v>Health &amp; Human Services</v>
          </cell>
          <cell r="D38">
            <v>3.9863829786089162E-2</v>
          </cell>
          <cell r="E38">
            <v>68973720.539261639</v>
          </cell>
          <cell r="F38">
            <v>53780391.701195456</v>
          </cell>
          <cell r="G38">
            <v>-3016320</v>
          </cell>
          <cell r="H38">
            <v>-19246118.89423795</v>
          </cell>
          <cell r="I38">
            <v>-796440.71338212129</v>
          </cell>
          <cell r="J38">
            <v>58204170.620151691</v>
          </cell>
          <cell r="K38">
            <v>0</v>
          </cell>
          <cell r="L38">
            <v>-3058143.7483405108</v>
          </cell>
          <cell r="M38">
            <v>548805.80953714042</v>
          </cell>
          <cell r="N38">
            <v>20688.530382384553</v>
          </cell>
          <cell r="O38">
            <v>-9336.5075741999426</v>
          </cell>
          <cell r="P38">
            <v>0</v>
          </cell>
          <cell r="Q38">
            <v>0</v>
          </cell>
          <cell r="R38">
            <v>0</v>
          </cell>
          <cell r="S38">
            <v>155401417.33699352</v>
          </cell>
          <cell r="T38">
            <v>5261393.0399999991</v>
          </cell>
          <cell r="U38">
            <v>291020853.10075843</v>
          </cell>
          <cell r="V38">
            <v>2195223.2381485617</v>
          </cell>
          <cell r="W38">
            <v>0</v>
          </cell>
          <cell r="X38">
            <v>298477469.37890702</v>
          </cell>
          <cell r="Y38">
            <v>20342997</v>
          </cell>
          <cell r="Z38">
            <v>0</v>
          </cell>
          <cell r="AA38">
            <v>0</v>
          </cell>
          <cell r="AB38">
            <v>3982203.5669106063</v>
          </cell>
          <cell r="AC38">
            <v>24325200.566910606</v>
          </cell>
          <cell r="AD38" t="str">
            <v>N/A</v>
          </cell>
          <cell r="AE38">
            <v>54940216</v>
          </cell>
          <cell r="AF38">
            <v>54940215</v>
          </cell>
          <cell r="AG38">
            <v>54940215</v>
          </cell>
          <cell r="AH38">
            <v>54940215</v>
          </cell>
          <cell r="AI38">
            <v>54391409</v>
          </cell>
          <cell r="AJ38">
            <v>0</v>
          </cell>
          <cell r="AK38">
            <v>274152270</v>
          </cell>
          <cell r="AL38">
            <v>1346076666</v>
          </cell>
          <cell r="AM38">
            <v>155401417.33699352</v>
          </cell>
          <cell r="AN38">
            <v>-41418259.039999999</v>
          </cell>
          <cell r="AO38">
            <v>289233872.77199644</v>
          </cell>
          <cell r="AP38">
            <v>0</v>
          </cell>
          <cell r="AQ38">
            <v>-15081603.960000001</v>
          </cell>
          <cell r="AR38">
            <v>0</v>
          </cell>
          <cell r="AS38">
            <v>0</v>
          </cell>
          <cell r="AT38">
            <v>1734212093.10899</v>
          </cell>
          <cell r="AU38">
            <v>4.0600128066634794E-2</v>
          </cell>
          <cell r="AV38">
            <v>0</v>
          </cell>
          <cell r="AW38">
            <v>0</v>
          </cell>
          <cell r="AY38">
            <v>0</v>
          </cell>
          <cell r="AZ38">
            <v>0</v>
          </cell>
          <cell r="BA38">
            <v>0</v>
          </cell>
          <cell r="BB38">
            <v>0</v>
          </cell>
          <cell r="BC38">
            <v>0</v>
          </cell>
          <cell r="BD38">
            <v>0</v>
          </cell>
          <cell r="BE38">
            <v>0</v>
          </cell>
          <cell r="BF38">
            <v>0</v>
          </cell>
          <cell r="BG38">
            <v>0</v>
          </cell>
          <cell r="BH38">
            <v>0</v>
          </cell>
          <cell r="BJ38">
            <v>0</v>
          </cell>
          <cell r="BL38">
            <v>0</v>
          </cell>
          <cell r="BM38">
            <v>0</v>
          </cell>
          <cell r="BN38">
            <v>0</v>
          </cell>
          <cell r="BO38">
            <v>0</v>
          </cell>
          <cell r="BQ38">
            <v>0</v>
          </cell>
          <cell r="BR38">
            <v>0</v>
          </cell>
          <cell r="BS38">
            <v>0</v>
          </cell>
          <cell r="BT38">
            <v>0</v>
          </cell>
          <cell r="CB38">
            <v>0</v>
          </cell>
          <cell r="CC38">
            <v>0</v>
          </cell>
          <cell r="CD38">
            <v>0</v>
          </cell>
          <cell r="CE38">
            <v>0</v>
          </cell>
          <cell r="CF38">
            <v>0</v>
          </cell>
          <cell r="CI38">
            <v>0</v>
          </cell>
          <cell r="CJ38">
            <v>0</v>
          </cell>
          <cell r="CK38">
            <v>0</v>
          </cell>
          <cell r="CV38">
            <v>3.9863829786089162E-2</v>
          </cell>
          <cell r="DG38">
            <v>1734212093</v>
          </cell>
          <cell r="DR38">
            <v>714528160.84999931</v>
          </cell>
          <cell r="EC38">
            <v>2.4270731204449514</v>
          </cell>
          <cell r="EN38">
            <v>2.4095909012463064E-2</v>
          </cell>
        </row>
        <row r="39">
          <cell r="B39">
            <v>12510</v>
          </cell>
          <cell r="C39" t="str">
            <v>Department Of Commerce</v>
          </cell>
          <cell r="D39">
            <v>4.4662492583956914E-3</v>
          </cell>
          <cell r="E39">
            <v>7727652.6078978768</v>
          </cell>
          <cell r="F39">
            <v>6025427.9591448782</v>
          </cell>
          <cell r="G39">
            <v>-3435545</v>
          </cell>
          <cell r="H39">
            <v>-2156289.6665884657</v>
          </cell>
          <cell r="I39">
            <v>-89231.334886451805</v>
          </cell>
          <cell r="J39">
            <v>6521057.6922165705</v>
          </cell>
          <cell r="K39">
            <v>0</v>
          </cell>
          <cell r="L39">
            <v>-342627.19666888245</v>
          </cell>
          <cell r="M39">
            <v>61486.905623499202</v>
          </cell>
          <cell r="N39">
            <v>2317.8940401221957</v>
          </cell>
          <cell r="O39">
            <v>-1046.0402388088548</v>
          </cell>
          <cell r="P39">
            <v>0</v>
          </cell>
          <cell r="Q39">
            <v>0</v>
          </cell>
          <cell r="R39">
            <v>0</v>
          </cell>
          <cell r="S39">
            <v>14313203.820540339</v>
          </cell>
          <cell r="T39">
            <v>954519.16999999993</v>
          </cell>
          <cell r="U39">
            <v>32605288.461082853</v>
          </cell>
          <cell r="V39">
            <v>245947.62249399681</v>
          </cell>
          <cell r="W39">
            <v>0</v>
          </cell>
          <cell r="X39">
            <v>33805755.253576852</v>
          </cell>
          <cell r="Y39">
            <v>18132246</v>
          </cell>
          <cell r="Z39">
            <v>0</v>
          </cell>
          <cell r="AA39">
            <v>0</v>
          </cell>
          <cell r="AB39">
            <v>446156.67443225899</v>
          </cell>
          <cell r="AC39">
            <v>18578402.674432259</v>
          </cell>
          <cell r="AD39" t="str">
            <v>N/A</v>
          </cell>
          <cell r="AE39">
            <v>3057768</v>
          </cell>
          <cell r="AF39">
            <v>3057768</v>
          </cell>
          <cell r="AG39">
            <v>3057768</v>
          </cell>
          <cell r="AH39">
            <v>3057768</v>
          </cell>
          <cell r="AI39">
            <v>2996281</v>
          </cell>
          <cell r="AJ39">
            <v>0</v>
          </cell>
          <cell r="AK39">
            <v>15227353</v>
          </cell>
          <cell r="AL39">
            <v>169834925</v>
          </cell>
          <cell r="AM39">
            <v>14313203.820540339</v>
          </cell>
          <cell r="AN39">
            <v>-5078458.17</v>
          </cell>
          <cell r="AO39">
            <v>32405079.409144592</v>
          </cell>
          <cell r="AP39">
            <v>0</v>
          </cell>
          <cell r="AQ39">
            <v>-17177726.829999998</v>
          </cell>
          <cell r="AR39">
            <v>0</v>
          </cell>
          <cell r="AS39">
            <v>0</v>
          </cell>
          <cell r="AT39">
            <v>194297023.22968495</v>
          </cell>
          <cell r="AU39">
            <v>5.1225311936079748E-3</v>
          </cell>
          <cell r="AV39">
            <v>0</v>
          </cell>
          <cell r="AW39">
            <v>0</v>
          </cell>
          <cell r="AY39">
            <v>0</v>
          </cell>
          <cell r="AZ39">
            <v>0</v>
          </cell>
          <cell r="BA39">
            <v>0</v>
          </cell>
          <cell r="BB39">
            <v>0</v>
          </cell>
          <cell r="BC39">
            <v>0</v>
          </cell>
          <cell r="BD39">
            <v>0</v>
          </cell>
          <cell r="BE39">
            <v>0</v>
          </cell>
          <cell r="BF39">
            <v>0</v>
          </cell>
          <cell r="BG39">
            <v>0</v>
          </cell>
          <cell r="BH39">
            <v>0</v>
          </cell>
          <cell r="BJ39">
            <v>0</v>
          </cell>
          <cell r="BL39">
            <v>0</v>
          </cell>
          <cell r="BM39">
            <v>0</v>
          </cell>
          <cell r="BN39">
            <v>0</v>
          </cell>
          <cell r="BO39">
            <v>0</v>
          </cell>
          <cell r="BQ39">
            <v>0</v>
          </cell>
          <cell r="BR39">
            <v>0</v>
          </cell>
          <cell r="BS39">
            <v>0</v>
          </cell>
          <cell r="BT39">
            <v>0</v>
          </cell>
          <cell r="CB39">
            <v>0</v>
          </cell>
          <cell r="CC39">
            <v>0</v>
          </cell>
          <cell r="CD39">
            <v>0</v>
          </cell>
          <cell r="CE39">
            <v>0</v>
          </cell>
          <cell r="CF39">
            <v>0</v>
          </cell>
          <cell r="CI39">
            <v>0</v>
          </cell>
          <cell r="CJ39">
            <v>0</v>
          </cell>
          <cell r="CK39">
            <v>0</v>
          </cell>
          <cell r="CV39">
            <v>4.4662492583956914E-3</v>
          </cell>
          <cell r="DG39">
            <v>194297024</v>
          </cell>
          <cell r="DR39">
            <v>89318474.35999988</v>
          </cell>
          <cell r="EC39">
            <v>2.1753285128548212</v>
          </cell>
          <cell r="EN39">
            <v>2.4095909012463064E-2</v>
          </cell>
        </row>
        <row r="40">
          <cell r="B40">
            <v>12600</v>
          </cell>
          <cell r="C40" t="str">
            <v>Insurance Department</v>
          </cell>
          <cell r="D40">
            <v>1.2011297539877978E-3</v>
          </cell>
          <cell r="E40">
            <v>2078234.5406224977</v>
          </cell>
          <cell r="F40">
            <v>1620447.1321510128</v>
          </cell>
          <cell r="G40">
            <v>-222908</v>
          </cell>
          <cell r="H40">
            <v>-579901.28336146078</v>
          </cell>
          <cell r="I40">
            <v>-23997.40926207641</v>
          </cell>
          <cell r="J40">
            <v>1753739.2045167368</v>
          </cell>
          <cell r="K40">
            <v>0</v>
          </cell>
          <cell r="L40">
            <v>-92144.369164082789</v>
          </cell>
          <cell r="M40">
            <v>16535.967330124637</v>
          </cell>
          <cell r="N40">
            <v>623.36231972458734</v>
          </cell>
          <cell r="O40">
            <v>-281.3165996814821</v>
          </cell>
          <cell r="P40">
            <v>0</v>
          </cell>
          <cell r="Q40">
            <v>0</v>
          </cell>
          <cell r="R40">
            <v>0</v>
          </cell>
          <cell r="S40">
            <v>4550347.8285527946</v>
          </cell>
          <cell r="T40">
            <v>265156.37000000011</v>
          </cell>
          <cell r="U40">
            <v>8768696.022583684</v>
          </cell>
          <cell r="V40">
            <v>66143.869320498547</v>
          </cell>
          <cell r="W40">
            <v>0</v>
          </cell>
          <cell r="X40">
            <v>9099996.2619041819</v>
          </cell>
          <cell r="Y40">
            <v>1379695</v>
          </cell>
          <cell r="Z40">
            <v>0</v>
          </cell>
          <cell r="AA40">
            <v>0</v>
          </cell>
          <cell r="AB40">
            <v>119987.04631038204</v>
          </cell>
          <cell r="AC40">
            <v>1499682.046310382</v>
          </cell>
          <cell r="AD40" t="str">
            <v>N/A</v>
          </cell>
          <cell r="AE40">
            <v>1523370</v>
          </cell>
          <cell r="AF40">
            <v>1523370</v>
          </cell>
          <cell r="AG40">
            <v>1523370</v>
          </cell>
          <cell r="AH40">
            <v>1523370</v>
          </cell>
          <cell r="AI40">
            <v>1506834</v>
          </cell>
          <cell r="AJ40">
            <v>0</v>
          </cell>
          <cell r="AK40">
            <v>7600314</v>
          </cell>
          <cell r="AL40">
            <v>41478482</v>
          </cell>
          <cell r="AM40">
            <v>4550347.8285527946</v>
          </cell>
          <cell r="AN40">
            <v>-1375917.37</v>
          </cell>
          <cell r="AO40">
            <v>8714852.8455938008</v>
          </cell>
          <cell r="AP40">
            <v>0</v>
          </cell>
          <cell r="AQ40">
            <v>-1114538.6299999999</v>
          </cell>
          <cell r="AR40">
            <v>0</v>
          </cell>
          <cell r="AS40">
            <v>0</v>
          </cell>
          <cell r="AT40">
            <v>52253226.6741466</v>
          </cell>
          <cell r="AU40">
            <v>1.2510666990705065E-3</v>
          </cell>
          <cell r="AV40">
            <v>0</v>
          </cell>
          <cell r="AW40">
            <v>0</v>
          </cell>
          <cell r="AY40">
            <v>0</v>
          </cell>
          <cell r="AZ40">
            <v>0</v>
          </cell>
          <cell r="BA40">
            <v>0</v>
          </cell>
          <cell r="BB40">
            <v>0</v>
          </cell>
          <cell r="BC40">
            <v>0</v>
          </cell>
          <cell r="BD40">
            <v>0</v>
          </cell>
          <cell r="BE40">
            <v>0</v>
          </cell>
          <cell r="BF40">
            <v>0</v>
          </cell>
          <cell r="BG40">
            <v>0</v>
          </cell>
          <cell r="BH40">
            <v>0</v>
          </cell>
          <cell r="BJ40">
            <v>0</v>
          </cell>
          <cell r="BL40">
            <v>0</v>
          </cell>
          <cell r="BM40">
            <v>0</v>
          </cell>
          <cell r="BN40">
            <v>0</v>
          </cell>
          <cell r="BO40">
            <v>0</v>
          </cell>
          <cell r="BQ40">
            <v>0</v>
          </cell>
          <cell r="BR40">
            <v>0</v>
          </cell>
          <cell r="BS40">
            <v>0</v>
          </cell>
          <cell r="BT40">
            <v>0</v>
          </cell>
          <cell r="CB40">
            <v>0</v>
          </cell>
          <cell r="CC40">
            <v>0</v>
          </cell>
          <cell r="CD40">
            <v>0</v>
          </cell>
          <cell r="CE40">
            <v>0</v>
          </cell>
          <cell r="CF40">
            <v>0</v>
          </cell>
          <cell r="CI40">
            <v>0</v>
          </cell>
          <cell r="CJ40">
            <v>0</v>
          </cell>
          <cell r="CK40">
            <v>0</v>
          </cell>
          <cell r="CV40">
            <v>1.2011297539877978E-3</v>
          </cell>
          <cell r="DG40">
            <v>52253227</v>
          </cell>
          <cell r="DR40">
            <v>23967770.510000024</v>
          </cell>
          <cell r="EC40">
            <v>2.1801454990650253</v>
          </cell>
          <cell r="EN40">
            <v>2.4095909012463064E-2</v>
          </cell>
        </row>
        <row r="41">
          <cell r="B41">
            <v>12700</v>
          </cell>
          <cell r="C41" t="str">
            <v>Labor Department</v>
          </cell>
          <cell r="D41">
            <v>9.5007738500502809E-4</v>
          </cell>
          <cell r="E41">
            <v>1643855.4046524828</v>
          </cell>
          <cell r="F41">
            <v>1281751.7580773972</v>
          </cell>
          <cell r="G41">
            <v>-307990</v>
          </cell>
          <cell r="H41">
            <v>-458694.06950243079</v>
          </cell>
          <cell r="I41">
            <v>-18981.626059061571</v>
          </cell>
          <cell r="J41">
            <v>1387183.9839752952</v>
          </cell>
          <cell r="K41">
            <v>0</v>
          </cell>
          <cell r="L41">
            <v>-72884.949363463267</v>
          </cell>
          <cell r="M41">
            <v>13079.726438691645</v>
          </cell>
          <cell r="N41">
            <v>493.07116126990945</v>
          </cell>
          <cell r="O41">
            <v>-222.51762434202763</v>
          </cell>
          <cell r="P41">
            <v>0</v>
          </cell>
          <cell r="Q41">
            <v>0</v>
          </cell>
          <cell r="R41">
            <v>0</v>
          </cell>
          <cell r="S41">
            <v>3467590.7817558399</v>
          </cell>
          <cell r="T41">
            <v>169012.27000000002</v>
          </cell>
          <cell r="U41">
            <v>6935919.9198764758</v>
          </cell>
          <cell r="V41">
            <v>52318.90575476658</v>
          </cell>
          <cell r="W41">
            <v>0</v>
          </cell>
          <cell r="X41">
            <v>7157251.0956312427</v>
          </cell>
          <cell r="Y41">
            <v>1708960</v>
          </cell>
          <cell r="Z41">
            <v>0</v>
          </cell>
          <cell r="AA41">
            <v>0</v>
          </cell>
          <cell r="AB41">
            <v>94908.130295307841</v>
          </cell>
          <cell r="AC41">
            <v>1803868.1302953078</v>
          </cell>
          <cell r="AD41" t="str">
            <v>N/A</v>
          </cell>
          <cell r="AE41">
            <v>1073292</v>
          </cell>
          <cell r="AF41">
            <v>1073293</v>
          </cell>
          <cell r="AG41">
            <v>1073293</v>
          </cell>
          <cell r="AH41">
            <v>1073293</v>
          </cell>
          <cell r="AI41">
            <v>1060213</v>
          </cell>
          <cell r="AJ41">
            <v>0</v>
          </cell>
          <cell r="AK41">
            <v>5353384</v>
          </cell>
          <cell r="AL41">
            <v>33550086</v>
          </cell>
          <cell r="AM41">
            <v>3467590.7817558399</v>
          </cell>
          <cell r="AN41">
            <v>-1039464.27</v>
          </cell>
          <cell r="AO41">
            <v>6893330.6953359349</v>
          </cell>
          <cell r="AP41">
            <v>0</v>
          </cell>
          <cell r="AQ41">
            <v>-1539947.73</v>
          </cell>
          <cell r="AR41">
            <v>0</v>
          </cell>
          <cell r="AS41">
            <v>0</v>
          </cell>
          <cell r="AT41">
            <v>41331595.477091774</v>
          </cell>
          <cell r="AU41">
            <v>1.0119318006587533E-3</v>
          </cell>
          <cell r="AV41">
            <v>0</v>
          </cell>
          <cell r="AW41">
            <v>0</v>
          </cell>
          <cell r="AY41">
            <v>0</v>
          </cell>
          <cell r="AZ41">
            <v>0</v>
          </cell>
          <cell r="BA41">
            <v>0</v>
          </cell>
          <cell r="BB41">
            <v>0</v>
          </cell>
          <cell r="BC41">
            <v>0</v>
          </cell>
          <cell r="BD41">
            <v>0</v>
          </cell>
          <cell r="BE41">
            <v>0</v>
          </cell>
          <cell r="BF41">
            <v>0</v>
          </cell>
          <cell r="BG41">
            <v>0</v>
          </cell>
          <cell r="BH41">
            <v>0</v>
          </cell>
          <cell r="BJ41">
            <v>0</v>
          </cell>
          <cell r="BL41">
            <v>0</v>
          </cell>
          <cell r="BM41">
            <v>0</v>
          </cell>
          <cell r="BN41">
            <v>0</v>
          </cell>
          <cell r="BO41">
            <v>0</v>
          </cell>
          <cell r="BQ41">
            <v>0</v>
          </cell>
          <cell r="BR41">
            <v>0</v>
          </cell>
          <cell r="BS41">
            <v>0</v>
          </cell>
          <cell r="BT41">
            <v>0</v>
          </cell>
          <cell r="CB41">
            <v>0</v>
          </cell>
          <cell r="CC41">
            <v>0</v>
          </cell>
          <cell r="CD41">
            <v>0</v>
          </cell>
          <cell r="CE41">
            <v>0</v>
          </cell>
          <cell r="CF41">
            <v>0</v>
          </cell>
          <cell r="CI41">
            <v>0</v>
          </cell>
          <cell r="CJ41">
            <v>0</v>
          </cell>
          <cell r="CK41">
            <v>0</v>
          </cell>
          <cell r="CV41">
            <v>9.5007738500502809E-4</v>
          </cell>
          <cell r="DG41">
            <v>41331596</v>
          </cell>
          <cell r="DR41">
            <v>18256095.459999993</v>
          </cell>
          <cell r="EC41">
            <v>2.2639888189979924</v>
          </cell>
          <cell r="EN41">
            <v>2.4095909012463064E-2</v>
          </cell>
        </row>
        <row r="42">
          <cell r="B42">
            <v>13500</v>
          </cell>
          <cell r="C42" t="str">
            <v>Revenue Department</v>
          </cell>
          <cell r="D42">
            <v>3.5355190976060834E-3</v>
          </cell>
          <cell r="E42">
            <v>6117272.4123109942</v>
          </cell>
          <cell r="F42">
            <v>4769777.5892737694</v>
          </cell>
          <cell r="G42">
            <v>325106</v>
          </cell>
          <cell r="H42">
            <v>-1706936.3698999251</v>
          </cell>
          <cell r="I42">
            <v>-70636.247630580445</v>
          </cell>
          <cell r="J42">
            <v>5162122.1014664946</v>
          </cell>
          <cell r="K42">
            <v>0</v>
          </cell>
          <cell r="L42">
            <v>-271226.46478024835</v>
          </cell>
          <cell r="M42">
            <v>48673.532646198895</v>
          </cell>
          <cell r="N42">
            <v>1834.8637012756051</v>
          </cell>
          <cell r="O42">
            <v>-828.05392785032075</v>
          </cell>
          <cell r="P42">
            <v>0</v>
          </cell>
          <cell r="Q42">
            <v>0</v>
          </cell>
          <cell r="R42">
            <v>0</v>
          </cell>
          <cell r="S42">
            <v>14375159.363160131</v>
          </cell>
          <cell r="T42">
            <v>1625534.4100000001</v>
          </cell>
          <cell r="U42">
            <v>25810610.50733247</v>
          </cell>
          <cell r="V42">
            <v>194694.13058479558</v>
          </cell>
          <cell r="W42">
            <v>0</v>
          </cell>
          <cell r="X42">
            <v>27630839.047917265</v>
          </cell>
          <cell r="Y42">
            <v>0</v>
          </cell>
          <cell r="Z42">
            <v>0</v>
          </cell>
          <cell r="AA42">
            <v>0</v>
          </cell>
          <cell r="AB42">
            <v>353181.23815290222</v>
          </cell>
          <cell r="AC42">
            <v>353181.23815290222</v>
          </cell>
          <cell r="AD42" t="str">
            <v>N/A</v>
          </cell>
          <cell r="AE42">
            <v>5465265</v>
          </cell>
          <cell r="AF42">
            <v>5465267</v>
          </cell>
          <cell r="AG42">
            <v>5465267</v>
          </cell>
          <cell r="AH42">
            <v>5465267</v>
          </cell>
          <cell r="AI42">
            <v>5416594</v>
          </cell>
          <cell r="AJ42">
            <v>0</v>
          </cell>
          <cell r="AK42">
            <v>27277660</v>
          </cell>
          <cell r="AL42">
            <v>115899152</v>
          </cell>
          <cell r="AM42">
            <v>14375159.363160131</v>
          </cell>
          <cell r="AN42">
            <v>-3744870.41</v>
          </cell>
          <cell r="AO42">
            <v>25652123.399764366</v>
          </cell>
          <cell r="AP42">
            <v>0</v>
          </cell>
          <cell r="AQ42">
            <v>1625534.4100000001</v>
          </cell>
          <cell r="AR42">
            <v>0</v>
          </cell>
          <cell r="AS42">
            <v>0</v>
          </cell>
          <cell r="AT42">
            <v>153807098.76292449</v>
          </cell>
          <cell r="AU42">
            <v>3.4957298644101818E-3</v>
          </cell>
          <cell r="AV42">
            <v>0</v>
          </cell>
          <cell r="AW42">
            <v>0</v>
          </cell>
          <cell r="AY42">
            <v>0</v>
          </cell>
          <cell r="AZ42">
            <v>0</v>
          </cell>
          <cell r="BA42">
            <v>0</v>
          </cell>
          <cell r="BB42">
            <v>0</v>
          </cell>
          <cell r="BC42">
            <v>0</v>
          </cell>
          <cell r="BD42">
            <v>0</v>
          </cell>
          <cell r="BE42">
            <v>0</v>
          </cell>
          <cell r="BF42">
            <v>0</v>
          </cell>
          <cell r="BG42">
            <v>0</v>
          </cell>
          <cell r="BH42">
            <v>0</v>
          </cell>
          <cell r="BJ42">
            <v>0</v>
          </cell>
          <cell r="BL42">
            <v>0</v>
          </cell>
          <cell r="BM42">
            <v>0</v>
          </cell>
          <cell r="BN42">
            <v>0</v>
          </cell>
          <cell r="BO42">
            <v>0</v>
          </cell>
          <cell r="BQ42">
            <v>0</v>
          </cell>
          <cell r="BR42">
            <v>0</v>
          </cell>
          <cell r="BS42">
            <v>0</v>
          </cell>
          <cell r="BT42">
            <v>0</v>
          </cell>
          <cell r="CB42">
            <v>0</v>
          </cell>
          <cell r="CC42">
            <v>0</v>
          </cell>
          <cell r="CD42">
            <v>0</v>
          </cell>
          <cell r="CE42">
            <v>0</v>
          </cell>
          <cell r="CF42">
            <v>0</v>
          </cell>
          <cell r="CI42">
            <v>0</v>
          </cell>
          <cell r="CJ42">
            <v>0</v>
          </cell>
          <cell r="CK42">
            <v>0</v>
          </cell>
          <cell r="CV42">
            <v>3.5355190976060834E-3</v>
          </cell>
          <cell r="DG42">
            <v>153807098</v>
          </cell>
          <cell r="DR42">
            <v>62437210.360000014</v>
          </cell>
          <cell r="EC42">
            <v>2.4633883723052352</v>
          </cell>
          <cell r="EN42">
            <v>2.4095909012463064E-2</v>
          </cell>
        </row>
        <row r="43">
          <cell r="B43">
            <v>13700</v>
          </cell>
          <cell r="C43" t="str">
            <v>Secretary Of State</v>
          </cell>
          <cell r="D43">
            <v>4.2865948792620732E-4</v>
          </cell>
          <cell r="E43">
            <v>741680.86421647889</v>
          </cell>
          <cell r="F43">
            <v>578305.57903771731</v>
          </cell>
          <cell r="G43">
            <v>-114678</v>
          </cell>
          <cell r="H43">
            <v>-206955.31548375878</v>
          </cell>
          <cell r="I43">
            <v>-8564.2014375923955</v>
          </cell>
          <cell r="J43">
            <v>625874.88726209314</v>
          </cell>
          <cell r="K43">
            <v>0</v>
          </cell>
          <cell r="L43">
            <v>-32884.505583199803</v>
          </cell>
          <cell r="M43">
            <v>5901.3601690927135</v>
          </cell>
          <cell r="N43">
            <v>222.46570104394308</v>
          </cell>
          <cell r="O43">
            <v>-100.39633866719701</v>
          </cell>
          <cell r="P43">
            <v>0</v>
          </cell>
          <cell r="Q43">
            <v>0</v>
          </cell>
          <cell r="R43">
            <v>0</v>
          </cell>
          <cell r="S43">
            <v>1588802.7375432074</v>
          </cell>
          <cell r="T43">
            <v>68708.860000000102</v>
          </cell>
          <cell r="U43">
            <v>3129374.4363104659</v>
          </cell>
          <cell r="V43">
            <v>23605.440676370854</v>
          </cell>
          <cell r="W43">
            <v>0</v>
          </cell>
          <cell r="X43">
            <v>3221688.7369868364</v>
          </cell>
          <cell r="Y43">
            <v>642100</v>
          </cell>
          <cell r="Z43">
            <v>0</v>
          </cell>
          <cell r="AA43">
            <v>0</v>
          </cell>
          <cell r="AB43">
            <v>42821.007187961979</v>
          </cell>
          <cell r="AC43">
            <v>684921.00718796195</v>
          </cell>
          <cell r="AD43" t="str">
            <v>N/A</v>
          </cell>
          <cell r="AE43">
            <v>508534</v>
          </cell>
          <cell r="AF43">
            <v>508534</v>
          </cell>
          <cell r="AG43">
            <v>508534</v>
          </cell>
          <cell r="AH43">
            <v>508534</v>
          </cell>
          <cell r="AI43">
            <v>502633</v>
          </cell>
          <cell r="AJ43">
            <v>0</v>
          </cell>
          <cell r="AK43">
            <v>2536769</v>
          </cell>
          <cell r="AL43">
            <v>14982508</v>
          </cell>
          <cell r="AM43">
            <v>1588802.7375432074</v>
          </cell>
          <cell r="AN43">
            <v>-459933.8600000001</v>
          </cell>
          <cell r="AO43">
            <v>3110158.8697988749</v>
          </cell>
          <cell r="AP43">
            <v>0</v>
          </cell>
          <cell r="AQ43">
            <v>-573391.1399999999</v>
          </cell>
          <cell r="AR43">
            <v>0</v>
          </cell>
          <cell r="AS43">
            <v>0</v>
          </cell>
          <cell r="AT43">
            <v>18648144.607342083</v>
          </cell>
          <cell r="AU43">
            <v>4.5189978481555571E-4</v>
          </cell>
          <cell r="AV43">
            <v>0</v>
          </cell>
          <cell r="AW43">
            <v>0</v>
          </cell>
          <cell r="AY43">
            <v>0</v>
          </cell>
          <cell r="AZ43">
            <v>0</v>
          </cell>
          <cell r="BA43">
            <v>0</v>
          </cell>
          <cell r="BB43">
            <v>0</v>
          </cell>
          <cell r="BC43">
            <v>0</v>
          </cell>
          <cell r="BD43">
            <v>0</v>
          </cell>
          <cell r="BE43">
            <v>0</v>
          </cell>
          <cell r="BF43">
            <v>0</v>
          </cell>
          <cell r="BG43">
            <v>0</v>
          </cell>
          <cell r="BH43">
            <v>0</v>
          </cell>
          <cell r="BJ43">
            <v>0</v>
          </cell>
          <cell r="BL43">
            <v>0</v>
          </cell>
          <cell r="BM43">
            <v>0</v>
          </cell>
          <cell r="BN43">
            <v>0</v>
          </cell>
          <cell r="BO43">
            <v>0</v>
          </cell>
          <cell r="BQ43">
            <v>0</v>
          </cell>
          <cell r="BR43">
            <v>0</v>
          </cell>
          <cell r="BS43">
            <v>0</v>
          </cell>
          <cell r="BT43">
            <v>0</v>
          </cell>
          <cell r="CB43">
            <v>0</v>
          </cell>
          <cell r="CC43">
            <v>0</v>
          </cell>
          <cell r="CD43">
            <v>0</v>
          </cell>
          <cell r="CE43">
            <v>0</v>
          </cell>
          <cell r="CF43">
            <v>0</v>
          </cell>
          <cell r="CI43">
            <v>0</v>
          </cell>
          <cell r="CJ43">
            <v>0</v>
          </cell>
          <cell r="CK43">
            <v>0</v>
          </cell>
          <cell r="CV43">
            <v>4.2865948792620732E-4</v>
          </cell>
          <cell r="DG43">
            <v>18648145</v>
          </cell>
          <cell r="DR43">
            <v>8062460.2200000007</v>
          </cell>
          <cell r="EC43">
            <v>2.3129596290894936</v>
          </cell>
          <cell r="EN43">
            <v>2.4095909012463064E-2</v>
          </cell>
        </row>
        <row r="44">
          <cell r="B44">
            <v>14300</v>
          </cell>
          <cell r="C44" t="str">
            <v>State Treasurer</v>
          </cell>
          <cell r="D44">
            <v>1.2204841199810437E-3</v>
          </cell>
          <cell r="E44">
            <v>2111722.1066289777</v>
          </cell>
          <cell r="F44">
            <v>1646558.1553474918</v>
          </cell>
          <cell r="G44">
            <v>202646</v>
          </cell>
          <cell r="H44">
            <v>-589245.50420093955</v>
          </cell>
          <cell r="I44">
            <v>-24384.090751071191</v>
          </cell>
          <cell r="J44">
            <v>1781998.025271306</v>
          </cell>
          <cell r="K44">
            <v>0</v>
          </cell>
          <cell r="L44">
            <v>-93629.134518614635</v>
          </cell>
          <cell r="M44">
            <v>16802.419112454591</v>
          </cell>
          <cell r="N44">
            <v>633.40684858776206</v>
          </cell>
          <cell r="O44">
            <v>-285.84958574076023</v>
          </cell>
          <cell r="P44">
            <v>0</v>
          </cell>
          <cell r="Q44">
            <v>0</v>
          </cell>
          <cell r="R44">
            <v>0</v>
          </cell>
          <cell r="S44">
            <v>5052815.534152451</v>
          </cell>
          <cell r="T44">
            <v>1013227.0161748636</v>
          </cell>
          <cell r="U44">
            <v>8909990.1263565309</v>
          </cell>
          <cell r="V44">
            <v>67209.676449818362</v>
          </cell>
          <cell r="W44">
            <v>0</v>
          </cell>
          <cell r="X44">
            <v>9990426.8189812135</v>
          </cell>
          <cell r="Y44">
            <v>0</v>
          </cell>
          <cell r="Z44">
            <v>0</v>
          </cell>
          <cell r="AA44">
            <v>0</v>
          </cell>
          <cell r="AB44">
            <v>121920.45375535595</v>
          </cell>
          <cell r="AC44">
            <v>121920.45375535595</v>
          </cell>
          <cell r="AD44" t="str">
            <v>N/A</v>
          </cell>
          <cell r="AE44">
            <v>1977062</v>
          </cell>
          <cell r="AF44">
            <v>1977062</v>
          </cell>
          <cell r="AG44">
            <v>1977062</v>
          </cell>
          <cell r="AH44">
            <v>1977062</v>
          </cell>
          <cell r="AI44">
            <v>1960260</v>
          </cell>
          <cell r="AJ44">
            <v>0</v>
          </cell>
          <cell r="AK44">
            <v>9868508</v>
          </cell>
          <cell r="AL44">
            <v>39406661</v>
          </cell>
          <cell r="AM44">
            <v>5052815.534152451</v>
          </cell>
          <cell r="AN44">
            <v>-1232776.0161748636</v>
          </cell>
          <cell r="AO44">
            <v>8855279.3490509931</v>
          </cell>
          <cell r="AP44">
            <v>0</v>
          </cell>
          <cell r="AQ44">
            <v>1013227.0161748636</v>
          </cell>
          <cell r="AR44">
            <v>0</v>
          </cell>
          <cell r="AS44">
            <v>0</v>
          </cell>
          <cell r="AT44">
            <v>53095206.883203439</v>
          </cell>
          <cell r="AU44">
            <v>1.1885767916154681E-3</v>
          </cell>
          <cell r="AV44">
            <v>0</v>
          </cell>
          <cell r="AW44">
            <v>0</v>
          </cell>
          <cell r="AY44">
            <v>0</v>
          </cell>
          <cell r="AZ44">
            <v>0</v>
          </cell>
          <cell r="BA44">
            <v>0</v>
          </cell>
          <cell r="BB44">
            <v>0</v>
          </cell>
          <cell r="BC44">
            <v>0</v>
          </cell>
          <cell r="BD44">
            <v>0</v>
          </cell>
          <cell r="BE44">
            <v>0</v>
          </cell>
          <cell r="BF44">
            <v>0</v>
          </cell>
          <cell r="BG44">
            <v>0</v>
          </cell>
          <cell r="BH44">
            <v>0</v>
          </cell>
          <cell r="BJ44">
            <v>0</v>
          </cell>
          <cell r="BL44">
            <v>0</v>
          </cell>
          <cell r="BM44">
            <v>0</v>
          </cell>
          <cell r="BN44">
            <v>0</v>
          </cell>
          <cell r="BO44">
            <v>0</v>
          </cell>
          <cell r="BQ44">
            <v>0</v>
          </cell>
          <cell r="BR44">
            <v>0</v>
          </cell>
          <cell r="BS44">
            <v>0</v>
          </cell>
          <cell r="BT44">
            <v>0</v>
          </cell>
          <cell r="CB44">
            <v>0</v>
          </cell>
          <cell r="CC44">
            <v>0</v>
          </cell>
          <cell r="CD44">
            <v>0</v>
          </cell>
          <cell r="CE44">
            <v>0</v>
          </cell>
          <cell r="CF44">
            <v>0</v>
          </cell>
          <cell r="CI44">
            <v>0</v>
          </cell>
          <cell r="CJ44">
            <v>0</v>
          </cell>
          <cell r="CK44">
            <v>0</v>
          </cell>
          <cell r="CV44">
            <v>1.2204841199810437E-3</v>
          </cell>
          <cell r="DG44">
            <v>53095208</v>
          </cell>
          <cell r="DR44">
            <v>20301876.740000028</v>
          </cell>
          <cell r="EC44">
            <v>2.6152857038772428</v>
          </cell>
          <cell r="EN44">
            <v>2.4095909012463064E-2</v>
          </cell>
        </row>
        <row r="45">
          <cell r="B45">
            <v>18400</v>
          </cell>
          <cell r="C45" t="str">
            <v>Department Of Agriculture</v>
          </cell>
          <cell r="D45">
            <v>4.6750079910963301E-3</v>
          </cell>
          <cell r="E45">
            <v>8088853.8915349273</v>
          </cell>
          <cell r="F45">
            <v>6307064.8835430276</v>
          </cell>
          <cell r="G45">
            <v>-734136</v>
          </cell>
          <cell r="H45">
            <v>-2257077.6593961455</v>
          </cell>
          <cell r="I45">
            <v>-93402.13219541643</v>
          </cell>
          <cell r="J45">
            <v>6825861.0430675894</v>
          </cell>
          <cell r="K45">
            <v>0</v>
          </cell>
          <cell r="L45">
            <v>-358642.0707225221</v>
          </cell>
          <cell r="M45">
            <v>64360.889531028857</v>
          </cell>
          <cell r="N45">
            <v>2426.2356472191732</v>
          </cell>
          <cell r="O45">
            <v>-1094.9336215946714</v>
          </cell>
          <cell r="P45">
            <v>0</v>
          </cell>
          <cell r="Q45">
            <v>0</v>
          </cell>
          <cell r="R45">
            <v>0</v>
          </cell>
          <cell r="S45">
            <v>17844214.147388116</v>
          </cell>
          <cell r="T45">
            <v>600717.85000000056</v>
          </cell>
          <cell r="U45">
            <v>34129305.215337947</v>
          </cell>
          <cell r="V45">
            <v>257443.55812411543</v>
          </cell>
          <cell r="W45">
            <v>0</v>
          </cell>
          <cell r="X45">
            <v>34987466.623462066</v>
          </cell>
          <cell r="Y45">
            <v>4271401</v>
          </cell>
          <cell r="Z45">
            <v>0</v>
          </cell>
          <cell r="AA45">
            <v>0</v>
          </cell>
          <cell r="AB45">
            <v>467010.66097708209</v>
          </cell>
          <cell r="AC45">
            <v>4738411.6609770823</v>
          </cell>
          <cell r="AD45" t="str">
            <v>N/A</v>
          </cell>
          <cell r="AE45">
            <v>6062684</v>
          </cell>
          <cell r="AF45">
            <v>6062683</v>
          </cell>
          <cell r="AG45">
            <v>6062683</v>
          </cell>
          <cell r="AH45">
            <v>6062683</v>
          </cell>
          <cell r="AI45">
            <v>5998322</v>
          </cell>
          <cell r="AJ45">
            <v>0</v>
          </cell>
          <cell r="AK45">
            <v>30249055</v>
          </cell>
          <cell r="AL45">
            <v>160123201</v>
          </cell>
          <cell r="AM45">
            <v>17844214.147388116</v>
          </cell>
          <cell r="AN45">
            <v>-4837731.8500000006</v>
          </cell>
          <cell r="AO45">
            <v>33919738.112484984</v>
          </cell>
          <cell r="AP45">
            <v>0</v>
          </cell>
          <cell r="AQ45">
            <v>-3670683.1499999994</v>
          </cell>
          <cell r="AR45">
            <v>0</v>
          </cell>
          <cell r="AS45">
            <v>0</v>
          </cell>
          <cell r="AT45">
            <v>203378738.25987309</v>
          </cell>
          <cell r="AU45">
            <v>4.8296078684201488E-3</v>
          </cell>
          <cell r="AV45">
            <v>0</v>
          </cell>
          <cell r="AW45">
            <v>0</v>
          </cell>
          <cell r="AY45">
            <v>0</v>
          </cell>
          <cell r="AZ45">
            <v>0</v>
          </cell>
          <cell r="BA45">
            <v>0</v>
          </cell>
          <cell r="BB45">
            <v>0</v>
          </cell>
          <cell r="BC45">
            <v>0</v>
          </cell>
          <cell r="BD45">
            <v>0</v>
          </cell>
          <cell r="BE45">
            <v>0</v>
          </cell>
          <cell r="BF45">
            <v>0</v>
          </cell>
          <cell r="BG45">
            <v>0</v>
          </cell>
          <cell r="BH45">
            <v>0</v>
          </cell>
          <cell r="BJ45">
            <v>0</v>
          </cell>
          <cell r="BL45">
            <v>0</v>
          </cell>
          <cell r="BM45">
            <v>0</v>
          </cell>
          <cell r="BN45">
            <v>0</v>
          </cell>
          <cell r="BO45">
            <v>0</v>
          </cell>
          <cell r="BQ45">
            <v>0</v>
          </cell>
          <cell r="BR45">
            <v>0</v>
          </cell>
          <cell r="BS45">
            <v>0</v>
          </cell>
          <cell r="BT45">
            <v>0</v>
          </cell>
          <cell r="CB45">
            <v>0</v>
          </cell>
          <cell r="CC45">
            <v>0</v>
          </cell>
          <cell r="CD45">
            <v>0</v>
          </cell>
          <cell r="CE45">
            <v>0</v>
          </cell>
          <cell r="CF45">
            <v>0</v>
          </cell>
          <cell r="CI45">
            <v>0</v>
          </cell>
          <cell r="CJ45">
            <v>0</v>
          </cell>
          <cell r="CK45">
            <v>0</v>
          </cell>
          <cell r="CV45">
            <v>4.6750079910963301E-3</v>
          </cell>
          <cell r="DG45">
            <v>203378738</v>
          </cell>
          <cell r="DR45">
            <v>83685513.720000148</v>
          </cell>
          <cell r="EC45">
            <v>2.4302741174592821</v>
          </cell>
          <cell r="EN45">
            <v>2.4095909012463064E-2</v>
          </cell>
        </row>
        <row r="46">
          <cell r="B46">
            <v>18600</v>
          </cell>
          <cell r="C46" t="str">
            <v>Barber Examiners, State Board Of</v>
          </cell>
          <cell r="D46">
            <v>1.9691337141991118E-5</v>
          </cell>
          <cell r="E46">
            <v>34070.604665034698</v>
          </cell>
          <cell r="F46">
            <v>26565.631809569164</v>
          </cell>
          <cell r="G46">
            <v>23894</v>
          </cell>
          <cell r="H46">
            <v>-9506.9093425021056</v>
          </cell>
          <cell r="I46">
            <v>-393.41384621023002</v>
          </cell>
          <cell r="J46">
            <v>28750.82381450789</v>
          </cell>
          <cell r="K46">
            <v>0</v>
          </cell>
          <cell r="L46">
            <v>-1510.6160120686491</v>
          </cell>
          <cell r="M46">
            <v>271.09086806431975</v>
          </cell>
          <cell r="N46">
            <v>10.21941014995055</v>
          </cell>
          <cell r="O46">
            <v>-4.6119080720257397</v>
          </cell>
          <cell r="P46">
            <v>0</v>
          </cell>
          <cell r="Q46">
            <v>0</v>
          </cell>
          <cell r="R46">
            <v>0</v>
          </cell>
          <cell r="S46">
            <v>102146.81945847301</v>
          </cell>
          <cell r="T46">
            <v>119466.67</v>
          </cell>
          <cell r="U46">
            <v>143754.11907253944</v>
          </cell>
          <cell r="V46">
            <v>1084.363472257279</v>
          </cell>
          <cell r="W46">
            <v>0</v>
          </cell>
          <cell r="X46">
            <v>264305.1525447967</v>
          </cell>
          <cell r="Y46">
            <v>0</v>
          </cell>
          <cell r="Z46">
            <v>0</v>
          </cell>
          <cell r="AA46">
            <v>0</v>
          </cell>
          <cell r="AB46">
            <v>1967.0692310511499</v>
          </cell>
          <cell r="AC46">
            <v>1967.0692310511499</v>
          </cell>
          <cell r="AD46" t="str">
            <v>N/A</v>
          </cell>
          <cell r="AE46">
            <v>52522</v>
          </cell>
          <cell r="AF46">
            <v>52523</v>
          </cell>
          <cell r="AG46">
            <v>52523</v>
          </cell>
          <cell r="AH46">
            <v>52523</v>
          </cell>
          <cell r="AI46">
            <v>52251</v>
          </cell>
          <cell r="AJ46">
            <v>0</v>
          </cell>
          <cell r="AK46">
            <v>262342</v>
          </cell>
          <cell r="AL46">
            <v>511259</v>
          </cell>
          <cell r="AM46">
            <v>102146.81945847301</v>
          </cell>
          <cell r="AN46">
            <v>-19103.669999999998</v>
          </cell>
          <cell r="AO46">
            <v>142871.41331374558</v>
          </cell>
          <cell r="AP46">
            <v>0</v>
          </cell>
          <cell r="AQ46">
            <v>119466.67</v>
          </cell>
          <cell r="AR46">
            <v>0</v>
          </cell>
          <cell r="AS46">
            <v>0</v>
          </cell>
          <cell r="AT46">
            <v>856640.23277221865</v>
          </cell>
          <cell r="AU46">
            <v>1.5420518466349688E-5</v>
          </cell>
          <cell r="AV46">
            <v>0</v>
          </cell>
          <cell r="AW46">
            <v>0</v>
          </cell>
          <cell r="AY46">
            <v>0</v>
          </cell>
          <cell r="AZ46">
            <v>0</v>
          </cell>
          <cell r="BA46">
            <v>0</v>
          </cell>
          <cell r="BB46">
            <v>0</v>
          </cell>
          <cell r="BC46">
            <v>0</v>
          </cell>
          <cell r="BD46">
            <v>0</v>
          </cell>
          <cell r="BE46">
            <v>0</v>
          </cell>
          <cell r="BF46">
            <v>0</v>
          </cell>
          <cell r="BG46">
            <v>0</v>
          </cell>
          <cell r="BH46">
            <v>0</v>
          </cell>
          <cell r="BJ46">
            <v>0</v>
          </cell>
          <cell r="BL46">
            <v>0</v>
          </cell>
          <cell r="BM46">
            <v>0</v>
          </cell>
          <cell r="BN46">
            <v>0</v>
          </cell>
          <cell r="BO46">
            <v>0</v>
          </cell>
          <cell r="BQ46">
            <v>0</v>
          </cell>
          <cell r="BR46">
            <v>0</v>
          </cell>
          <cell r="BS46">
            <v>0</v>
          </cell>
          <cell r="BT46">
            <v>0</v>
          </cell>
          <cell r="CB46">
            <v>0</v>
          </cell>
          <cell r="CC46">
            <v>0</v>
          </cell>
          <cell r="CD46">
            <v>0</v>
          </cell>
          <cell r="CE46">
            <v>0</v>
          </cell>
          <cell r="CF46">
            <v>0</v>
          </cell>
          <cell r="CI46">
            <v>0</v>
          </cell>
          <cell r="CJ46">
            <v>0</v>
          </cell>
          <cell r="CK46">
            <v>0</v>
          </cell>
          <cell r="CV46">
            <v>1.9691337141991118E-5</v>
          </cell>
          <cell r="DG46">
            <v>856640</v>
          </cell>
          <cell r="DR46">
            <v>393697.74</v>
          </cell>
          <cell r="EC46">
            <v>2.1758824422004555</v>
          </cell>
          <cell r="EN46">
            <v>2.4095909012463064E-2</v>
          </cell>
        </row>
        <row r="47">
          <cell r="B47">
            <v>18690</v>
          </cell>
          <cell r="C47" t="str">
            <v>N.C. Real Estate Commission</v>
          </cell>
          <cell r="D47">
            <v>4.1545758327428627E-6</v>
          </cell>
          <cell r="E47">
            <v>7188.3849089374971</v>
          </cell>
          <cell r="F47">
            <v>5604.9485670641961</v>
          </cell>
          <cell r="G47">
            <v>-23110</v>
          </cell>
          <cell r="H47">
            <v>-2005.814816618531</v>
          </cell>
          <cell r="I47">
            <v>-83.004401679050588</v>
          </cell>
          <cell r="J47">
            <v>6065.9911985603403</v>
          </cell>
          <cell r="K47">
            <v>0</v>
          </cell>
          <cell r="L47">
            <v>-318.71724764244254</v>
          </cell>
          <cell r="M47">
            <v>57.196093937957052</v>
          </cell>
          <cell r="N47">
            <v>2.1561417656768911</v>
          </cell>
          <cell r="O47">
            <v>-0.97304320578670589</v>
          </cell>
          <cell r="P47">
            <v>0</v>
          </cell>
          <cell r="Q47">
            <v>0</v>
          </cell>
          <cell r="R47">
            <v>0</v>
          </cell>
          <cell r="S47">
            <v>-6599.8325988801444</v>
          </cell>
          <cell r="T47">
            <v>5892.84</v>
          </cell>
          <cell r="U47">
            <v>30329.955992801701</v>
          </cell>
          <cell r="V47">
            <v>228.78437575182821</v>
          </cell>
          <cell r="W47">
            <v>0</v>
          </cell>
          <cell r="X47">
            <v>36451.580368553528</v>
          </cell>
          <cell r="Y47">
            <v>121439</v>
          </cell>
          <cell r="Z47">
            <v>0</v>
          </cell>
          <cell r="AA47">
            <v>0</v>
          </cell>
          <cell r="AB47">
            <v>415.02200839525295</v>
          </cell>
          <cell r="AC47">
            <v>121854.02200839526</v>
          </cell>
          <cell r="AD47" t="str">
            <v>N/A</v>
          </cell>
          <cell r="AE47">
            <v>-17069</v>
          </cell>
          <cell r="AF47">
            <v>-17070</v>
          </cell>
          <cell r="AG47">
            <v>-17070</v>
          </cell>
          <cell r="AH47">
            <v>-17070</v>
          </cell>
          <cell r="AI47">
            <v>-17127</v>
          </cell>
          <cell r="AJ47">
            <v>0</v>
          </cell>
          <cell r="AK47">
            <v>-85406</v>
          </cell>
          <cell r="AL47">
            <v>283470</v>
          </cell>
          <cell r="AM47">
            <v>-6599.8325988801444</v>
          </cell>
          <cell r="AN47">
            <v>-10729.84</v>
          </cell>
          <cell r="AO47">
            <v>30143.718360158276</v>
          </cell>
          <cell r="AP47">
            <v>0</v>
          </cell>
          <cell r="AQ47">
            <v>-115546.16</v>
          </cell>
          <cell r="AR47">
            <v>0</v>
          </cell>
          <cell r="AS47">
            <v>0</v>
          </cell>
          <cell r="AT47">
            <v>180737.88576127807</v>
          </cell>
          <cell r="AU47">
            <v>8.5499599598058693E-6</v>
          </cell>
          <cell r="AV47">
            <v>0</v>
          </cell>
          <cell r="AW47">
            <v>0</v>
          </cell>
          <cell r="AY47">
            <v>0</v>
          </cell>
          <cell r="AZ47">
            <v>0</v>
          </cell>
          <cell r="BA47">
            <v>0</v>
          </cell>
          <cell r="BB47">
            <v>0</v>
          </cell>
          <cell r="BC47">
            <v>0</v>
          </cell>
          <cell r="BD47">
            <v>0</v>
          </cell>
          <cell r="BE47">
            <v>0</v>
          </cell>
          <cell r="BF47">
            <v>0</v>
          </cell>
          <cell r="BG47">
            <v>0</v>
          </cell>
          <cell r="BH47">
            <v>0</v>
          </cell>
          <cell r="BJ47">
            <v>0</v>
          </cell>
          <cell r="BL47">
            <v>0</v>
          </cell>
          <cell r="BM47">
            <v>0</v>
          </cell>
          <cell r="BN47">
            <v>0</v>
          </cell>
          <cell r="BO47">
            <v>0</v>
          </cell>
          <cell r="BQ47">
            <v>0</v>
          </cell>
          <cell r="BR47">
            <v>0</v>
          </cell>
          <cell r="BS47">
            <v>0</v>
          </cell>
          <cell r="BT47">
            <v>0</v>
          </cell>
          <cell r="CB47">
            <v>0</v>
          </cell>
          <cell r="CC47">
            <v>0</v>
          </cell>
          <cell r="CD47">
            <v>0</v>
          </cell>
          <cell r="CE47">
            <v>0</v>
          </cell>
          <cell r="CF47">
            <v>0</v>
          </cell>
          <cell r="CI47">
            <v>0</v>
          </cell>
          <cell r="CJ47">
            <v>0</v>
          </cell>
          <cell r="CK47">
            <v>0</v>
          </cell>
          <cell r="CV47">
            <v>4.1545758327428627E-6</v>
          </cell>
          <cell r="DG47">
            <v>180738</v>
          </cell>
          <cell r="DR47">
            <v>188638.13</v>
          </cell>
          <cell r="EC47">
            <v>0.95812018492761775</v>
          </cell>
          <cell r="EN47">
            <v>2.4095909012463064E-2</v>
          </cell>
        </row>
        <row r="48">
          <cell r="B48">
            <v>18740</v>
          </cell>
          <cell r="C48" t="str">
            <v>N.C. Auctioneers Licensing Board</v>
          </cell>
          <cell r="D48">
            <v>5.945790166111434E-6</v>
          </cell>
          <cell r="E48">
            <v>10287.603361320023</v>
          </cell>
          <cell r="F48">
            <v>8021.4802697701271</v>
          </cell>
          <cell r="G48">
            <v>2040</v>
          </cell>
          <cell r="H48">
            <v>-2870.6068902868938</v>
          </cell>
          <cell r="I48">
            <v>-118.79112937539875</v>
          </cell>
          <cell r="J48">
            <v>8681.2979875991259</v>
          </cell>
          <cell r="K48">
            <v>0</v>
          </cell>
          <cell r="L48">
            <v>-456.12980797402753</v>
          </cell>
          <cell r="M48">
            <v>81.855762553688123</v>
          </cell>
          <cell r="N48">
            <v>3.085746180408512</v>
          </cell>
          <cell r="O48">
            <v>-1.3925635148049589</v>
          </cell>
          <cell r="P48">
            <v>0</v>
          </cell>
          <cell r="Q48">
            <v>0</v>
          </cell>
          <cell r="R48">
            <v>0</v>
          </cell>
          <cell r="S48">
            <v>25668.402736272248</v>
          </cell>
          <cell r="T48">
            <v>10203.32</v>
          </cell>
          <cell r="U48">
            <v>43406.489937995633</v>
          </cell>
          <cell r="V48">
            <v>327.42305021475249</v>
          </cell>
          <cell r="W48">
            <v>0</v>
          </cell>
          <cell r="X48">
            <v>53937.232988210388</v>
          </cell>
          <cell r="Y48">
            <v>0</v>
          </cell>
          <cell r="Z48">
            <v>0</v>
          </cell>
          <cell r="AA48">
            <v>0</v>
          </cell>
          <cell r="AB48">
            <v>593.95564687699368</v>
          </cell>
          <cell r="AC48">
            <v>593.95564687699368</v>
          </cell>
          <cell r="AD48" t="str">
            <v>N/A</v>
          </cell>
          <cell r="AE48">
            <v>10684</v>
          </cell>
          <cell r="AF48">
            <v>10685</v>
          </cell>
          <cell r="AG48">
            <v>10685</v>
          </cell>
          <cell r="AH48">
            <v>10685</v>
          </cell>
          <cell r="AI48">
            <v>10604</v>
          </cell>
          <cell r="AJ48">
            <v>0</v>
          </cell>
          <cell r="AK48">
            <v>53343</v>
          </cell>
          <cell r="AL48">
            <v>185471</v>
          </cell>
          <cell r="AM48">
            <v>25668.402736272248</v>
          </cell>
          <cell r="AN48">
            <v>-5820.32</v>
          </cell>
          <cell r="AO48">
            <v>43139.957341333393</v>
          </cell>
          <cell r="AP48">
            <v>0</v>
          </cell>
          <cell r="AQ48">
            <v>10203.32</v>
          </cell>
          <cell r="AR48">
            <v>0</v>
          </cell>
          <cell r="AS48">
            <v>0</v>
          </cell>
          <cell r="AT48">
            <v>258662.36007760564</v>
          </cell>
          <cell r="AU48">
            <v>5.5941431899487805E-6</v>
          </cell>
          <cell r="AV48">
            <v>0</v>
          </cell>
          <cell r="AW48">
            <v>0</v>
          </cell>
          <cell r="AY48">
            <v>0</v>
          </cell>
          <cell r="AZ48">
            <v>0</v>
          </cell>
          <cell r="BA48">
            <v>0</v>
          </cell>
          <cell r="BB48">
            <v>0</v>
          </cell>
          <cell r="BC48">
            <v>0</v>
          </cell>
          <cell r="BD48">
            <v>0</v>
          </cell>
          <cell r="BE48">
            <v>0</v>
          </cell>
          <cell r="BF48">
            <v>0</v>
          </cell>
          <cell r="BG48">
            <v>0</v>
          </cell>
          <cell r="BH48">
            <v>0</v>
          </cell>
          <cell r="BJ48">
            <v>0</v>
          </cell>
          <cell r="BL48">
            <v>0</v>
          </cell>
          <cell r="BM48">
            <v>0</v>
          </cell>
          <cell r="BN48">
            <v>0</v>
          </cell>
          <cell r="BO48">
            <v>0</v>
          </cell>
          <cell r="BQ48">
            <v>0</v>
          </cell>
          <cell r="BR48">
            <v>0</v>
          </cell>
          <cell r="BS48">
            <v>0</v>
          </cell>
          <cell r="BT48">
            <v>0</v>
          </cell>
          <cell r="CB48">
            <v>0</v>
          </cell>
          <cell r="CC48">
            <v>0</v>
          </cell>
          <cell r="CD48">
            <v>0</v>
          </cell>
          <cell r="CE48">
            <v>0</v>
          </cell>
          <cell r="CF48">
            <v>0</v>
          </cell>
          <cell r="CI48">
            <v>0</v>
          </cell>
          <cell r="CJ48">
            <v>0</v>
          </cell>
          <cell r="CK48">
            <v>0</v>
          </cell>
          <cell r="CV48">
            <v>5.945790166111434E-6</v>
          </cell>
          <cell r="DG48">
            <v>258662</v>
          </cell>
          <cell r="DR48">
            <v>108964.61</v>
          </cell>
          <cell r="EC48">
            <v>2.3738165997198539</v>
          </cell>
          <cell r="EN48">
            <v>2.4095909012463064E-2</v>
          </cell>
        </row>
        <row r="49">
          <cell r="B49">
            <v>18780</v>
          </cell>
          <cell r="C49" t="str">
            <v>N.C. State Board Of Examiners Of Practicing Psychol</v>
          </cell>
          <cell r="D49">
            <v>1.1937855927205944E-5</v>
          </cell>
          <cell r="E49">
            <v>20655.274291994974</v>
          </cell>
          <cell r="F49">
            <v>16105.391059581863</v>
          </cell>
          <cell r="G49">
            <v>2335</v>
          </cell>
          <cell r="H49">
            <v>-5763.555477488635</v>
          </cell>
          <cell r="I49">
            <v>-238.50680032340284</v>
          </cell>
          <cell r="J49">
            <v>17430.161802174665</v>
          </cell>
          <cell r="K49">
            <v>0</v>
          </cell>
          <cell r="L49">
            <v>-915.80963666251273</v>
          </cell>
          <cell r="M49">
            <v>164.34860176315109</v>
          </cell>
          <cell r="N49">
            <v>6.1955084691013411</v>
          </cell>
          <cell r="O49">
            <v>-2.795965236710904</v>
          </cell>
          <cell r="P49">
            <v>0</v>
          </cell>
          <cell r="Q49">
            <v>0</v>
          </cell>
          <cell r="R49">
            <v>0</v>
          </cell>
          <cell r="S49">
            <v>49775.703384272492</v>
          </cell>
          <cell r="T49">
            <v>11674.73</v>
          </cell>
          <cell r="U49">
            <v>87150.809010873316</v>
          </cell>
          <cell r="V49">
            <v>657.39440705260438</v>
          </cell>
          <cell r="W49">
            <v>0</v>
          </cell>
          <cell r="X49">
            <v>99482.933417925917</v>
          </cell>
          <cell r="Y49">
            <v>0</v>
          </cell>
          <cell r="Z49">
            <v>0</v>
          </cell>
          <cell r="AA49">
            <v>0</v>
          </cell>
          <cell r="AB49">
            <v>1192.5340016170142</v>
          </cell>
          <cell r="AC49">
            <v>1192.5340016170142</v>
          </cell>
          <cell r="AD49" t="str">
            <v>N/A</v>
          </cell>
          <cell r="AE49">
            <v>19691</v>
          </cell>
          <cell r="AF49">
            <v>19691</v>
          </cell>
          <cell r="AG49">
            <v>19691</v>
          </cell>
          <cell r="AH49">
            <v>19691</v>
          </cell>
          <cell r="AI49">
            <v>19527</v>
          </cell>
          <cell r="AJ49">
            <v>0</v>
          </cell>
          <cell r="AK49">
            <v>98291</v>
          </cell>
          <cell r="AL49">
            <v>385335</v>
          </cell>
          <cell r="AM49">
            <v>49775.703384272492</v>
          </cell>
          <cell r="AN49">
            <v>-14063.73</v>
          </cell>
          <cell r="AO49">
            <v>86615.669416308912</v>
          </cell>
          <cell r="AP49">
            <v>0</v>
          </cell>
          <cell r="AQ49">
            <v>11674.73</v>
          </cell>
          <cell r="AR49">
            <v>0</v>
          </cell>
          <cell r="AS49">
            <v>0</v>
          </cell>
          <cell r="AT49">
            <v>519337.37280058145</v>
          </cell>
          <cell r="AU49">
            <v>1.1622413513214321E-5</v>
          </cell>
          <cell r="AV49">
            <v>0</v>
          </cell>
          <cell r="AW49">
            <v>0</v>
          </cell>
          <cell r="AY49">
            <v>0</v>
          </cell>
          <cell r="AZ49">
            <v>0</v>
          </cell>
          <cell r="BA49">
            <v>0</v>
          </cell>
          <cell r="BB49">
            <v>0</v>
          </cell>
          <cell r="BC49">
            <v>0</v>
          </cell>
          <cell r="BD49">
            <v>0</v>
          </cell>
          <cell r="BE49">
            <v>0</v>
          </cell>
          <cell r="BF49">
            <v>0</v>
          </cell>
          <cell r="BG49">
            <v>0</v>
          </cell>
          <cell r="BH49">
            <v>0</v>
          </cell>
          <cell r="BJ49">
            <v>0</v>
          </cell>
          <cell r="BL49">
            <v>0</v>
          </cell>
          <cell r="BM49">
            <v>0</v>
          </cell>
          <cell r="BN49">
            <v>0</v>
          </cell>
          <cell r="BO49">
            <v>0</v>
          </cell>
          <cell r="BQ49">
            <v>0</v>
          </cell>
          <cell r="BR49">
            <v>0</v>
          </cell>
          <cell r="BS49">
            <v>0</v>
          </cell>
          <cell r="BT49">
            <v>0</v>
          </cell>
          <cell r="CB49">
            <v>0</v>
          </cell>
          <cell r="CC49">
            <v>0</v>
          </cell>
          <cell r="CD49">
            <v>0</v>
          </cell>
          <cell r="CE49">
            <v>0</v>
          </cell>
          <cell r="CF49">
            <v>0</v>
          </cell>
          <cell r="CI49">
            <v>0</v>
          </cell>
          <cell r="CJ49">
            <v>0</v>
          </cell>
          <cell r="CK49">
            <v>0</v>
          </cell>
          <cell r="CV49">
            <v>1.1937855927205944E-5</v>
          </cell>
          <cell r="DG49">
            <v>519337</v>
          </cell>
          <cell r="DR49">
            <v>230054.08000000002</v>
          </cell>
          <cell r="EC49">
            <v>2.2574561598733651</v>
          </cell>
          <cell r="EN49">
            <v>2.4095909012463064E-2</v>
          </cell>
        </row>
        <row r="50">
          <cell r="B50">
            <v>19005</v>
          </cell>
          <cell r="C50" t="str">
            <v>Community Colleges Administration</v>
          </cell>
          <cell r="D50">
            <v>6.4281408440031401E-4</v>
          </cell>
          <cell r="E50">
            <v>1112218.2503297888</v>
          </cell>
          <cell r="F50">
            <v>867222.07664447709</v>
          </cell>
          <cell r="G50">
            <v>-274343</v>
          </cell>
          <cell r="H50">
            <v>-310348.4126248291</v>
          </cell>
          <cell r="I50">
            <v>-12842.802879178342</v>
          </cell>
          <cell r="J50">
            <v>938556.60246995569</v>
          </cell>
          <cell r="K50">
            <v>0</v>
          </cell>
          <cell r="L50">
            <v>-49313.321978914311</v>
          </cell>
          <cell r="M50">
            <v>8849.6289961155671</v>
          </cell>
          <cell r="N50">
            <v>333.60765352207494</v>
          </cell>
          <cell r="O50">
            <v>-150.55348670739755</v>
          </cell>
          <cell r="P50">
            <v>0</v>
          </cell>
          <cell r="Q50">
            <v>0</v>
          </cell>
          <cell r="R50">
            <v>0</v>
          </cell>
          <cell r="S50">
            <v>2280182.0751242298</v>
          </cell>
          <cell r="T50">
            <v>130785.18000000005</v>
          </cell>
          <cell r="U50">
            <v>4692783.0123497788</v>
          </cell>
          <cell r="V50">
            <v>35398.515984462269</v>
          </cell>
          <cell r="W50">
            <v>0</v>
          </cell>
          <cell r="X50">
            <v>4858966.7083342411</v>
          </cell>
          <cell r="Y50">
            <v>1502500</v>
          </cell>
          <cell r="Z50">
            <v>0</v>
          </cell>
          <cell r="AA50">
            <v>0</v>
          </cell>
          <cell r="AB50">
            <v>64214.014395891703</v>
          </cell>
          <cell r="AC50">
            <v>1566714.0143958917</v>
          </cell>
          <cell r="AD50" t="str">
            <v>N/A</v>
          </cell>
          <cell r="AE50">
            <v>660220</v>
          </cell>
          <cell r="AF50">
            <v>660220</v>
          </cell>
          <cell r="AG50">
            <v>660220</v>
          </cell>
          <cell r="AH50">
            <v>660220</v>
          </cell>
          <cell r="AI50">
            <v>651371</v>
          </cell>
          <cell r="AJ50">
            <v>0</v>
          </cell>
          <cell r="AK50">
            <v>3292251</v>
          </cell>
          <cell r="AL50">
            <v>23115175</v>
          </cell>
          <cell r="AM50">
            <v>2280182.0751242298</v>
          </cell>
          <cell r="AN50">
            <v>-723012.18</v>
          </cell>
          <cell r="AO50">
            <v>4663967.5139383497</v>
          </cell>
          <cell r="AP50">
            <v>0</v>
          </cell>
          <cell r="AQ50">
            <v>-1371714.8199999998</v>
          </cell>
          <cell r="AR50">
            <v>0</v>
          </cell>
          <cell r="AS50">
            <v>0</v>
          </cell>
          <cell r="AT50">
            <v>27964597.589062579</v>
          </cell>
          <cell r="AU50">
            <v>6.9719585232990724E-4</v>
          </cell>
          <cell r="AV50">
            <v>0</v>
          </cell>
          <cell r="AW50">
            <v>0</v>
          </cell>
          <cell r="AY50">
            <v>0</v>
          </cell>
          <cell r="AZ50">
            <v>0</v>
          </cell>
          <cell r="BA50">
            <v>0</v>
          </cell>
          <cell r="BB50">
            <v>0</v>
          </cell>
          <cell r="BC50">
            <v>0</v>
          </cell>
          <cell r="BD50">
            <v>0</v>
          </cell>
          <cell r="BE50">
            <v>0</v>
          </cell>
          <cell r="BF50">
            <v>0</v>
          </cell>
          <cell r="BG50">
            <v>0</v>
          </cell>
          <cell r="BH50">
            <v>0</v>
          </cell>
          <cell r="BJ50">
            <v>0</v>
          </cell>
          <cell r="BL50">
            <v>0</v>
          </cell>
          <cell r="BM50">
            <v>0</v>
          </cell>
          <cell r="BN50">
            <v>0</v>
          </cell>
          <cell r="BO50">
            <v>0</v>
          </cell>
          <cell r="BQ50">
            <v>0</v>
          </cell>
          <cell r="BR50">
            <v>0</v>
          </cell>
          <cell r="BS50">
            <v>0</v>
          </cell>
          <cell r="BT50">
            <v>0</v>
          </cell>
          <cell r="CB50">
            <v>0</v>
          </cell>
          <cell r="CC50">
            <v>0</v>
          </cell>
          <cell r="CD50">
            <v>0</v>
          </cell>
          <cell r="CE50">
            <v>0</v>
          </cell>
          <cell r="CF50">
            <v>0</v>
          </cell>
          <cell r="CI50">
            <v>0</v>
          </cell>
          <cell r="CJ50">
            <v>0</v>
          </cell>
          <cell r="CK50">
            <v>0</v>
          </cell>
          <cell r="CV50">
            <v>6.4281408440031401E-4</v>
          </cell>
          <cell r="DG50">
            <v>27964598</v>
          </cell>
          <cell r="DR50">
            <v>13017121.449999999</v>
          </cell>
          <cell r="EC50">
            <v>2.1482935461126855</v>
          </cell>
          <cell r="EN50">
            <v>2.4095909012463064E-2</v>
          </cell>
        </row>
        <row r="51">
          <cell r="B51">
            <v>19100</v>
          </cell>
          <cell r="C51" t="str">
            <v>Department Of Public Safety</v>
          </cell>
          <cell r="D51">
            <v>5.7082667354736695E-2</v>
          </cell>
          <cell r="E51">
            <v>98766324.432158917</v>
          </cell>
          <cell r="F51">
            <v>77010368.199948043</v>
          </cell>
          <cell r="G51">
            <v>-5472021</v>
          </cell>
          <cell r="H51">
            <v>-27559314.009836327</v>
          </cell>
          <cell r="I51">
            <v>-1140456.4125854643</v>
          </cell>
          <cell r="J51">
            <v>83344960.280957654</v>
          </cell>
          <cell r="K51">
            <v>0</v>
          </cell>
          <cell r="L51">
            <v>-4379082.5730047068</v>
          </cell>
          <cell r="M51">
            <v>785857.74714218534</v>
          </cell>
          <cell r="N51">
            <v>29624.762703761251</v>
          </cell>
          <cell r="O51">
            <v>-13369.331521152881</v>
          </cell>
          <cell r="P51">
            <v>0</v>
          </cell>
          <cell r="Q51">
            <v>0</v>
          </cell>
          <cell r="R51">
            <v>0</v>
          </cell>
          <cell r="S51">
            <v>221372892.09596294</v>
          </cell>
          <cell r="T51">
            <v>4557742.7799999937</v>
          </cell>
          <cell r="U51">
            <v>416724801.40478826</v>
          </cell>
          <cell r="V51">
            <v>3143430.9885687414</v>
          </cell>
          <cell r="W51">
            <v>0</v>
          </cell>
          <cell r="X51">
            <v>424425975.17335695</v>
          </cell>
          <cell r="Y51">
            <v>31917847</v>
          </cell>
          <cell r="Z51">
            <v>0</v>
          </cell>
          <cell r="AA51">
            <v>0</v>
          </cell>
          <cell r="AB51">
            <v>5702282.0629273206</v>
          </cell>
          <cell r="AC51">
            <v>37620129.062927321</v>
          </cell>
          <cell r="AD51" t="str">
            <v>N/A</v>
          </cell>
          <cell r="AE51">
            <v>77518342</v>
          </cell>
          <cell r="AF51">
            <v>77518340</v>
          </cell>
          <cell r="AG51">
            <v>77518340</v>
          </cell>
          <cell r="AH51">
            <v>77518340</v>
          </cell>
          <cell r="AI51">
            <v>76732482</v>
          </cell>
          <cell r="AJ51">
            <v>0</v>
          </cell>
          <cell r="AK51">
            <v>386805844</v>
          </cell>
          <cell r="AL51">
            <v>1930848318</v>
          </cell>
          <cell r="AM51">
            <v>221372892.09596294</v>
          </cell>
          <cell r="AN51">
            <v>-55737001.779999994</v>
          </cell>
          <cell r="AO51">
            <v>414165950.33042967</v>
          </cell>
          <cell r="AP51">
            <v>0</v>
          </cell>
          <cell r="AQ51">
            <v>-27360104.220000006</v>
          </cell>
          <cell r="AR51">
            <v>0</v>
          </cell>
          <cell r="AS51">
            <v>0</v>
          </cell>
          <cell r="AT51">
            <v>2483290054.426393</v>
          </cell>
          <cell r="AU51">
            <v>5.8237907973333843E-2</v>
          </cell>
          <cell r="AV51">
            <v>0</v>
          </cell>
          <cell r="AW51">
            <v>0</v>
          </cell>
          <cell r="AY51">
            <v>0</v>
          </cell>
          <cell r="AZ51">
            <v>0</v>
          </cell>
          <cell r="BA51">
            <v>0</v>
          </cell>
          <cell r="BB51">
            <v>0</v>
          </cell>
          <cell r="BC51">
            <v>0</v>
          </cell>
          <cell r="BD51">
            <v>0</v>
          </cell>
          <cell r="BE51">
            <v>0</v>
          </cell>
          <cell r="BF51">
            <v>0</v>
          </cell>
          <cell r="BG51">
            <v>0</v>
          </cell>
          <cell r="BH51">
            <v>0</v>
          </cell>
          <cell r="BJ51">
            <v>0</v>
          </cell>
          <cell r="BL51">
            <v>0</v>
          </cell>
          <cell r="BM51">
            <v>0</v>
          </cell>
          <cell r="BN51">
            <v>0</v>
          </cell>
          <cell r="BO51">
            <v>0</v>
          </cell>
          <cell r="BQ51">
            <v>0</v>
          </cell>
          <cell r="BR51">
            <v>0</v>
          </cell>
          <cell r="BS51">
            <v>0</v>
          </cell>
          <cell r="BT51">
            <v>0</v>
          </cell>
          <cell r="CB51">
            <v>0</v>
          </cell>
          <cell r="CC51">
            <v>0</v>
          </cell>
          <cell r="CD51">
            <v>0</v>
          </cell>
          <cell r="CE51">
            <v>0</v>
          </cell>
          <cell r="CF51">
            <v>0</v>
          </cell>
          <cell r="CI51">
            <v>0</v>
          </cell>
          <cell r="CJ51">
            <v>0</v>
          </cell>
          <cell r="CK51">
            <v>0</v>
          </cell>
          <cell r="CV51">
            <v>5.7082667354736695E-2</v>
          </cell>
          <cell r="DG51">
            <v>2483290054</v>
          </cell>
          <cell r="DR51">
            <v>943822179.58999956</v>
          </cell>
          <cell r="EC51">
            <v>2.6310994885485228</v>
          </cell>
          <cell r="EN51">
            <v>2.4095909012463064E-2</v>
          </cell>
        </row>
        <row r="52">
          <cell r="B52">
            <v>20100</v>
          </cell>
          <cell r="C52" t="str">
            <v>Appalachian State University</v>
          </cell>
          <cell r="D52">
            <v>1.0802526962423729E-2</v>
          </cell>
          <cell r="E52">
            <v>18690890.459402353</v>
          </cell>
          <cell r="F52">
            <v>14573715.935457006</v>
          </cell>
          <cell r="G52">
            <v>1438048</v>
          </cell>
          <cell r="H52">
            <v>-5215422.5871586753</v>
          </cell>
          <cell r="I52">
            <v>-215824.02710551026</v>
          </cell>
          <cell r="J52">
            <v>15772496.667370087</v>
          </cell>
          <cell r="K52">
            <v>0</v>
          </cell>
          <cell r="L52">
            <v>-828713.1586123727</v>
          </cell>
          <cell r="M52">
            <v>148718.51466535561</v>
          </cell>
          <cell r="N52">
            <v>5606.2954429586671</v>
          </cell>
          <cell r="O52">
            <v>-2530.0598398692614</v>
          </cell>
          <cell r="P52">
            <v>0</v>
          </cell>
          <cell r="Q52">
            <v>0</v>
          </cell>
          <cell r="R52">
            <v>0</v>
          </cell>
          <cell r="S52">
            <v>44366986.039621338</v>
          </cell>
          <cell r="T52">
            <v>7516559</v>
          </cell>
          <cell r="U52">
            <v>78862483.336850435</v>
          </cell>
          <cell r="V52">
            <v>594874.05866142246</v>
          </cell>
          <cell r="W52">
            <v>0</v>
          </cell>
          <cell r="X52">
            <v>86973916.395511851</v>
          </cell>
          <cell r="Y52">
            <v>326319.65000000037</v>
          </cell>
          <cell r="Z52">
            <v>0</v>
          </cell>
          <cell r="AA52">
            <v>0</v>
          </cell>
          <cell r="AB52">
            <v>1079120.1355275512</v>
          </cell>
          <cell r="AC52">
            <v>1405439.7855275515</v>
          </cell>
          <cell r="AD52" t="str">
            <v>N/A</v>
          </cell>
          <cell r="AE52">
            <v>17143439</v>
          </cell>
          <cell r="AF52">
            <v>17143439</v>
          </cell>
          <cell r="AG52">
            <v>17143439</v>
          </cell>
          <cell r="AH52">
            <v>17143439</v>
          </cell>
          <cell r="AI52">
            <v>16994721</v>
          </cell>
          <cell r="AJ52">
            <v>0</v>
          </cell>
          <cell r="AK52">
            <v>85568477</v>
          </cell>
          <cell r="AL52">
            <v>349132435</v>
          </cell>
          <cell r="AM52">
            <v>44366986.039621338</v>
          </cell>
          <cell r="AN52">
            <v>-9121256.3499999996</v>
          </cell>
          <cell r="AO52">
            <v>78378237.259984314</v>
          </cell>
          <cell r="AP52">
            <v>0</v>
          </cell>
          <cell r="AQ52">
            <v>7190239.3499999996</v>
          </cell>
          <cell r="AR52">
            <v>0</v>
          </cell>
          <cell r="AS52">
            <v>0</v>
          </cell>
          <cell r="AT52">
            <v>469946641.29960567</v>
          </cell>
          <cell r="AU52">
            <v>1.0530471214041338E-2</v>
          </cell>
          <cell r="AV52">
            <v>0</v>
          </cell>
          <cell r="AW52">
            <v>0</v>
          </cell>
          <cell r="AY52">
            <v>0</v>
          </cell>
          <cell r="AZ52">
            <v>0</v>
          </cell>
          <cell r="BA52">
            <v>0</v>
          </cell>
          <cell r="BB52">
            <v>0</v>
          </cell>
          <cell r="BC52">
            <v>0</v>
          </cell>
          <cell r="BD52">
            <v>0</v>
          </cell>
          <cell r="BE52">
            <v>0</v>
          </cell>
          <cell r="BF52">
            <v>0</v>
          </cell>
          <cell r="BG52">
            <v>0</v>
          </cell>
          <cell r="BH52">
            <v>0</v>
          </cell>
          <cell r="BJ52">
            <v>0</v>
          </cell>
          <cell r="BL52">
            <v>0</v>
          </cell>
          <cell r="BM52">
            <v>0</v>
          </cell>
          <cell r="BN52">
            <v>0</v>
          </cell>
          <cell r="BO52">
            <v>0</v>
          </cell>
          <cell r="BQ52">
            <v>0</v>
          </cell>
          <cell r="BR52">
            <v>0</v>
          </cell>
          <cell r="BS52">
            <v>0</v>
          </cell>
          <cell r="BT52">
            <v>0</v>
          </cell>
          <cell r="CB52">
            <v>0</v>
          </cell>
          <cell r="CC52">
            <v>0</v>
          </cell>
          <cell r="CD52">
            <v>0</v>
          </cell>
          <cell r="CE52">
            <v>0</v>
          </cell>
          <cell r="CF52">
            <v>0</v>
          </cell>
          <cell r="CI52">
            <v>0</v>
          </cell>
          <cell r="CJ52">
            <v>0</v>
          </cell>
          <cell r="CK52">
            <v>0</v>
          </cell>
          <cell r="CV52">
            <v>1.0802526962423729E-2</v>
          </cell>
          <cell r="DG52">
            <v>469946641</v>
          </cell>
          <cell r="DR52">
            <v>159125172.04999989</v>
          </cell>
          <cell r="EC52">
            <v>2.953314267916924</v>
          </cell>
          <cell r="EN52">
            <v>2.4095909012463064E-2</v>
          </cell>
        </row>
        <row r="53">
          <cell r="B53">
            <v>20200</v>
          </cell>
          <cell r="C53" t="str">
            <v>N.C. School Of The Arts</v>
          </cell>
          <cell r="D53">
            <v>1.3983940762772422E-3</v>
          </cell>
          <cell r="E53">
            <v>2419547.8141080006</v>
          </cell>
          <cell r="F53">
            <v>1886576.9189358056</v>
          </cell>
          <cell r="G53">
            <v>358945</v>
          </cell>
          <cell r="H53">
            <v>-675139.81465026259</v>
          </cell>
          <cell r="I53">
            <v>-27938.559382676976</v>
          </cell>
          <cell r="J53">
            <v>2041759.8571588476</v>
          </cell>
          <cell r="K53">
            <v>0</v>
          </cell>
          <cell r="L53">
            <v>-107277.45239309574</v>
          </cell>
          <cell r="M53">
            <v>19251.707555481309</v>
          </cell>
          <cell r="N53">
            <v>725.73855770636317</v>
          </cell>
          <cell r="O53">
            <v>-327.51787660489288</v>
          </cell>
          <cell r="P53">
            <v>0</v>
          </cell>
          <cell r="Q53">
            <v>0</v>
          </cell>
          <cell r="R53">
            <v>0</v>
          </cell>
          <cell r="S53">
            <v>5916123.6920132022</v>
          </cell>
          <cell r="T53">
            <v>1794720.25</v>
          </cell>
          <cell r="U53">
            <v>10208799.285794238</v>
          </cell>
          <cell r="V53">
            <v>77006.830221925236</v>
          </cell>
          <cell r="W53">
            <v>0</v>
          </cell>
          <cell r="X53">
            <v>12080526.366016163</v>
          </cell>
          <cell r="Y53">
            <v>0</v>
          </cell>
          <cell r="Z53">
            <v>0</v>
          </cell>
          <cell r="AA53">
            <v>0</v>
          </cell>
          <cell r="AB53">
            <v>139692.79691338487</v>
          </cell>
          <cell r="AC53">
            <v>139692.79691338487</v>
          </cell>
          <cell r="AD53" t="str">
            <v>N/A</v>
          </cell>
          <cell r="AE53">
            <v>2392017</v>
          </cell>
          <cell r="AF53">
            <v>2392018</v>
          </cell>
          <cell r="AG53">
            <v>2392018</v>
          </cell>
          <cell r="AH53">
            <v>2392018</v>
          </cell>
          <cell r="AI53">
            <v>2372766</v>
          </cell>
          <cell r="AJ53">
            <v>0</v>
          </cell>
          <cell r="AK53">
            <v>11940837</v>
          </cell>
          <cell r="AL53">
            <v>44290031</v>
          </cell>
          <cell r="AM53">
            <v>5916123.6920132022</v>
          </cell>
          <cell r="AN53">
            <v>-1312092.25</v>
          </cell>
          <cell r="AO53">
            <v>10146113.319102779</v>
          </cell>
          <cell r="AP53">
            <v>0</v>
          </cell>
          <cell r="AQ53">
            <v>1794720.25</v>
          </cell>
          <cell r="AR53">
            <v>0</v>
          </cell>
          <cell r="AS53">
            <v>0</v>
          </cell>
          <cell r="AT53">
            <v>60834896.011115983</v>
          </cell>
          <cell r="AU53">
            <v>1.3358681499429763E-3</v>
          </cell>
          <cell r="AV53">
            <v>0</v>
          </cell>
          <cell r="AW53">
            <v>0</v>
          </cell>
          <cell r="AY53">
            <v>0</v>
          </cell>
          <cell r="AZ53">
            <v>0</v>
          </cell>
          <cell r="BA53">
            <v>0</v>
          </cell>
          <cell r="BB53">
            <v>0</v>
          </cell>
          <cell r="BC53">
            <v>0</v>
          </cell>
          <cell r="BD53">
            <v>0</v>
          </cell>
          <cell r="BE53">
            <v>0</v>
          </cell>
          <cell r="BF53">
            <v>0</v>
          </cell>
          <cell r="BG53">
            <v>0</v>
          </cell>
          <cell r="BH53">
            <v>0</v>
          </cell>
          <cell r="BJ53">
            <v>0</v>
          </cell>
          <cell r="BL53">
            <v>0</v>
          </cell>
          <cell r="BM53">
            <v>0</v>
          </cell>
          <cell r="BN53">
            <v>0</v>
          </cell>
          <cell r="BO53">
            <v>0</v>
          </cell>
          <cell r="BQ53">
            <v>0</v>
          </cell>
          <cell r="BR53">
            <v>0</v>
          </cell>
          <cell r="BS53">
            <v>0</v>
          </cell>
          <cell r="BT53">
            <v>0</v>
          </cell>
          <cell r="CB53">
            <v>0</v>
          </cell>
          <cell r="CC53">
            <v>0</v>
          </cell>
          <cell r="CD53">
            <v>0</v>
          </cell>
          <cell r="CE53">
            <v>0</v>
          </cell>
          <cell r="CF53">
            <v>0</v>
          </cell>
          <cell r="CI53">
            <v>0</v>
          </cell>
          <cell r="CJ53">
            <v>0</v>
          </cell>
          <cell r="CK53">
            <v>0</v>
          </cell>
          <cell r="CV53">
            <v>1.3983940762772422E-3</v>
          </cell>
          <cell r="DG53">
            <v>60834895</v>
          </cell>
          <cell r="DR53">
            <v>23139714.909999985</v>
          </cell>
          <cell r="EC53">
            <v>2.6290252596720536</v>
          </cell>
          <cell r="EN53">
            <v>2.4095909012463064E-2</v>
          </cell>
        </row>
        <row r="54">
          <cell r="B54">
            <v>20300</v>
          </cell>
          <cell r="C54" t="str">
            <v>East Carolina University</v>
          </cell>
          <cell r="D54">
            <v>2.6136733978348658E-2</v>
          </cell>
          <cell r="E54">
            <v>45222644.058668174</v>
          </cell>
          <cell r="F54">
            <v>35261132.678126357</v>
          </cell>
          <cell r="G54">
            <v>-4821224</v>
          </cell>
          <cell r="H54">
            <v>-12618724.602067815</v>
          </cell>
          <cell r="I54">
            <v>-522186.63301785389</v>
          </cell>
          <cell r="J54">
            <v>38161584.877632126</v>
          </cell>
          <cell r="K54">
            <v>0</v>
          </cell>
          <cell r="L54">
            <v>-2005073.0210025681</v>
          </cell>
          <cell r="M54">
            <v>359824.7214734492</v>
          </cell>
          <cell r="N54">
            <v>13564.442200083386</v>
          </cell>
          <cell r="O54">
            <v>-6121.4844650690393</v>
          </cell>
          <cell r="P54">
            <v>0</v>
          </cell>
          <cell r="Q54">
            <v>0</v>
          </cell>
          <cell r="R54">
            <v>0</v>
          </cell>
          <cell r="S54">
            <v>99045421.037546903</v>
          </cell>
          <cell r="T54">
            <v>0</v>
          </cell>
          <cell r="U54">
            <v>190807924.38816065</v>
          </cell>
          <cell r="V54">
            <v>1439298.8858937968</v>
          </cell>
          <cell r="W54">
            <v>0</v>
          </cell>
          <cell r="X54">
            <v>192247223.27405444</v>
          </cell>
          <cell r="Y54">
            <v>24106114.84</v>
          </cell>
          <cell r="Z54">
            <v>0</v>
          </cell>
          <cell r="AA54">
            <v>0</v>
          </cell>
          <cell r="AB54">
            <v>2610933.1650892692</v>
          </cell>
          <cell r="AC54">
            <v>26717048.005089268</v>
          </cell>
          <cell r="AD54" t="str">
            <v>N/A</v>
          </cell>
          <cell r="AE54">
            <v>33178000</v>
          </cell>
          <cell r="AF54">
            <v>33178000</v>
          </cell>
          <cell r="AG54">
            <v>33178000</v>
          </cell>
          <cell r="AH54">
            <v>33178000</v>
          </cell>
          <cell r="AI54">
            <v>32818175</v>
          </cell>
          <cell r="AJ54">
            <v>0</v>
          </cell>
          <cell r="AK54">
            <v>165530175</v>
          </cell>
          <cell r="AL54">
            <v>893714791</v>
          </cell>
          <cell r="AM54">
            <v>99045421.037546903</v>
          </cell>
          <cell r="AN54">
            <v>-21253621.16</v>
          </cell>
          <cell r="AO54">
            <v>189636290.10896519</v>
          </cell>
          <cell r="AP54">
            <v>0</v>
          </cell>
          <cell r="AQ54">
            <v>-24106114.84</v>
          </cell>
          <cell r="AR54">
            <v>0</v>
          </cell>
          <cell r="AS54">
            <v>0</v>
          </cell>
          <cell r="AT54">
            <v>1137036766.1465123</v>
          </cell>
          <cell r="AU54">
            <v>2.6956068628154396E-2</v>
          </cell>
          <cell r="AV54">
            <v>0</v>
          </cell>
          <cell r="AW54">
            <v>0</v>
          </cell>
          <cell r="AY54">
            <v>0</v>
          </cell>
          <cell r="AZ54">
            <v>0</v>
          </cell>
          <cell r="BA54">
            <v>0</v>
          </cell>
          <cell r="BB54">
            <v>0</v>
          </cell>
          <cell r="BC54">
            <v>0</v>
          </cell>
          <cell r="BD54">
            <v>0</v>
          </cell>
          <cell r="BE54">
            <v>0</v>
          </cell>
          <cell r="BF54">
            <v>0</v>
          </cell>
          <cell r="BG54">
            <v>0</v>
          </cell>
          <cell r="BH54">
            <v>0</v>
          </cell>
          <cell r="BJ54">
            <v>0</v>
          </cell>
          <cell r="BL54">
            <v>0</v>
          </cell>
          <cell r="BM54">
            <v>0</v>
          </cell>
          <cell r="BN54">
            <v>0</v>
          </cell>
          <cell r="BO54">
            <v>0</v>
          </cell>
          <cell r="BQ54">
            <v>0</v>
          </cell>
          <cell r="BR54">
            <v>0</v>
          </cell>
          <cell r="BS54">
            <v>0</v>
          </cell>
          <cell r="BT54">
            <v>0</v>
          </cell>
          <cell r="CB54">
            <v>0</v>
          </cell>
          <cell r="CC54">
            <v>0</v>
          </cell>
          <cell r="CD54">
            <v>0</v>
          </cell>
          <cell r="CE54">
            <v>0</v>
          </cell>
          <cell r="CF54">
            <v>0</v>
          </cell>
          <cell r="CI54">
            <v>0</v>
          </cell>
          <cell r="CJ54">
            <v>0</v>
          </cell>
          <cell r="CK54">
            <v>0</v>
          </cell>
          <cell r="CV54">
            <v>2.6136733978348658E-2</v>
          </cell>
          <cell r="DG54">
            <v>1137036767</v>
          </cell>
          <cell r="DR54">
            <v>384458364.83999896</v>
          </cell>
          <cell r="EC54">
            <v>2.9575029989871688</v>
          </cell>
          <cell r="EN54">
            <v>2.4095909012463064E-2</v>
          </cell>
        </row>
        <row r="55">
          <cell r="B55">
            <v>20400</v>
          </cell>
          <cell r="C55" t="str">
            <v>Elizabeth City State University</v>
          </cell>
          <cell r="D55">
            <v>1.2727069321551963E-3</v>
          </cell>
          <cell r="E55">
            <v>2202079.7484311531</v>
          </cell>
          <cell r="F55">
            <v>1717012.0808617924</v>
          </cell>
          <cell r="G55">
            <v>-1266162</v>
          </cell>
          <cell r="H55">
            <v>-614458.49696878274</v>
          </cell>
          <cell r="I55">
            <v>-25427.451963628762</v>
          </cell>
          <cell r="J55">
            <v>1858247.2337984105</v>
          </cell>
          <cell r="K55">
            <v>0</v>
          </cell>
          <cell r="L55">
            <v>-97635.394514910222</v>
          </cell>
          <cell r="M55">
            <v>17521.371176652476</v>
          </cell>
          <cell r="N55">
            <v>660.5094436499038</v>
          </cell>
          <cell r="O55">
            <v>-298.08069058006851</v>
          </cell>
          <cell r="P55">
            <v>0</v>
          </cell>
          <cell r="Q55">
            <v>0</v>
          </cell>
          <cell r="R55">
            <v>0</v>
          </cell>
          <cell r="S55">
            <v>3791539.5195737565</v>
          </cell>
          <cell r="T55">
            <v>49780.379999999888</v>
          </cell>
          <cell r="U55">
            <v>9291236.1689920519</v>
          </cell>
          <cell r="V55">
            <v>70085.484706609903</v>
          </cell>
          <cell r="W55">
            <v>0</v>
          </cell>
          <cell r="X55">
            <v>9411102.0336986631</v>
          </cell>
          <cell r="Y55">
            <v>6380589</v>
          </cell>
          <cell r="Z55">
            <v>0</v>
          </cell>
          <cell r="AA55">
            <v>0</v>
          </cell>
          <cell r="AB55">
            <v>127137.25981814381</v>
          </cell>
          <cell r="AC55">
            <v>6507726.2598181441</v>
          </cell>
          <cell r="AD55" t="str">
            <v>N/A</v>
          </cell>
          <cell r="AE55">
            <v>584179</v>
          </cell>
          <cell r="AF55">
            <v>584179</v>
          </cell>
          <cell r="AG55">
            <v>584179</v>
          </cell>
          <cell r="AH55">
            <v>584179</v>
          </cell>
          <cell r="AI55">
            <v>566658</v>
          </cell>
          <cell r="AJ55">
            <v>0</v>
          </cell>
          <cell r="AK55">
            <v>2903374</v>
          </cell>
          <cell r="AL55">
            <v>49852660</v>
          </cell>
          <cell r="AM55">
            <v>3791539.5195737565</v>
          </cell>
          <cell r="AN55">
            <v>-1180498.3799999999</v>
          </cell>
          <cell r="AO55">
            <v>9234184.39388052</v>
          </cell>
          <cell r="AP55">
            <v>0</v>
          </cell>
          <cell r="AQ55">
            <v>-6330808.6200000001</v>
          </cell>
          <cell r="AR55">
            <v>0</v>
          </cell>
          <cell r="AS55">
            <v>0</v>
          </cell>
          <cell r="AT55">
            <v>55367076.913454272</v>
          </cell>
          <cell r="AU55">
            <v>1.5036471697692172E-3</v>
          </cell>
          <cell r="AV55">
            <v>0</v>
          </cell>
          <cell r="AW55">
            <v>0</v>
          </cell>
          <cell r="AY55">
            <v>0</v>
          </cell>
          <cell r="AZ55">
            <v>0</v>
          </cell>
          <cell r="BA55">
            <v>0</v>
          </cell>
          <cell r="BB55">
            <v>0</v>
          </cell>
          <cell r="BC55">
            <v>0</v>
          </cell>
          <cell r="BD55">
            <v>0</v>
          </cell>
          <cell r="BE55">
            <v>0</v>
          </cell>
          <cell r="BF55">
            <v>0</v>
          </cell>
          <cell r="BG55">
            <v>0</v>
          </cell>
          <cell r="BH55">
            <v>0</v>
          </cell>
          <cell r="BJ55">
            <v>0</v>
          </cell>
          <cell r="BL55">
            <v>0</v>
          </cell>
          <cell r="BM55">
            <v>0</v>
          </cell>
          <cell r="BN55">
            <v>0</v>
          </cell>
          <cell r="BO55">
            <v>0</v>
          </cell>
          <cell r="BQ55">
            <v>0</v>
          </cell>
          <cell r="BR55">
            <v>0</v>
          </cell>
          <cell r="BS55">
            <v>0</v>
          </cell>
          <cell r="BT55">
            <v>0</v>
          </cell>
          <cell r="CB55">
            <v>0</v>
          </cell>
          <cell r="CC55">
            <v>0</v>
          </cell>
          <cell r="CD55">
            <v>0</v>
          </cell>
          <cell r="CE55">
            <v>0</v>
          </cell>
          <cell r="CF55">
            <v>0</v>
          </cell>
          <cell r="CI55">
            <v>0</v>
          </cell>
          <cell r="CJ55">
            <v>0</v>
          </cell>
          <cell r="CK55">
            <v>0</v>
          </cell>
          <cell r="CV55">
            <v>1.2727069321551963E-3</v>
          </cell>
          <cell r="DG55">
            <v>55367077</v>
          </cell>
          <cell r="DR55">
            <v>21065056.790000014</v>
          </cell>
          <cell r="EC55">
            <v>2.6283848912424395</v>
          </cell>
          <cell r="EN55">
            <v>2.4095909012463064E-2</v>
          </cell>
        </row>
        <row r="56">
          <cell r="B56">
            <v>20600</v>
          </cell>
          <cell r="C56" t="str">
            <v>Fayetteville State University</v>
          </cell>
          <cell r="D56">
            <v>2.8367686811147787E-3</v>
          </cell>
          <cell r="E56">
            <v>4908271.2648451738</v>
          </cell>
          <cell r="F56">
            <v>3827091.6681787176</v>
          </cell>
          <cell r="G56">
            <v>-892139</v>
          </cell>
          <cell r="H56">
            <v>-1369582.089958593</v>
          </cell>
          <cell r="I56">
            <v>-56675.891007228885</v>
          </cell>
          <cell r="J56">
            <v>4141894.2738694032</v>
          </cell>
          <cell r="K56">
            <v>0</v>
          </cell>
          <cell r="L56">
            <v>-217622.00105185629</v>
          </cell>
          <cell r="M56">
            <v>39053.827513885124</v>
          </cell>
          <cell r="N56">
            <v>1472.2262101249478</v>
          </cell>
          <cell r="O56">
            <v>-664.39959280389235</v>
          </cell>
          <cell r="P56">
            <v>0</v>
          </cell>
          <cell r="Q56">
            <v>0</v>
          </cell>
          <cell r="R56">
            <v>0</v>
          </cell>
          <cell r="S56">
            <v>10381099.879006824</v>
          </cell>
          <cell r="T56">
            <v>57497.470000000205</v>
          </cell>
          <cell r="U56">
            <v>20709471.369347017</v>
          </cell>
          <cell r="V56">
            <v>156215.3100555405</v>
          </cell>
          <cell r="W56">
            <v>0</v>
          </cell>
          <cell r="X56">
            <v>20923184.149402555</v>
          </cell>
          <cell r="Y56">
            <v>4518190</v>
          </cell>
          <cell r="Z56">
            <v>0</v>
          </cell>
          <cell r="AA56">
            <v>0</v>
          </cell>
          <cell r="AB56">
            <v>283379.45503614441</v>
          </cell>
          <cell r="AC56">
            <v>4801569.4550361447</v>
          </cell>
          <cell r="AD56" t="str">
            <v>N/A</v>
          </cell>
          <cell r="AE56">
            <v>3232133</v>
          </cell>
          <cell r="AF56">
            <v>3232134</v>
          </cell>
          <cell r="AG56">
            <v>3232134</v>
          </cell>
          <cell r="AH56">
            <v>3232134</v>
          </cell>
          <cell r="AI56">
            <v>3193080</v>
          </cell>
          <cell r="AJ56">
            <v>0</v>
          </cell>
          <cell r="AK56">
            <v>16121615</v>
          </cell>
          <cell r="AL56">
            <v>99473456</v>
          </cell>
          <cell r="AM56">
            <v>10381099.879006824</v>
          </cell>
          <cell r="AN56">
            <v>-2567090.4700000002</v>
          </cell>
          <cell r="AO56">
            <v>20582307.224366415</v>
          </cell>
          <cell r="AP56">
            <v>0</v>
          </cell>
          <cell r="AQ56">
            <v>-4460692.5299999993</v>
          </cell>
          <cell r="AR56">
            <v>0</v>
          </cell>
          <cell r="AS56">
            <v>0</v>
          </cell>
          <cell r="AT56">
            <v>123409080.10337323</v>
          </cell>
          <cell r="AU56">
            <v>3.0003009274008141E-3</v>
          </cell>
          <cell r="AV56">
            <v>0</v>
          </cell>
          <cell r="AW56">
            <v>0</v>
          </cell>
          <cell r="AY56">
            <v>0</v>
          </cell>
          <cell r="AZ56">
            <v>0</v>
          </cell>
          <cell r="BA56">
            <v>0</v>
          </cell>
          <cell r="BB56">
            <v>0</v>
          </cell>
          <cell r="BC56">
            <v>0</v>
          </cell>
          <cell r="BD56">
            <v>0</v>
          </cell>
          <cell r="BE56">
            <v>0</v>
          </cell>
          <cell r="BF56">
            <v>0</v>
          </cell>
          <cell r="BG56">
            <v>0</v>
          </cell>
          <cell r="BH56">
            <v>0</v>
          </cell>
          <cell r="BJ56">
            <v>0</v>
          </cell>
          <cell r="BL56">
            <v>0</v>
          </cell>
          <cell r="BM56">
            <v>0</v>
          </cell>
          <cell r="BN56">
            <v>0</v>
          </cell>
          <cell r="BO56">
            <v>0</v>
          </cell>
          <cell r="BQ56">
            <v>0</v>
          </cell>
          <cell r="BR56">
            <v>0</v>
          </cell>
          <cell r="BS56">
            <v>0</v>
          </cell>
          <cell r="BT56">
            <v>0</v>
          </cell>
          <cell r="CB56">
            <v>0</v>
          </cell>
          <cell r="CC56">
            <v>0</v>
          </cell>
          <cell r="CD56">
            <v>0</v>
          </cell>
          <cell r="CE56">
            <v>0</v>
          </cell>
          <cell r="CF56">
            <v>0</v>
          </cell>
          <cell r="CI56">
            <v>0</v>
          </cell>
          <cell r="CJ56">
            <v>0</v>
          </cell>
          <cell r="CK56">
            <v>0</v>
          </cell>
          <cell r="CV56">
            <v>2.8367686811147787E-3</v>
          </cell>
          <cell r="DG56">
            <v>123409080</v>
          </cell>
          <cell r="DR56">
            <v>46059741.430000059</v>
          </cell>
          <cell r="EC56">
            <v>2.6793263741515503</v>
          </cell>
          <cell r="EN56">
            <v>2.4095909012463064E-2</v>
          </cell>
        </row>
        <row r="57">
          <cell r="B57">
            <v>20700</v>
          </cell>
          <cell r="C57" t="str">
            <v>N.C. A&amp;T University</v>
          </cell>
          <cell r="D57">
            <v>6.2362312392525649E-3</v>
          </cell>
          <cell r="E57">
            <v>10790134.139708763</v>
          </cell>
          <cell r="F57">
            <v>8413315.0423813704</v>
          </cell>
          <cell r="G57">
            <v>-1134721</v>
          </cell>
          <cell r="H57">
            <v>-3010830.8340333849</v>
          </cell>
          <cell r="I57">
            <v>-124593.86074188456</v>
          </cell>
          <cell r="J57">
            <v>9105363.6598368064</v>
          </cell>
          <cell r="K57">
            <v>0</v>
          </cell>
          <cell r="L57">
            <v>-478410.92237909173</v>
          </cell>
          <cell r="M57">
            <v>85854.268194600649</v>
          </cell>
          <cell r="N57">
            <v>3236.4792885472962</v>
          </cell>
          <cell r="O57">
            <v>-1460.5877185453433</v>
          </cell>
          <cell r="P57">
            <v>0</v>
          </cell>
          <cell r="Q57">
            <v>0</v>
          </cell>
          <cell r="R57">
            <v>0</v>
          </cell>
          <cell r="S57">
            <v>23647886.384537183</v>
          </cell>
          <cell r="T57">
            <v>160257.80000000075</v>
          </cell>
          <cell r="U57">
            <v>45526818.299184032</v>
          </cell>
          <cell r="V57">
            <v>343417.07277840259</v>
          </cell>
          <cell r="W57">
            <v>0</v>
          </cell>
          <cell r="X57">
            <v>46030493.17196244</v>
          </cell>
          <cell r="Y57">
            <v>5833865</v>
          </cell>
          <cell r="Z57">
            <v>0</v>
          </cell>
          <cell r="AA57">
            <v>0</v>
          </cell>
          <cell r="AB57">
            <v>622969.30370942282</v>
          </cell>
          <cell r="AC57">
            <v>6456834.3037094232</v>
          </cell>
          <cell r="AD57" t="str">
            <v>N/A</v>
          </cell>
          <cell r="AE57">
            <v>7931903</v>
          </cell>
          <cell r="AF57">
            <v>7931902</v>
          </cell>
          <cell r="AG57">
            <v>7931902</v>
          </cell>
          <cell r="AH57">
            <v>7931902</v>
          </cell>
          <cell r="AI57">
            <v>7846048</v>
          </cell>
          <cell r="AJ57">
            <v>0</v>
          </cell>
          <cell r="AK57">
            <v>39573657</v>
          </cell>
          <cell r="AL57">
            <v>213759724</v>
          </cell>
          <cell r="AM57">
            <v>23647886.384537183</v>
          </cell>
          <cell r="AN57">
            <v>-5684012.8000000007</v>
          </cell>
          <cell r="AO57">
            <v>45247266.068253018</v>
          </cell>
          <cell r="AP57">
            <v>0</v>
          </cell>
          <cell r="AQ57">
            <v>-5673607.1999999993</v>
          </cell>
          <cell r="AR57">
            <v>0</v>
          </cell>
          <cell r="AS57">
            <v>0</v>
          </cell>
          <cell r="AT57">
            <v>271297256.4527902</v>
          </cell>
          <cell r="AU57">
            <v>6.4473832775513084E-3</v>
          </cell>
          <cell r="AV57">
            <v>0</v>
          </cell>
          <cell r="AW57">
            <v>0</v>
          </cell>
          <cell r="AY57">
            <v>0</v>
          </cell>
          <cell r="AZ57">
            <v>0</v>
          </cell>
          <cell r="BA57">
            <v>0</v>
          </cell>
          <cell r="BB57">
            <v>0</v>
          </cell>
          <cell r="BC57">
            <v>0</v>
          </cell>
          <cell r="BD57">
            <v>0</v>
          </cell>
          <cell r="BE57">
            <v>0</v>
          </cell>
          <cell r="BF57">
            <v>0</v>
          </cell>
          <cell r="BG57">
            <v>0</v>
          </cell>
          <cell r="BH57">
            <v>0</v>
          </cell>
          <cell r="BJ57">
            <v>0</v>
          </cell>
          <cell r="BL57">
            <v>0</v>
          </cell>
          <cell r="BM57">
            <v>0</v>
          </cell>
          <cell r="BN57">
            <v>0</v>
          </cell>
          <cell r="BO57">
            <v>0</v>
          </cell>
          <cell r="BQ57">
            <v>0</v>
          </cell>
          <cell r="BR57">
            <v>0</v>
          </cell>
          <cell r="BS57">
            <v>0</v>
          </cell>
          <cell r="BT57">
            <v>0</v>
          </cell>
          <cell r="CB57">
            <v>0</v>
          </cell>
          <cell r="CC57">
            <v>0</v>
          </cell>
          <cell r="CD57">
            <v>0</v>
          </cell>
          <cell r="CE57">
            <v>0</v>
          </cell>
          <cell r="CF57">
            <v>0</v>
          </cell>
          <cell r="CI57">
            <v>0</v>
          </cell>
          <cell r="CJ57">
            <v>0</v>
          </cell>
          <cell r="CK57">
            <v>0</v>
          </cell>
          <cell r="CV57">
            <v>6.2362312392525649E-3</v>
          </cell>
          <cell r="DG57">
            <v>271297256</v>
          </cell>
          <cell r="DR57">
            <v>100882755.96999997</v>
          </cell>
          <cell r="EC57">
            <v>2.6892331934377078</v>
          </cell>
          <cell r="EN57">
            <v>2.4095909012463064E-2</v>
          </cell>
        </row>
        <row r="58">
          <cell r="B58">
            <v>20800</v>
          </cell>
          <cell r="C58" t="str">
            <v>N.C. Central University</v>
          </cell>
          <cell r="D58">
            <v>4.920570010970406E-3</v>
          </cell>
          <cell r="E58">
            <v>8513733.4433676898</v>
          </cell>
          <cell r="F58">
            <v>6638353.21400778</v>
          </cell>
          <cell r="G58">
            <v>-264960</v>
          </cell>
          <cell r="H58">
            <v>-2375634.1517293258</v>
          </cell>
          <cell r="I58">
            <v>-98308.223540315536</v>
          </cell>
          <cell r="J58">
            <v>7184399.9436016111</v>
          </cell>
          <cell r="K58">
            <v>0</v>
          </cell>
          <cell r="L58">
            <v>-377480.29976216715</v>
          </cell>
          <cell r="M58">
            <v>67741.544722256745</v>
          </cell>
          <cell r="N58">
            <v>2553.6774242934212</v>
          </cell>
          <cell r="O58">
            <v>-1152.4467022693789</v>
          </cell>
          <cell r="P58">
            <v>0</v>
          </cell>
          <cell r="Q58">
            <v>0</v>
          </cell>
          <cell r="R58">
            <v>0</v>
          </cell>
          <cell r="S58">
            <v>19289246.701389551</v>
          </cell>
          <cell r="T58">
            <v>32592.550000000745</v>
          </cell>
          <cell r="U58">
            <v>35921999.718008056</v>
          </cell>
          <cell r="V58">
            <v>270966.17888902698</v>
          </cell>
          <cell r="W58">
            <v>0</v>
          </cell>
          <cell r="X58">
            <v>36225558.446897082</v>
          </cell>
          <cell r="Y58">
            <v>1357395</v>
          </cell>
          <cell r="Z58">
            <v>0</v>
          </cell>
          <cell r="AA58">
            <v>0</v>
          </cell>
          <cell r="AB58">
            <v>491541.11770157772</v>
          </cell>
          <cell r="AC58">
            <v>1848936.1177015777</v>
          </cell>
          <cell r="AD58" t="str">
            <v>N/A</v>
          </cell>
          <cell r="AE58">
            <v>6888873</v>
          </cell>
          <cell r="AF58">
            <v>6888872</v>
          </cell>
          <cell r="AG58">
            <v>6888872</v>
          </cell>
          <cell r="AH58">
            <v>6888872</v>
          </cell>
          <cell r="AI58">
            <v>6821131</v>
          </cell>
          <cell r="AJ58">
            <v>0</v>
          </cell>
          <cell r="AK58">
            <v>34376620</v>
          </cell>
          <cell r="AL58">
            <v>164767878</v>
          </cell>
          <cell r="AM58">
            <v>19289246.701389551</v>
          </cell>
          <cell r="AN58">
            <v>-4372226.5500000007</v>
          </cell>
          <cell r="AO58">
            <v>35701424.779195502</v>
          </cell>
          <cell r="AP58">
            <v>0</v>
          </cell>
          <cell r="AQ58">
            <v>-1324802.4499999993</v>
          </cell>
          <cell r="AR58">
            <v>0</v>
          </cell>
          <cell r="AS58">
            <v>0</v>
          </cell>
          <cell r="AT58">
            <v>214061520.48058504</v>
          </cell>
          <cell r="AU58">
            <v>4.969699802402484E-3</v>
          </cell>
          <cell r="AV58">
            <v>0</v>
          </cell>
          <cell r="AW58">
            <v>0</v>
          </cell>
          <cell r="AY58">
            <v>0</v>
          </cell>
          <cell r="AZ58">
            <v>0</v>
          </cell>
          <cell r="BA58">
            <v>0</v>
          </cell>
          <cell r="BB58">
            <v>0</v>
          </cell>
          <cell r="BC58">
            <v>0</v>
          </cell>
          <cell r="BD58">
            <v>0</v>
          </cell>
          <cell r="BE58">
            <v>0</v>
          </cell>
          <cell r="BF58">
            <v>0</v>
          </cell>
          <cell r="BG58">
            <v>0</v>
          </cell>
          <cell r="BH58">
            <v>0</v>
          </cell>
          <cell r="BJ58">
            <v>0</v>
          </cell>
          <cell r="BL58">
            <v>0</v>
          </cell>
          <cell r="BM58">
            <v>0</v>
          </cell>
          <cell r="BN58">
            <v>0</v>
          </cell>
          <cell r="BO58">
            <v>0</v>
          </cell>
          <cell r="BQ58">
            <v>0</v>
          </cell>
          <cell r="BR58">
            <v>0</v>
          </cell>
          <cell r="BS58">
            <v>0</v>
          </cell>
          <cell r="BT58">
            <v>0</v>
          </cell>
          <cell r="CB58">
            <v>0</v>
          </cell>
          <cell r="CC58">
            <v>0</v>
          </cell>
          <cell r="CD58">
            <v>0</v>
          </cell>
          <cell r="CE58">
            <v>0</v>
          </cell>
          <cell r="CF58">
            <v>0</v>
          </cell>
          <cell r="CI58">
            <v>0</v>
          </cell>
          <cell r="CJ58">
            <v>0</v>
          </cell>
          <cell r="CK58">
            <v>0</v>
          </cell>
          <cell r="CV58">
            <v>4.920570010970406E-3</v>
          </cell>
          <cell r="DG58">
            <v>214061520</v>
          </cell>
          <cell r="DR58">
            <v>78015479.829999864</v>
          </cell>
          <cell r="EC58">
            <v>2.7438339220171706</v>
          </cell>
          <cell r="EN58">
            <v>2.4095909012463064E-2</v>
          </cell>
        </row>
        <row r="59">
          <cell r="B59">
            <v>20900</v>
          </cell>
          <cell r="C59" t="str">
            <v>University Of North Carolina At Greensboro</v>
          </cell>
          <cell r="D59">
            <v>1.0138441356939986E-2</v>
          </cell>
          <cell r="E59">
            <v>17541867.517738931</v>
          </cell>
          <cell r="F59">
            <v>13677796.396925759</v>
          </cell>
          <cell r="G59">
            <v>-2300171</v>
          </cell>
          <cell r="H59">
            <v>-4894804.3578596888</v>
          </cell>
          <cell r="I59">
            <v>-202556.23983528576</v>
          </cell>
          <cell r="J59">
            <v>14802882.054439679</v>
          </cell>
          <cell r="K59">
            <v>0</v>
          </cell>
          <cell r="L59">
            <v>-777767.99720488244</v>
          </cell>
          <cell r="M59">
            <v>139576.04039042664</v>
          </cell>
          <cell r="N59">
            <v>5261.648295424714</v>
          </cell>
          <cell r="O59">
            <v>-2374.5243502089143</v>
          </cell>
          <cell r="P59">
            <v>0</v>
          </cell>
          <cell r="Q59">
            <v>0</v>
          </cell>
          <cell r="R59">
            <v>0</v>
          </cell>
          <cell r="S59">
            <v>37989709.538540147</v>
          </cell>
          <cell r="T59">
            <v>0</v>
          </cell>
          <cell r="U59">
            <v>74014410.272198394</v>
          </cell>
          <cell r="V59">
            <v>558304.16156170657</v>
          </cell>
          <cell r="W59">
            <v>0</v>
          </cell>
          <cell r="X59">
            <v>74572714.433760107</v>
          </cell>
          <cell r="Y59">
            <v>11500854</v>
          </cell>
          <cell r="Z59">
            <v>0</v>
          </cell>
          <cell r="AA59">
            <v>0</v>
          </cell>
          <cell r="AB59">
            <v>1012781.1991764287</v>
          </cell>
          <cell r="AC59">
            <v>12513635.199176429</v>
          </cell>
          <cell r="AD59" t="str">
            <v>N/A</v>
          </cell>
          <cell r="AE59">
            <v>12439731</v>
          </cell>
          <cell r="AF59">
            <v>12439731</v>
          </cell>
          <cell r="AG59">
            <v>12439731</v>
          </cell>
          <cell r="AH59">
            <v>12439731</v>
          </cell>
          <cell r="AI59">
            <v>12300155</v>
          </cell>
          <cell r="AJ59">
            <v>0</v>
          </cell>
          <cell r="AK59">
            <v>62059079</v>
          </cell>
          <cell r="AL59">
            <v>349695995</v>
          </cell>
          <cell r="AM59">
            <v>37989709.538540147</v>
          </cell>
          <cell r="AN59">
            <v>-8688124</v>
          </cell>
          <cell r="AO59">
            <v>73559933.234583676</v>
          </cell>
          <cell r="AP59">
            <v>0</v>
          </cell>
          <cell r="AQ59">
            <v>-11500854</v>
          </cell>
          <cell r="AR59">
            <v>0</v>
          </cell>
          <cell r="AS59">
            <v>0</v>
          </cell>
          <cell r="AT59">
            <v>441056659.7731238</v>
          </cell>
          <cell r="AU59">
            <v>1.0547469212309908E-2</v>
          </cell>
          <cell r="AV59">
            <v>0</v>
          </cell>
          <cell r="AW59">
            <v>0</v>
          </cell>
          <cell r="AY59">
            <v>0</v>
          </cell>
          <cell r="AZ59">
            <v>0</v>
          </cell>
          <cell r="BA59">
            <v>0</v>
          </cell>
          <cell r="BB59">
            <v>0</v>
          </cell>
          <cell r="BC59">
            <v>0</v>
          </cell>
          <cell r="BD59">
            <v>0</v>
          </cell>
          <cell r="BE59">
            <v>0</v>
          </cell>
          <cell r="BF59">
            <v>0</v>
          </cell>
          <cell r="BG59">
            <v>0</v>
          </cell>
          <cell r="BH59">
            <v>0</v>
          </cell>
          <cell r="BJ59">
            <v>0</v>
          </cell>
          <cell r="BL59">
            <v>0</v>
          </cell>
          <cell r="BM59">
            <v>0</v>
          </cell>
          <cell r="BN59">
            <v>0</v>
          </cell>
          <cell r="BO59">
            <v>0</v>
          </cell>
          <cell r="BQ59">
            <v>0</v>
          </cell>
          <cell r="BR59">
            <v>0</v>
          </cell>
          <cell r="BS59">
            <v>0</v>
          </cell>
          <cell r="BT59">
            <v>0</v>
          </cell>
          <cell r="CB59">
            <v>0</v>
          </cell>
          <cell r="CC59">
            <v>0</v>
          </cell>
          <cell r="CD59">
            <v>0</v>
          </cell>
          <cell r="CE59">
            <v>0</v>
          </cell>
          <cell r="CF59">
            <v>0</v>
          </cell>
          <cell r="CI59">
            <v>0</v>
          </cell>
          <cell r="CJ59">
            <v>0</v>
          </cell>
          <cell r="CK59">
            <v>0</v>
          </cell>
          <cell r="CV59">
            <v>1.0138441356939986E-2</v>
          </cell>
          <cell r="DG59">
            <v>441056660</v>
          </cell>
          <cell r="DR59">
            <v>153380773.23999989</v>
          </cell>
          <cell r="EC59">
            <v>2.8755668046467875</v>
          </cell>
          <cell r="EN59">
            <v>2.4095909012463064E-2</v>
          </cell>
        </row>
        <row r="60">
          <cell r="B60">
            <v>21200</v>
          </cell>
          <cell r="C60" t="str">
            <v>UNC - Pembroke</v>
          </cell>
          <cell r="D60">
            <v>3.3211057016841483E-3</v>
          </cell>
          <cell r="E60">
            <v>5746287.2428089324</v>
          </cell>
          <cell r="F60">
            <v>4480511.9446896389</v>
          </cell>
          <cell r="G60">
            <v>1199456</v>
          </cell>
          <cell r="H60">
            <v>-1603418.3252821725</v>
          </cell>
          <cell r="I60">
            <v>-66352.475626658736</v>
          </cell>
          <cell r="J60">
            <v>4849062.5197240151</v>
          </cell>
          <cell r="K60">
            <v>0</v>
          </cell>
          <cell r="L60">
            <v>-254777.79464951399</v>
          </cell>
          <cell r="M60">
            <v>45721.700924159799</v>
          </cell>
          <cell r="N60">
            <v>1723.5874370600393</v>
          </cell>
          <cell r="O60">
            <v>-777.83616639144441</v>
          </cell>
          <cell r="P60">
            <v>0</v>
          </cell>
          <cell r="Q60">
            <v>0</v>
          </cell>
          <cell r="R60">
            <v>0</v>
          </cell>
          <cell r="S60">
            <v>14397436.56385907</v>
          </cell>
          <cell r="T60">
            <v>6198341</v>
          </cell>
          <cell r="U60">
            <v>24245312.598620076</v>
          </cell>
          <cell r="V60">
            <v>182886.8036966392</v>
          </cell>
          <cell r="W60">
            <v>0</v>
          </cell>
          <cell r="X60">
            <v>30626540.402316716</v>
          </cell>
          <cell r="Y60">
            <v>201060.70000000019</v>
          </cell>
          <cell r="Z60">
            <v>0</v>
          </cell>
          <cell r="AA60">
            <v>0</v>
          </cell>
          <cell r="AB60">
            <v>331762.37813329365</v>
          </cell>
          <cell r="AC60">
            <v>532823.07813329389</v>
          </cell>
          <cell r="AD60" t="str">
            <v>N/A</v>
          </cell>
          <cell r="AE60">
            <v>6027888</v>
          </cell>
          <cell r="AF60">
            <v>6027888</v>
          </cell>
          <cell r="AG60">
            <v>6027888</v>
          </cell>
          <cell r="AH60">
            <v>6027888</v>
          </cell>
          <cell r="AI60">
            <v>5982166</v>
          </cell>
          <cell r="AJ60">
            <v>0</v>
          </cell>
          <cell r="AK60">
            <v>30093718</v>
          </cell>
          <cell r="AL60">
            <v>102671567</v>
          </cell>
          <cell r="AM60">
            <v>14397436.56385907</v>
          </cell>
          <cell r="AN60">
            <v>-2683334.2999999998</v>
          </cell>
          <cell r="AO60">
            <v>24096437.024183426</v>
          </cell>
          <cell r="AP60">
            <v>0</v>
          </cell>
          <cell r="AQ60">
            <v>5997280.2999999998</v>
          </cell>
          <cell r="AR60">
            <v>0</v>
          </cell>
          <cell r="AS60">
            <v>0</v>
          </cell>
          <cell r="AT60">
            <v>144479386.58804253</v>
          </cell>
          <cell r="AU60">
            <v>3.0967617921084036E-3</v>
          </cell>
          <cell r="AV60">
            <v>0</v>
          </cell>
          <cell r="AW60">
            <v>0</v>
          </cell>
          <cell r="AY60">
            <v>0</v>
          </cell>
          <cell r="AZ60">
            <v>0</v>
          </cell>
          <cell r="BA60">
            <v>0</v>
          </cell>
          <cell r="BB60">
            <v>0</v>
          </cell>
          <cell r="BC60">
            <v>0</v>
          </cell>
          <cell r="BD60">
            <v>0</v>
          </cell>
          <cell r="BE60">
            <v>0</v>
          </cell>
          <cell r="BF60">
            <v>0</v>
          </cell>
          <cell r="BG60">
            <v>0</v>
          </cell>
          <cell r="BH60">
            <v>0</v>
          </cell>
          <cell r="BJ60">
            <v>0</v>
          </cell>
          <cell r="BL60">
            <v>0</v>
          </cell>
          <cell r="BM60">
            <v>0</v>
          </cell>
          <cell r="BN60">
            <v>0</v>
          </cell>
          <cell r="BO60">
            <v>0</v>
          </cell>
          <cell r="BQ60">
            <v>0</v>
          </cell>
          <cell r="BR60">
            <v>0</v>
          </cell>
          <cell r="BS60">
            <v>0</v>
          </cell>
          <cell r="BT60">
            <v>0</v>
          </cell>
          <cell r="CB60">
            <v>0</v>
          </cell>
          <cell r="CC60">
            <v>0</v>
          </cell>
          <cell r="CD60">
            <v>0</v>
          </cell>
          <cell r="CE60">
            <v>0</v>
          </cell>
          <cell r="CF60">
            <v>0</v>
          </cell>
          <cell r="CI60">
            <v>0</v>
          </cell>
          <cell r="CJ60">
            <v>0</v>
          </cell>
          <cell r="CK60">
            <v>0</v>
          </cell>
          <cell r="CV60">
            <v>3.3211057016841483E-3</v>
          </cell>
          <cell r="DG60">
            <v>144479386</v>
          </cell>
          <cell r="DR60">
            <v>48158850.890000053</v>
          </cell>
          <cell r="EC60">
            <v>3.0000588330067575</v>
          </cell>
          <cell r="EN60">
            <v>2.4095909012463064E-2</v>
          </cell>
        </row>
        <row r="61">
          <cell r="B61">
            <v>21300</v>
          </cell>
          <cell r="C61" t="str">
            <v>N.C. State University</v>
          </cell>
          <cell r="D61">
            <v>3.9767071830284745E-2</v>
          </cell>
          <cell r="E61">
            <v>68806306.714764208</v>
          </cell>
          <cell r="F61">
            <v>53649855.302879199</v>
          </cell>
          <cell r="G61">
            <v>4465900</v>
          </cell>
          <cell r="H61">
            <v>-19199404.488437805</v>
          </cell>
          <cell r="I61">
            <v>-794507.58312946407</v>
          </cell>
          <cell r="J61">
            <v>58062896.773691945</v>
          </cell>
          <cell r="K61">
            <v>0</v>
          </cell>
          <cell r="L61">
            <v>-3050720.985920711</v>
          </cell>
          <cell r="M61">
            <v>547473.74163123814</v>
          </cell>
          <cell r="N61">
            <v>20638.314938481177</v>
          </cell>
          <cell r="O61">
            <v>-9313.8458933709899</v>
          </cell>
          <cell r="P61">
            <v>0</v>
          </cell>
          <cell r="Q61">
            <v>0</v>
          </cell>
          <cell r="R61">
            <v>0</v>
          </cell>
          <cell r="S61">
            <v>162499123.94452372</v>
          </cell>
          <cell r="T61">
            <v>23870151</v>
          </cell>
          <cell r="U61">
            <v>290314483.8684597</v>
          </cell>
          <cell r="V61">
            <v>2189894.9665249526</v>
          </cell>
          <cell r="W61">
            <v>0</v>
          </cell>
          <cell r="X61">
            <v>316374529.83498466</v>
          </cell>
          <cell r="Y61">
            <v>1540647.6799999997</v>
          </cell>
          <cell r="Z61">
            <v>0</v>
          </cell>
          <cell r="AA61">
            <v>0</v>
          </cell>
          <cell r="AB61">
            <v>3972537.9156473204</v>
          </cell>
          <cell r="AC61">
            <v>5513185.5956473202</v>
          </cell>
          <cell r="AD61" t="str">
            <v>N/A</v>
          </cell>
          <cell r="AE61">
            <v>62281763</v>
          </cell>
          <cell r="AF61">
            <v>62281764</v>
          </cell>
          <cell r="AG61">
            <v>62281764</v>
          </cell>
          <cell r="AH61">
            <v>62281764</v>
          </cell>
          <cell r="AI61">
            <v>61734290</v>
          </cell>
          <cell r="AJ61">
            <v>0</v>
          </cell>
          <cell r="AK61">
            <v>310861345</v>
          </cell>
          <cell r="AL61">
            <v>1289812928</v>
          </cell>
          <cell r="AM61">
            <v>162499123.94452372</v>
          </cell>
          <cell r="AN61">
            <v>-33170603.32</v>
          </cell>
          <cell r="AO61">
            <v>288531840.91933739</v>
          </cell>
          <cell r="AP61">
            <v>0</v>
          </cell>
          <cell r="AQ61">
            <v>22329503.32</v>
          </cell>
          <cell r="AR61">
            <v>0</v>
          </cell>
          <cell r="AS61">
            <v>0</v>
          </cell>
          <cell r="AT61">
            <v>1730002792.8638613</v>
          </cell>
          <cell r="AU61">
            <v>3.8903111097267837E-2</v>
          </cell>
          <cell r="AV61">
            <v>0</v>
          </cell>
          <cell r="AW61">
            <v>0</v>
          </cell>
          <cell r="AY61">
            <v>0</v>
          </cell>
          <cell r="AZ61">
            <v>0</v>
          </cell>
          <cell r="BA61">
            <v>0</v>
          </cell>
          <cell r="BB61">
            <v>0</v>
          </cell>
          <cell r="BC61">
            <v>0</v>
          </cell>
          <cell r="BD61">
            <v>0</v>
          </cell>
          <cell r="BE61">
            <v>0</v>
          </cell>
          <cell r="BF61">
            <v>0</v>
          </cell>
          <cell r="BG61">
            <v>0</v>
          </cell>
          <cell r="BH61">
            <v>0</v>
          </cell>
          <cell r="BJ61">
            <v>0</v>
          </cell>
          <cell r="BL61">
            <v>0</v>
          </cell>
          <cell r="BM61">
            <v>0</v>
          </cell>
          <cell r="BN61">
            <v>0</v>
          </cell>
          <cell r="BO61">
            <v>0</v>
          </cell>
          <cell r="BQ61">
            <v>0</v>
          </cell>
          <cell r="BR61">
            <v>0</v>
          </cell>
          <cell r="BS61">
            <v>0</v>
          </cell>
          <cell r="BT61">
            <v>0</v>
          </cell>
          <cell r="CB61">
            <v>0</v>
          </cell>
          <cell r="CC61">
            <v>0</v>
          </cell>
          <cell r="CD61">
            <v>0</v>
          </cell>
          <cell r="CE61">
            <v>0</v>
          </cell>
          <cell r="CF61">
            <v>0</v>
          </cell>
          <cell r="CI61">
            <v>0</v>
          </cell>
          <cell r="CJ61">
            <v>0</v>
          </cell>
          <cell r="CK61">
            <v>0</v>
          </cell>
          <cell r="CV61">
            <v>3.9767071830284745E-2</v>
          </cell>
          <cell r="DG61">
            <v>1730002793</v>
          </cell>
          <cell r="DR61">
            <v>581913565.08000124</v>
          </cell>
          <cell r="EC61">
            <v>2.9729549142958369</v>
          </cell>
          <cell r="EN61">
            <v>2.4095909012463064E-2</v>
          </cell>
        </row>
        <row r="62">
          <cell r="B62">
            <v>21520</v>
          </cell>
          <cell r="C62" t="str">
            <v>UNC-CH CB 1260</v>
          </cell>
          <cell r="D62">
            <v>7.2483871493836394E-2</v>
          </cell>
          <cell r="E62">
            <v>125413998.67616931</v>
          </cell>
          <cell r="F62">
            <v>97788170.927770525</v>
          </cell>
          <cell r="G62">
            <v>-2113104</v>
          </cell>
          <cell r="H62">
            <v>-34994962.003672041</v>
          </cell>
          <cell r="I62">
            <v>-1448157.5561361178</v>
          </cell>
          <cell r="J62">
            <v>105831869.29793215</v>
          </cell>
          <cell r="K62">
            <v>0</v>
          </cell>
          <cell r="L62">
            <v>-5560582.102970575</v>
          </cell>
          <cell r="M62">
            <v>997886.30412631284</v>
          </cell>
          <cell r="N62">
            <v>37617.679627871214</v>
          </cell>
          <cell r="O62">
            <v>-16976.447542571423</v>
          </cell>
          <cell r="P62">
            <v>0</v>
          </cell>
          <cell r="Q62">
            <v>0</v>
          </cell>
          <cell r="R62">
            <v>0</v>
          </cell>
          <cell r="S62">
            <v>285935760.77530485</v>
          </cell>
          <cell r="T62">
            <v>0</v>
          </cell>
          <cell r="U62">
            <v>529159346.4896608</v>
          </cell>
          <cell r="V62">
            <v>3991545.2165052514</v>
          </cell>
          <cell r="W62">
            <v>0</v>
          </cell>
          <cell r="X62">
            <v>533150891.70616603</v>
          </cell>
          <cell r="Y62">
            <v>10565518.759999998</v>
          </cell>
          <cell r="Z62">
            <v>0</v>
          </cell>
          <cell r="AA62">
            <v>0</v>
          </cell>
          <cell r="AB62">
            <v>7240787.7806805884</v>
          </cell>
          <cell r="AC62">
            <v>17806306.540680587</v>
          </cell>
          <cell r="AD62" t="str">
            <v>N/A</v>
          </cell>
          <cell r="AE62">
            <v>103268494</v>
          </cell>
          <cell r="AF62">
            <v>103268495</v>
          </cell>
          <cell r="AG62">
            <v>103268495</v>
          </cell>
          <cell r="AH62">
            <v>103268495</v>
          </cell>
          <cell r="AI62">
            <v>102270609</v>
          </cell>
          <cell r="AJ62">
            <v>0</v>
          </cell>
          <cell r="AK62">
            <v>515344588</v>
          </cell>
          <cell r="AL62">
            <v>2410938298</v>
          </cell>
          <cell r="AM62">
            <v>285935760.77530485</v>
          </cell>
          <cell r="AN62">
            <v>-58923861.240000002</v>
          </cell>
          <cell r="AO62">
            <v>525910103.92548549</v>
          </cell>
          <cell r="AP62">
            <v>0</v>
          </cell>
          <cell r="AQ62">
            <v>-10565518.759999998</v>
          </cell>
          <cell r="AR62">
            <v>0</v>
          </cell>
          <cell r="AS62">
            <v>0</v>
          </cell>
          <cell r="AT62">
            <v>3153294782.7007904</v>
          </cell>
          <cell r="AU62">
            <v>7.2718297661777884E-2</v>
          </cell>
          <cell r="AV62">
            <v>0</v>
          </cell>
          <cell r="AW62">
            <v>0</v>
          </cell>
          <cell r="AY62">
            <v>0</v>
          </cell>
          <cell r="AZ62">
            <v>0</v>
          </cell>
          <cell r="BA62">
            <v>0</v>
          </cell>
          <cell r="BB62">
            <v>0</v>
          </cell>
          <cell r="BC62">
            <v>0</v>
          </cell>
          <cell r="BD62">
            <v>0</v>
          </cell>
          <cell r="BE62">
            <v>0</v>
          </cell>
          <cell r="BF62">
            <v>0</v>
          </cell>
          <cell r="BG62">
            <v>0</v>
          </cell>
          <cell r="BH62">
            <v>0</v>
          </cell>
          <cell r="BJ62">
            <v>0</v>
          </cell>
          <cell r="BL62">
            <v>0</v>
          </cell>
          <cell r="BM62">
            <v>0</v>
          </cell>
          <cell r="BN62">
            <v>0</v>
          </cell>
          <cell r="BO62">
            <v>0</v>
          </cell>
          <cell r="BQ62">
            <v>0</v>
          </cell>
          <cell r="BR62">
            <v>0</v>
          </cell>
          <cell r="BS62">
            <v>0</v>
          </cell>
          <cell r="BT62">
            <v>0</v>
          </cell>
          <cell r="CB62">
            <v>0</v>
          </cell>
          <cell r="CC62">
            <v>0</v>
          </cell>
          <cell r="CD62">
            <v>0</v>
          </cell>
          <cell r="CE62">
            <v>0</v>
          </cell>
          <cell r="CF62">
            <v>0</v>
          </cell>
          <cell r="CI62">
            <v>0</v>
          </cell>
          <cell r="CJ62">
            <v>0</v>
          </cell>
          <cell r="CK62">
            <v>0</v>
          </cell>
          <cell r="CV62">
            <v>7.2483871493836394E-2</v>
          </cell>
          <cell r="DG62">
            <v>3153294783</v>
          </cell>
          <cell r="DR62">
            <v>1037963761.8100019</v>
          </cell>
          <cell r="EC62">
            <v>3.0379623056408853</v>
          </cell>
          <cell r="EN62">
            <v>2.4095909012463064E-2</v>
          </cell>
        </row>
        <row r="63">
          <cell r="B63">
            <v>21525</v>
          </cell>
          <cell r="C63" t="str">
            <v>UNC-General Administration</v>
          </cell>
          <cell r="D63">
            <v>1.7553154435545669E-3</v>
          </cell>
          <cell r="E63">
            <v>3037105.0024960591</v>
          </cell>
          <cell r="F63">
            <v>2368100.4213615349</v>
          </cell>
          <cell r="G63">
            <v>307283</v>
          </cell>
          <cell r="H63">
            <v>-847460.21405429789</v>
          </cell>
          <cell r="I63">
            <v>-35069.502643800173</v>
          </cell>
          <cell r="J63">
            <v>2562891.7270886307</v>
          </cell>
          <cell r="K63">
            <v>0</v>
          </cell>
          <cell r="L63">
            <v>-134658.58596318719</v>
          </cell>
          <cell r="M63">
            <v>24165.448181026764</v>
          </cell>
          <cell r="N63">
            <v>910.97360889594916</v>
          </cell>
          <cell r="O63">
            <v>-411.11243003491512</v>
          </cell>
          <cell r="P63">
            <v>0</v>
          </cell>
          <cell r="Q63">
            <v>0</v>
          </cell>
          <cell r="R63">
            <v>0</v>
          </cell>
          <cell r="S63">
            <v>7282857.1576448279</v>
          </cell>
          <cell r="T63">
            <v>1536416.2789071039</v>
          </cell>
          <cell r="U63">
            <v>12814458.635443155</v>
          </cell>
          <cell r="V63">
            <v>96661.792724107057</v>
          </cell>
          <cell r="W63">
            <v>0</v>
          </cell>
          <cell r="X63">
            <v>14447536.707074365</v>
          </cell>
          <cell r="Y63">
            <v>0</v>
          </cell>
          <cell r="Z63">
            <v>0</v>
          </cell>
          <cell r="AA63">
            <v>0</v>
          </cell>
          <cell r="AB63">
            <v>175347.51321900086</v>
          </cell>
          <cell r="AC63">
            <v>175347.51321900086</v>
          </cell>
          <cell r="AD63" t="str">
            <v>N/A</v>
          </cell>
          <cell r="AE63">
            <v>2859271</v>
          </cell>
          <cell r="AF63">
            <v>2859271</v>
          </cell>
          <cell r="AG63">
            <v>2859271</v>
          </cell>
          <cell r="AH63">
            <v>2859271</v>
          </cell>
          <cell r="AI63">
            <v>2835105</v>
          </cell>
          <cell r="AJ63">
            <v>0</v>
          </cell>
          <cell r="AK63">
            <v>14272189</v>
          </cell>
          <cell r="AL63">
            <v>56443267</v>
          </cell>
          <cell r="AM63">
            <v>7282857.1576448279</v>
          </cell>
          <cell r="AN63">
            <v>-1636125.2789071039</v>
          </cell>
          <cell r="AO63">
            <v>12735772.91494826</v>
          </cell>
          <cell r="AP63">
            <v>0</v>
          </cell>
          <cell r="AQ63">
            <v>1536416.2789071039</v>
          </cell>
          <cell r="AR63">
            <v>0</v>
          </cell>
          <cell r="AS63">
            <v>0</v>
          </cell>
          <cell r="AT63">
            <v>76362188.072593093</v>
          </cell>
          <cell r="AU63">
            <v>1.702431898495573E-3</v>
          </cell>
          <cell r="AV63">
            <v>0</v>
          </cell>
          <cell r="AW63">
            <v>0</v>
          </cell>
          <cell r="AY63">
            <v>0</v>
          </cell>
          <cell r="AZ63">
            <v>0</v>
          </cell>
          <cell r="BA63">
            <v>0</v>
          </cell>
          <cell r="BB63">
            <v>0</v>
          </cell>
          <cell r="BC63">
            <v>0</v>
          </cell>
          <cell r="BD63">
            <v>0</v>
          </cell>
          <cell r="BE63">
            <v>0</v>
          </cell>
          <cell r="BF63">
            <v>0</v>
          </cell>
          <cell r="BG63">
            <v>0</v>
          </cell>
          <cell r="BH63">
            <v>0</v>
          </cell>
          <cell r="BJ63">
            <v>0</v>
          </cell>
          <cell r="BL63">
            <v>0</v>
          </cell>
          <cell r="BM63">
            <v>0</v>
          </cell>
          <cell r="BN63">
            <v>0</v>
          </cell>
          <cell r="BO63">
            <v>0</v>
          </cell>
          <cell r="BQ63">
            <v>0</v>
          </cell>
          <cell r="BR63">
            <v>0</v>
          </cell>
          <cell r="BS63">
            <v>0</v>
          </cell>
          <cell r="BT63">
            <v>0</v>
          </cell>
          <cell r="CB63">
            <v>0</v>
          </cell>
          <cell r="CC63">
            <v>0</v>
          </cell>
          <cell r="CD63">
            <v>0</v>
          </cell>
          <cell r="CE63">
            <v>0</v>
          </cell>
          <cell r="CF63">
            <v>0</v>
          </cell>
          <cell r="CI63">
            <v>0</v>
          </cell>
          <cell r="CJ63">
            <v>0</v>
          </cell>
          <cell r="CK63">
            <v>0</v>
          </cell>
          <cell r="CV63">
            <v>1.7553154435545669E-3</v>
          </cell>
          <cell r="DG63">
            <v>76362188</v>
          </cell>
          <cell r="DR63">
            <v>27240178.579999987</v>
          </cell>
          <cell r="EC63">
            <v>2.8032924885472625</v>
          </cell>
          <cell r="EN63">
            <v>2.4095909012463064E-2</v>
          </cell>
        </row>
        <row r="64">
          <cell r="B64">
            <v>21550</v>
          </cell>
          <cell r="C64" t="str">
            <v>UNC Health Care System</v>
          </cell>
          <cell r="D64">
            <v>3.9173976380473784E-2</v>
          </cell>
          <cell r="E64">
            <v>67780113.295118302</v>
          </cell>
          <cell r="F64">
            <v>52849708.759554327</v>
          </cell>
          <cell r="G64">
            <v>10284265</v>
          </cell>
          <cell r="H64">
            <v>-18913060.060319748</v>
          </cell>
          <cell r="I64">
            <v>-782658.11041984579</v>
          </cell>
          <cell r="J64">
            <v>57196933.093331285</v>
          </cell>
          <cell r="K64">
            <v>0</v>
          </cell>
          <cell r="L64">
            <v>-3005221.8165799486</v>
          </cell>
          <cell r="M64">
            <v>539308.58965730807</v>
          </cell>
          <cell r="N64">
            <v>20330.510261938285</v>
          </cell>
          <cell r="O64">
            <v>-9174.9370080707649</v>
          </cell>
          <cell r="P64">
            <v>0</v>
          </cell>
          <cell r="Q64">
            <v>0</v>
          </cell>
          <cell r="R64">
            <v>0</v>
          </cell>
          <cell r="S64">
            <v>165960544.32359555</v>
          </cell>
          <cell r="T64">
            <v>53405997</v>
          </cell>
          <cell r="U64">
            <v>285984665.46665639</v>
          </cell>
          <cell r="V64">
            <v>2157234.3586292323</v>
          </cell>
          <cell r="W64">
            <v>0</v>
          </cell>
          <cell r="X64">
            <v>341547896.82528561</v>
          </cell>
          <cell r="Y64">
            <v>1984669.9900000058</v>
          </cell>
          <cell r="Z64">
            <v>0</v>
          </cell>
          <cell r="AA64">
            <v>0</v>
          </cell>
          <cell r="AB64">
            <v>3913290.5520992288</v>
          </cell>
          <cell r="AC64">
            <v>5897960.5420992346</v>
          </cell>
          <cell r="AD64" t="str">
            <v>N/A</v>
          </cell>
          <cell r="AE64">
            <v>67237849</v>
          </cell>
          <cell r="AF64">
            <v>67237850</v>
          </cell>
          <cell r="AG64">
            <v>67237850</v>
          </cell>
          <cell r="AH64">
            <v>67237850</v>
          </cell>
          <cell r="AI64">
            <v>66698541</v>
          </cell>
          <cell r="AJ64">
            <v>0</v>
          </cell>
          <cell r="AK64">
            <v>335649940</v>
          </cell>
          <cell r="AL64">
            <v>1234706134</v>
          </cell>
          <cell r="AM64">
            <v>165960544.32359555</v>
          </cell>
          <cell r="AN64">
            <v>-32115489.009999994</v>
          </cell>
          <cell r="AO64">
            <v>284228609.27318645</v>
          </cell>
          <cell r="AP64">
            <v>0</v>
          </cell>
          <cell r="AQ64">
            <v>51421327.00999999</v>
          </cell>
          <cell r="AR64">
            <v>0</v>
          </cell>
          <cell r="AS64">
            <v>0</v>
          </cell>
          <cell r="AT64">
            <v>1704201125.596782</v>
          </cell>
          <cell r="AU64">
            <v>3.7240989628804788E-2</v>
          </cell>
          <cell r="AV64">
            <v>0</v>
          </cell>
          <cell r="AW64">
            <v>0</v>
          </cell>
          <cell r="AY64">
            <v>0</v>
          </cell>
          <cell r="AZ64">
            <v>0</v>
          </cell>
          <cell r="BA64">
            <v>0</v>
          </cell>
          <cell r="BB64">
            <v>0</v>
          </cell>
          <cell r="BC64">
            <v>0</v>
          </cell>
          <cell r="BD64">
            <v>0</v>
          </cell>
          <cell r="BE64">
            <v>0</v>
          </cell>
          <cell r="BF64">
            <v>0</v>
          </cell>
          <cell r="BG64">
            <v>0</v>
          </cell>
          <cell r="BH64">
            <v>0</v>
          </cell>
          <cell r="BJ64">
            <v>0</v>
          </cell>
          <cell r="BL64">
            <v>0</v>
          </cell>
          <cell r="BM64">
            <v>0</v>
          </cell>
          <cell r="BN64">
            <v>0</v>
          </cell>
          <cell r="BO64">
            <v>0</v>
          </cell>
          <cell r="BQ64">
            <v>0</v>
          </cell>
          <cell r="BR64">
            <v>0</v>
          </cell>
          <cell r="BS64">
            <v>0</v>
          </cell>
          <cell r="BT64">
            <v>0</v>
          </cell>
          <cell r="CB64">
            <v>0</v>
          </cell>
          <cell r="CC64">
            <v>0</v>
          </cell>
          <cell r="CD64">
            <v>0</v>
          </cell>
          <cell r="CE64">
            <v>0</v>
          </cell>
          <cell r="CF64">
            <v>0</v>
          </cell>
          <cell r="CI64">
            <v>0</v>
          </cell>
          <cell r="CJ64">
            <v>0</v>
          </cell>
          <cell r="CK64">
            <v>0</v>
          </cell>
          <cell r="CV64">
            <v>3.9173976380473784E-2</v>
          </cell>
          <cell r="DG64">
            <v>1704201125</v>
          </cell>
          <cell r="DR64">
            <v>525945521.43999976</v>
          </cell>
          <cell r="EC64">
            <v>3.2402616916178388</v>
          </cell>
          <cell r="EN64">
            <v>2.4095909012463064E-2</v>
          </cell>
        </row>
        <row r="65">
          <cell r="B65">
            <v>21570</v>
          </cell>
          <cell r="C65" t="str">
            <v>University Of North Carolina Press</v>
          </cell>
          <cell r="D65">
            <v>1.5736830915027389E-4</v>
          </cell>
          <cell r="E65">
            <v>272283.86824125011</v>
          </cell>
          <cell r="F65">
            <v>212305.97644208046</v>
          </cell>
          <cell r="G65">
            <v>-47688</v>
          </cell>
          <cell r="H65">
            <v>-75976.874383210088</v>
          </cell>
          <cell r="I65">
            <v>-3144.0664149915406</v>
          </cell>
          <cell r="J65">
            <v>229769.49192131075</v>
          </cell>
          <cell r="K65">
            <v>0</v>
          </cell>
          <cell r="L65">
            <v>-12072.470542776728</v>
          </cell>
          <cell r="M65">
            <v>2166.4913472223575</v>
          </cell>
          <cell r="N65">
            <v>81.671005082809145</v>
          </cell>
          <cell r="O65">
            <v>-36.857231686085647</v>
          </cell>
          <cell r="P65">
            <v>0</v>
          </cell>
          <cell r="Q65">
            <v>0</v>
          </cell>
          <cell r="R65">
            <v>0</v>
          </cell>
          <cell r="S65">
            <v>577689.23038428195</v>
          </cell>
          <cell r="T65">
            <v>22111.889999999985</v>
          </cell>
          <cell r="U65">
            <v>1148847.4596065537</v>
          </cell>
          <cell r="V65">
            <v>8665.96538888943</v>
          </cell>
          <cell r="W65">
            <v>0</v>
          </cell>
          <cell r="X65">
            <v>1179625.314995443</v>
          </cell>
          <cell r="Y65">
            <v>260551</v>
          </cell>
          <cell r="Z65">
            <v>0</v>
          </cell>
          <cell r="AA65">
            <v>0</v>
          </cell>
          <cell r="AB65">
            <v>15720.332074957701</v>
          </cell>
          <cell r="AC65">
            <v>276271.33207495773</v>
          </cell>
          <cell r="AD65" t="str">
            <v>N/A</v>
          </cell>
          <cell r="AE65">
            <v>181104</v>
          </cell>
          <cell r="AF65">
            <v>181104</v>
          </cell>
          <cell r="AG65">
            <v>181104</v>
          </cell>
          <cell r="AH65">
            <v>181104</v>
          </cell>
          <cell r="AI65">
            <v>178937</v>
          </cell>
          <cell r="AJ65">
            <v>0</v>
          </cell>
          <cell r="AK65">
            <v>903353</v>
          </cell>
          <cell r="AL65">
            <v>5530128</v>
          </cell>
          <cell r="AM65">
            <v>577689.23038428195</v>
          </cell>
          <cell r="AN65">
            <v>-165114.88999999998</v>
          </cell>
          <cell r="AO65">
            <v>1141793.0929204854</v>
          </cell>
          <cell r="AP65">
            <v>0</v>
          </cell>
          <cell r="AQ65">
            <v>-238439.11000000002</v>
          </cell>
          <cell r="AR65">
            <v>0</v>
          </cell>
          <cell r="AS65">
            <v>0</v>
          </cell>
          <cell r="AT65">
            <v>6846056.3233047677</v>
          </cell>
          <cell r="AU65">
            <v>1.6679874902711403E-4</v>
          </cell>
          <cell r="AV65">
            <v>0</v>
          </cell>
          <cell r="AW65">
            <v>0</v>
          </cell>
          <cell r="AY65">
            <v>0</v>
          </cell>
          <cell r="AZ65">
            <v>0</v>
          </cell>
          <cell r="BA65">
            <v>0</v>
          </cell>
          <cell r="BB65">
            <v>0</v>
          </cell>
          <cell r="BC65">
            <v>0</v>
          </cell>
          <cell r="BD65">
            <v>0</v>
          </cell>
          <cell r="BE65">
            <v>0</v>
          </cell>
          <cell r="BF65">
            <v>0</v>
          </cell>
          <cell r="BG65">
            <v>0</v>
          </cell>
          <cell r="BH65">
            <v>0</v>
          </cell>
          <cell r="BJ65">
            <v>0</v>
          </cell>
          <cell r="BL65">
            <v>0</v>
          </cell>
          <cell r="BM65">
            <v>0</v>
          </cell>
          <cell r="BN65">
            <v>0</v>
          </cell>
          <cell r="BO65">
            <v>0</v>
          </cell>
          <cell r="BQ65">
            <v>0</v>
          </cell>
          <cell r="BR65">
            <v>0</v>
          </cell>
          <cell r="BS65">
            <v>0</v>
          </cell>
          <cell r="BT65">
            <v>0</v>
          </cell>
          <cell r="CB65">
            <v>0</v>
          </cell>
          <cell r="CC65">
            <v>0</v>
          </cell>
          <cell r="CD65">
            <v>0</v>
          </cell>
          <cell r="CE65">
            <v>0</v>
          </cell>
          <cell r="CF65">
            <v>0</v>
          </cell>
          <cell r="CI65">
            <v>0</v>
          </cell>
          <cell r="CJ65">
            <v>0</v>
          </cell>
          <cell r="CK65">
            <v>0</v>
          </cell>
          <cell r="CV65">
            <v>1.5736830915027389E-4</v>
          </cell>
          <cell r="DG65">
            <v>6846056</v>
          </cell>
          <cell r="DR65">
            <v>2811511.41</v>
          </cell>
          <cell r="EC65">
            <v>2.4350091469129054</v>
          </cell>
          <cell r="EN65">
            <v>2.4095909012463064E-2</v>
          </cell>
        </row>
        <row r="66">
          <cell r="B66">
            <v>21800</v>
          </cell>
          <cell r="C66" t="str">
            <v>Western Carolina University</v>
          </cell>
          <cell r="D66">
            <v>5.8611014472144491E-3</v>
          </cell>
          <cell r="E66">
            <v>10141072.130844343</v>
          </cell>
          <cell r="F66">
            <v>7907226.5089199431</v>
          </cell>
          <cell r="G66">
            <v>1043299</v>
          </cell>
          <cell r="H66">
            <v>-2829719.4702462624</v>
          </cell>
          <cell r="I66">
            <v>-117099.13078781523</v>
          </cell>
          <cell r="J66">
            <v>8557646.1289911438</v>
          </cell>
          <cell r="K66">
            <v>0</v>
          </cell>
          <cell r="L66">
            <v>-449632.93404998328</v>
          </cell>
          <cell r="M66">
            <v>80689.851973035838</v>
          </cell>
          <cell r="N66">
            <v>3041.7944290753549</v>
          </cell>
          <cell r="O66">
            <v>-1372.7285699520962</v>
          </cell>
          <cell r="P66">
            <v>0</v>
          </cell>
          <cell r="Q66">
            <v>0</v>
          </cell>
          <cell r="R66">
            <v>0</v>
          </cell>
          <cell r="S66">
            <v>24335151.151503529</v>
          </cell>
          <cell r="T66">
            <v>5488992</v>
          </cell>
          <cell r="U66">
            <v>42788230.644955724</v>
          </cell>
          <cell r="V66">
            <v>322759.40789214335</v>
          </cell>
          <cell r="W66">
            <v>0</v>
          </cell>
          <cell r="X66">
            <v>48599982.05284787</v>
          </cell>
          <cell r="Y66">
            <v>272497.79999999981</v>
          </cell>
          <cell r="Z66">
            <v>0</v>
          </cell>
          <cell r="AA66">
            <v>0</v>
          </cell>
          <cell r="AB66">
            <v>585495.65393907612</v>
          </cell>
          <cell r="AC66">
            <v>857993.45393907593</v>
          </cell>
          <cell r="AD66" t="str">
            <v>N/A</v>
          </cell>
          <cell r="AE66">
            <v>9564535</v>
          </cell>
          <cell r="AF66">
            <v>9564537</v>
          </cell>
          <cell r="AG66">
            <v>9564537</v>
          </cell>
          <cell r="AH66">
            <v>9564537</v>
          </cell>
          <cell r="AI66">
            <v>9483847</v>
          </cell>
          <cell r="AJ66">
            <v>0</v>
          </cell>
          <cell r="AK66">
            <v>47741993</v>
          </cell>
          <cell r="AL66">
            <v>187735057</v>
          </cell>
          <cell r="AM66">
            <v>24335151.151503529</v>
          </cell>
          <cell r="AN66">
            <v>-4834362.2</v>
          </cell>
          <cell r="AO66">
            <v>42525494.398908794</v>
          </cell>
          <cell r="AP66">
            <v>0</v>
          </cell>
          <cell r="AQ66">
            <v>5216494.2</v>
          </cell>
          <cell r="AR66">
            <v>0</v>
          </cell>
          <cell r="AS66">
            <v>0</v>
          </cell>
          <cell r="AT66">
            <v>254977834.55041233</v>
          </cell>
          <cell r="AU66">
            <v>5.6624318235166098E-3</v>
          </cell>
          <cell r="AV66">
            <v>0</v>
          </cell>
          <cell r="AW66">
            <v>0</v>
          </cell>
          <cell r="AY66">
            <v>0</v>
          </cell>
          <cell r="AZ66">
            <v>0</v>
          </cell>
          <cell r="BA66">
            <v>0</v>
          </cell>
          <cell r="BB66">
            <v>0</v>
          </cell>
          <cell r="BC66">
            <v>0</v>
          </cell>
          <cell r="BD66">
            <v>0</v>
          </cell>
          <cell r="BE66">
            <v>0</v>
          </cell>
          <cell r="BF66">
            <v>0</v>
          </cell>
          <cell r="BG66">
            <v>0</v>
          </cell>
          <cell r="BH66">
            <v>0</v>
          </cell>
          <cell r="BJ66">
            <v>0</v>
          </cell>
          <cell r="BL66">
            <v>0</v>
          </cell>
          <cell r="BM66">
            <v>0</v>
          </cell>
          <cell r="BN66">
            <v>0</v>
          </cell>
          <cell r="BO66">
            <v>0</v>
          </cell>
          <cell r="BQ66">
            <v>0</v>
          </cell>
          <cell r="BR66">
            <v>0</v>
          </cell>
          <cell r="BS66">
            <v>0</v>
          </cell>
          <cell r="BT66">
            <v>0</v>
          </cell>
          <cell r="CB66">
            <v>0</v>
          </cell>
          <cell r="CC66">
            <v>0</v>
          </cell>
          <cell r="CD66">
            <v>0</v>
          </cell>
          <cell r="CE66">
            <v>0</v>
          </cell>
          <cell r="CF66">
            <v>0</v>
          </cell>
          <cell r="CI66">
            <v>0</v>
          </cell>
          <cell r="CJ66">
            <v>0</v>
          </cell>
          <cell r="CK66">
            <v>0</v>
          </cell>
          <cell r="CV66">
            <v>5.8611014472144491E-3</v>
          </cell>
          <cell r="DG66">
            <v>254977835</v>
          </cell>
          <cell r="DR66">
            <v>84770573.239999905</v>
          </cell>
          <cell r="EC66">
            <v>3.0078578598037127</v>
          </cell>
          <cell r="EN66">
            <v>2.4095909012463064E-2</v>
          </cell>
        </row>
        <row r="67">
          <cell r="B67">
            <v>21900</v>
          </cell>
          <cell r="C67" t="str">
            <v>Winston-Salem State University</v>
          </cell>
          <cell r="D67">
            <v>3.375899071087787E-3</v>
          </cell>
          <cell r="E67">
            <v>5841092.5479923785</v>
          </cell>
          <cell r="F67">
            <v>4554433.815342024</v>
          </cell>
          <cell r="G67">
            <v>-1241208</v>
          </cell>
          <cell r="H67">
            <v>-1629872.3741735395</v>
          </cell>
          <cell r="I67">
            <v>-67447.194083229915</v>
          </cell>
          <cell r="J67">
            <v>4929064.9339109054</v>
          </cell>
          <cell r="K67">
            <v>0</v>
          </cell>
          <cell r="L67">
            <v>-258981.25430182074</v>
          </cell>
          <cell r="M67">
            <v>46476.041879712575</v>
          </cell>
          <cell r="N67">
            <v>1752.0240999131397</v>
          </cell>
          <cell r="O67">
            <v>-790.66932143947065</v>
          </cell>
          <cell r="P67">
            <v>0</v>
          </cell>
          <cell r="Q67">
            <v>0</v>
          </cell>
          <cell r="R67">
            <v>0</v>
          </cell>
          <cell r="S67">
            <v>12174519.871344903</v>
          </cell>
          <cell r="T67">
            <v>63977.5</v>
          </cell>
          <cell r="U67">
            <v>24645324.669554528</v>
          </cell>
          <cell r="V67">
            <v>185904.1675188503</v>
          </cell>
          <cell r="W67">
            <v>0</v>
          </cell>
          <cell r="X67">
            <v>24895206.337073378</v>
          </cell>
          <cell r="Y67">
            <v>6270020</v>
          </cell>
          <cell r="Z67">
            <v>0</v>
          </cell>
          <cell r="AA67">
            <v>0</v>
          </cell>
          <cell r="AB67">
            <v>337235.97041614959</v>
          </cell>
          <cell r="AC67">
            <v>6607255.9704161491</v>
          </cell>
          <cell r="AD67" t="str">
            <v>N/A</v>
          </cell>
          <cell r="AE67">
            <v>3666886</v>
          </cell>
          <cell r="AF67">
            <v>3666885</v>
          </cell>
          <cell r="AG67">
            <v>3666885</v>
          </cell>
          <cell r="AH67">
            <v>3666885</v>
          </cell>
          <cell r="AI67">
            <v>3620409</v>
          </cell>
          <cell r="AJ67">
            <v>0</v>
          </cell>
          <cell r="AK67">
            <v>18287950</v>
          </cell>
          <cell r="AL67">
            <v>119450246</v>
          </cell>
          <cell r="AM67">
            <v>12174519.871344903</v>
          </cell>
          <cell r="AN67">
            <v>-3049632.5</v>
          </cell>
          <cell r="AO67">
            <v>24493992.866657231</v>
          </cell>
          <cell r="AP67">
            <v>0</v>
          </cell>
          <cell r="AQ67">
            <v>-6206042.5</v>
          </cell>
          <cell r="AR67">
            <v>0</v>
          </cell>
          <cell r="AS67">
            <v>0</v>
          </cell>
          <cell r="AT67">
            <v>146863083.73800215</v>
          </cell>
          <cell r="AU67">
            <v>3.6028373334539257E-3</v>
          </cell>
          <cell r="AV67">
            <v>0</v>
          </cell>
          <cell r="AW67">
            <v>0</v>
          </cell>
          <cell r="AY67">
            <v>0</v>
          </cell>
          <cell r="AZ67">
            <v>0</v>
          </cell>
          <cell r="BA67">
            <v>0</v>
          </cell>
          <cell r="BB67">
            <v>0</v>
          </cell>
          <cell r="BC67">
            <v>0</v>
          </cell>
          <cell r="BD67">
            <v>0</v>
          </cell>
          <cell r="BE67">
            <v>0</v>
          </cell>
          <cell r="BF67">
            <v>0</v>
          </cell>
          <cell r="BG67">
            <v>0</v>
          </cell>
          <cell r="BH67">
            <v>0</v>
          </cell>
          <cell r="BJ67">
            <v>0</v>
          </cell>
          <cell r="BL67">
            <v>0</v>
          </cell>
          <cell r="BM67">
            <v>0</v>
          </cell>
          <cell r="BN67">
            <v>0</v>
          </cell>
          <cell r="BO67">
            <v>0</v>
          </cell>
          <cell r="BQ67">
            <v>0</v>
          </cell>
          <cell r="BR67">
            <v>0</v>
          </cell>
          <cell r="BS67">
            <v>0</v>
          </cell>
          <cell r="BT67">
            <v>0</v>
          </cell>
          <cell r="CB67">
            <v>0</v>
          </cell>
          <cell r="CC67">
            <v>0</v>
          </cell>
          <cell r="CD67">
            <v>0</v>
          </cell>
          <cell r="CE67">
            <v>0</v>
          </cell>
          <cell r="CF67">
            <v>0</v>
          </cell>
          <cell r="CI67">
            <v>0</v>
          </cell>
          <cell r="CJ67">
            <v>0</v>
          </cell>
          <cell r="CK67">
            <v>0</v>
          </cell>
          <cell r="CV67">
            <v>3.375899071087787E-3</v>
          </cell>
          <cell r="DG67">
            <v>146863084</v>
          </cell>
          <cell r="DR67">
            <v>53762735.439999938</v>
          </cell>
          <cell r="EC67">
            <v>2.7316892043914232</v>
          </cell>
          <cell r="EN67">
            <v>2.4095909012463064E-2</v>
          </cell>
        </row>
        <row r="68">
          <cell r="B68">
            <v>22000</v>
          </cell>
          <cell r="C68" t="str">
            <v>Department Of Public Instruction</v>
          </cell>
          <cell r="D68">
            <v>3.3172261313166723E-3</v>
          </cell>
          <cell r="E68">
            <v>5739574.6814776557</v>
          </cell>
          <cell r="F68">
            <v>4475278.0066782935</v>
          </cell>
          <cell r="G68">
            <v>-1917823</v>
          </cell>
          <cell r="H68">
            <v>-1601545.2821513026</v>
          </cell>
          <cell r="I68">
            <v>-66274.9655678493</v>
          </cell>
          <cell r="J68">
            <v>4843398.0570566515</v>
          </cell>
          <cell r="K68">
            <v>0</v>
          </cell>
          <cell r="L68">
            <v>-254480.17437747269</v>
          </cell>
          <cell r="M68">
            <v>45668.290833669147</v>
          </cell>
          <cell r="N68">
            <v>1721.5740176307265</v>
          </cell>
          <cell r="O68">
            <v>-776.92753221567784</v>
          </cell>
          <cell r="P68">
            <v>0</v>
          </cell>
          <cell r="Q68">
            <v>0</v>
          </cell>
          <cell r="R68">
            <v>0</v>
          </cell>
          <cell r="S68">
            <v>11264740.26043506</v>
          </cell>
          <cell r="T68">
            <v>522088.59000000032</v>
          </cell>
          <cell r="U68">
            <v>24216990.285283256</v>
          </cell>
          <cell r="V68">
            <v>182673.16333467659</v>
          </cell>
          <cell r="W68">
            <v>0</v>
          </cell>
          <cell r="X68">
            <v>24921752.038617931</v>
          </cell>
          <cell r="Y68">
            <v>10111207</v>
          </cell>
          <cell r="Z68">
            <v>0</v>
          </cell>
          <cell r="AA68">
            <v>0</v>
          </cell>
          <cell r="AB68">
            <v>331374.82783924654</v>
          </cell>
          <cell r="AC68">
            <v>10442581.827839246</v>
          </cell>
          <cell r="AD68" t="str">
            <v>N/A</v>
          </cell>
          <cell r="AE68">
            <v>2904968</v>
          </cell>
          <cell r="AF68">
            <v>2904967</v>
          </cell>
          <cell r="AG68">
            <v>2904967</v>
          </cell>
          <cell r="AH68">
            <v>2904967</v>
          </cell>
          <cell r="AI68">
            <v>2859299</v>
          </cell>
          <cell r="AJ68">
            <v>0</v>
          </cell>
          <cell r="AK68">
            <v>14479168</v>
          </cell>
          <cell r="AL68">
            <v>122114399</v>
          </cell>
          <cell r="AM68">
            <v>11264740.26043506</v>
          </cell>
          <cell r="AN68">
            <v>-3547697.5900000003</v>
          </cell>
          <cell r="AO68">
            <v>24068288.620778687</v>
          </cell>
          <cell r="AP68">
            <v>0</v>
          </cell>
          <cell r="AQ68">
            <v>-9589118.4100000001</v>
          </cell>
          <cell r="AR68">
            <v>0</v>
          </cell>
          <cell r="AS68">
            <v>0</v>
          </cell>
          <cell r="AT68">
            <v>144310611.88121375</v>
          </cell>
          <cell r="AU68">
            <v>3.6831930488218484E-3</v>
          </cell>
          <cell r="AV68">
            <v>0</v>
          </cell>
          <cell r="AW68">
            <v>0</v>
          </cell>
          <cell r="AY68">
            <v>0</v>
          </cell>
          <cell r="AZ68">
            <v>0</v>
          </cell>
          <cell r="BA68">
            <v>0</v>
          </cell>
          <cell r="BB68">
            <v>0</v>
          </cell>
          <cell r="BC68">
            <v>0</v>
          </cell>
          <cell r="BD68">
            <v>0</v>
          </cell>
          <cell r="BE68">
            <v>0</v>
          </cell>
          <cell r="BF68">
            <v>0</v>
          </cell>
          <cell r="BG68">
            <v>0</v>
          </cell>
          <cell r="BH68">
            <v>0</v>
          </cell>
          <cell r="BJ68">
            <v>0</v>
          </cell>
          <cell r="BL68">
            <v>0</v>
          </cell>
          <cell r="BM68">
            <v>0</v>
          </cell>
          <cell r="BN68">
            <v>0</v>
          </cell>
          <cell r="BO68">
            <v>0</v>
          </cell>
          <cell r="BQ68">
            <v>0</v>
          </cell>
          <cell r="BR68">
            <v>0</v>
          </cell>
          <cell r="BS68">
            <v>0</v>
          </cell>
          <cell r="BT68">
            <v>0</v>
          </cell>
          <cell r="CB68">
            <v>0</v>
          </cell>
          <cell r="CC68">
            <v>0</v>
          </cell>
          <cell r="CD68">
            <v>0</v>
          </cell>
          <cell r="CE68">
            <v>0</v>
          </cell>
          <cell r="CF68">
            <v>0</v>
          </cell>
          <cell r="CI68">
            <v>0</v>
          </cell>
          <cell r="CJ68">
            <v>0</v>
          </cell>
          <cell r="CK68">
            <v>0</v>
          </cell>
          <cell r="CV68">
            <v>3.3172261313166723E-3</v>
          </cell>
          <cell r="DG68">
            <v>144310612</v>
          </cell>
          <cell r="DR68">
            <v>61444720.999999948</v>
          </cell>
          <cell r="EC68">
            <v>2.3486250674000151</v>
          </cell>
          <cell r="EN68">
            <v>2.4095909012463064E-2</v>
          </cell>
        </row>
        <row r="69">
          <cell r="B69">
            <v>23000</v>
          </cell>
          <cell r="C69" t="str">
            <v>University Of North Carolina At Asheville</v>
          </cell>
          <cell r="D69">
            <v>2.5507239281802501E-3</v>
          </cell>
          <cell r="E69">
            <v>4413347.1454994427</v>
          </cell>
          <cell r="F69">
            <v>3441187.9820692898</v>
          </cell>
          <cell r="G69">
            <v>253446</v>
          </cell>
          <cell r="H69">
            <v>-1231480.6743747857</v>
          </cell>
          <cell r="I69">
            <v>-50960.993860896808</v>
          </cell>
          <cell r="J69">
            <v>3724247.5576823335</v>
          </cell>
          <cell r="K69">
            <v>0</v>
          </cell>
          <cell r="L69">
            <v>-195678.14925371343</v>
          </cell>
          <cell r="M69">
            <v>35115.846064524587</v>
          </cell>
          <cell r="N69">
            <v>1323.7747042469862</v>
          </cell>
          <cell r="O69">
            <v>-597.40505121909632</v>
          </cell>
          <cell r="P69">
            <v>0</v>
          </cell>
          <cell r="Q69">
            <v>0</v>
          </cell>
          <cell r="R69">
            <v>0</v>
          </cell>
          <cell r="S69">
            <v>10389951.083479226</v>
          </cell>
          <cell r="T69">
            <v>1292965</v>
          </cell>
          <cell r="U69">
            <v>18621237.788411669</v>
          </cell>
          <cell r="V69">
            <v>140463.38425809835</v>
          </cell>
          <cell r="W69">
            <v>0</v>
          </cell>
          <cell r="X69">
            <v>20054666.172669768</v>
          </cell>
          <cell r="Y69">
            <v>25737.870000000112</v>
          </cell>
          <cell r="Z69">
            <v>0</v>
          </cell>
          <cell r="AA69">
            <v>0</v>
          </cell>
          <cell r="AB69">
            <v>254804.96930448402</v>
          </cell>
          <cell r="AC69">
            <v>280542.83930448414</v>
          </cell>
          <cell r="AD69" t="str">
            <v>N/A</v>
          </cell>
          <cell r="AE69">
            <v>3961847</v>
          </cell>
          <cell r="AF69">
            <v>3961848</v>
          </cell>
          <cell r="AG69">
            <v>3961848</v>
          </cell>
          <cell r="AH69">
            <v>3961848</v>
          </cell>
          <cell r="AI69">
            <v>3926733</v>
          </cell>
          <cell r="AJ69">
            <v>0</v>
          </cell>
          <cell r="AK69">
            <v>19774124</v>
          </cell>
          <cell r="AL69">
            <v>83016401</v>
          </cell>
          <cell r="AM69">
            <v>10389951.083479226</v>
          </cell>
          <cell r="AN69">
            <v>-2215314.13</v>
          </cell>
          <cell r="AO69">
            <v>18506896.203365285</v>
          </cell>
          <cell r="AP69">
            <v>0</v>
          </cell>
          <cell r="AQ69">
            <v>1267227.1299999999</v>
          </cell>
          <cell r="AR69">
            <v>0</v>
          </cell>
          <cell r="AS69">
            <v>0</v>
          </cell>
          <cell r="AT69">
            <v>110965161.28684451</v>
          </cell>
          <cell r="AU69">
            <v>2.5039261020446458E-3</v>
          </cell>
          <cell r="AV69">
            <v>0</v>
          </cell>
          <cell r="AW69">
            <v>0</v>
          </cell>
          <cell r="AY69">
            <v>0</v>
          </cell>
          <cell r="AZ69">
            <v>0</v>
          </cell>
          <cell r="BA69">
            <v>0</v>
          </cell>
          <cell r="BB69">
            <v>0</v>
          </cell>
          <cell r="BC69">
            <v>0</v>
          </cell>
          <cell r="BD69">
            <v>0</v>
          </cell>
          <cell r="BE69">
            <v>0</v>
          </cell>
          <cell r="BF69">
            <v>0</v>
          </cell>
          <cell r="BG69">
            <v>0</v>
          </cell>
          <cell r="BH69">
            <v>0</v>
          </cell>
          <cell r="BJ69">
            <v>0</v>
          </cell>
          <cell r="BL69">
            <v>0</v>
          </cell>
          <cell r="BM69">
            <v>0</v>
          </cell>
          <cell r="BN69">
            <v>0</v>
          </cell>
          <cell r="BO69">
            <v>0</v>
          </cell>
          <cell r="BQ69">
            <v>0</v>
          </cell>
          <cell r="BR69">
            <v>0</v>
          </cell>
          <cell r="BS69">
            <v>0</v>
          </cell>
          <cell r="BT69">
            <v>0</v>
          </cell>
          <cell r="CB69">
            <v>0</v>
          </cell>
          <cell r="CC69">
            <v>0</v>
          </cell>
          <cell r="CD69">
            <v>0</v>
          </cell>
          <cell r="CE69">
            <v>0</v>
          </cell>
          <cell r="CF69">
            <v>0</v>
          </cell>
          <cell r="CI69">
            <v>0</v>
          </cell>
          <cell r="CJ69">
            <v>0</v>
          </cell>
          <cell r="CK69">
            <v>0</v>
          </cell>
          <cell r="CV69">
            <v>2.5507239281802501E-3</v>
          </cell>
          <cell r="DG69">
            <v>110965161</v>
          </cell>
          <cell r="DR69">
            <v>37896518.979999989</v>
          </cell>
          <cell r="EC69">
            <v>2.9281095991577017</v>
          </cell>
          <cell r="EN69">
            <v>2.4095909012463064E-2</v>
          </cell>
        </row>
        <row r="70">
          <cell r="B70">
            <v>23100</v>
          </cell>
          <cell r="C70" t="str">
            <v>University Of North Carolina At Charlotte</v>
          </cell>
          <cell r="D70">
            <v>1.4787953680502413E-2</v>
          </cell>
          <cell r="E70">
            <v>25586607.959640902</v>
          </cell>
          <cell r="F70">
            <v>19950465.012121905</v>
          </cell>
          <cell r="G70">
            <v>1673013</v>
          </cell>
          <cell r="H70">
            <v>-7139572.797311876</v>
          </cell>
          <cell r="I70">
            <v>-295448.99328440969</v>
          </cell>
          <cell r="J70">
            <v>21591517.517547164</v>
          </cell>
          <cell r="K70">
            <v>0</v>
          </cell>
          <cell r="L70">
            <v>-1134454.1741586181</v>
          </cell>
          <cell r="M70">
            <v>203585.93076919852</v>
          </cell>
          <cell r="N70">
            <v>7674.652201107142</v>
          </cell>
          <cell r="O70">
            <v>-3463.48663151047</v>
          </cell>
          <cell r="P70">
            <v>0</v>
          </cell>
          <cell r="Q70">
            <v>0</v>
          </cell>
          <cell r="R70">
            <v>0</v>
          </cell>
          <cell r="S70">
            <v>60439924.620893866</v>
          </cell>
          <cell r="T70">
            <v>8788706</v>
          </cell>
          <cell r="U70">
            <v>107957587.58773582</v>
          </cell>
          <cell r="V70">
            <v>814343.72307679406</v>
          </cell>
          <cell r="W70">
            <v>0</v>
          </cell>
          <cell r="X70">
            <v>117560637.31081261</v>
          </cell>
          <cell r="Y70">
            <v>423641.47000000067</v>
          </cell>
          <cell r="Z70">
            <v>0</v>
          </cell>
          <cell r="AA70">
            <v>0</v>
          </cell>
          <cell r="AB70">
            <v>1477244.9664220484</v>
          </cell>
          <cell r="AC70">
            <v>1900886.4364220491</v>
          </cell>
          <cell r="AD70" t="str">
            <v>N/A</v>
          </cell>
          <cell r="AE70">
            <v>23172667</v>
          </cell>
          <cell r="AF70">
            <v>23172667</v>
          </cell>
          <cell r="AG70">
            <v>23172667</v>
          </cell>
          <cell r="AH70">
            <v>23172667</v>
          </cell>
          <cell r="AI70">
            <v>22969082</v>
          </cell>
          <cell r="AJ70">
            <v>0</v>
          </cell>
          <cell r="AK70">
            <v>115659750</v>
          </cell>
          <cell r="AL70">
            <v>479740661</v>
          </cell>
          <cell r="AM70">
            <v>60439924.620893866</v>
          </cell>
          <cell r="AN70">
            <v>-12514087.529999999</v>
          </cell>
          <cell r="AO70">
            <v>107294686.34439057</v>
          </cell>
          <cell r="AP70">
            <v>0</v>
          </cell>
          <cell r="AQ70">
            <v>8365064.5299999993</v>
          </cell>
          <cell r="AR70">
            <v>0</v>
          </cell>
          <cell r="AS70">
            <v>0</v>
          </cell>
          <cell r="AT70">
            <v>643326248.96528435</v>
          </cell>
          <cell r="AU70">
            <v>1.4469853589673579E-2</v>
          </cell>
          <cell r="AV70">
            <v>0</v>
          </cell>
          <cell r="AW70">
            <v>0</v>
          </cell>
          <cell r="AY70">
            <v>0</v>
          </cell>
          <cell r="AZ70">
            <v>0</v>
          </cell>
          <cell r="BA70">
            <v>0</v>
          </cell>
          <cell r="BB70">
            <v>0</v>
          </cell>
          <cell r="BC70">
            <v>0</v>
          </cell>
          <cell r="BD70">
            <v>0</v>
          </cell>
          <cell r="BE70">
            <v>0</v>
          </cell>
          <cell r="BF70">
            <v>0</v>
          </cell>
          <cell r="BG70">
            <v>0</v>
          </cell>
          <cell r="BH70">
            <v>0</v>
          </cell>
          <cell r="BJ70">
            <v>0</v>
          </cell>
          <cell r="BL70">
            <v>0</v>
          </cell>
          <cell r="BM70">
            <v>0</v>
          </cell>
          <cell r="BN70">
            <v>0</v>
          </cell>
          <cell r="BO70">
            <v>0</v>
          </cell>
          <cell r="BQ70">
            <v>0</v>
          </cell>
          <cell r="BR70">
            <v>0</v>
          </cell>
          <cell r="BS70">
            <v>0</v>
          </cell>
          <cell r="BT70">
            <v>0</v>
          </cell>
          <cell r="CB70">
            <v>0</v>
          </cell>
          <cell r="CC70">
            <v>0</v>
          </cell>
          <cell r="CD70">
            <v>0</v>
          </cell>
          <cell r="CE70">
            <v>0</v>
          </cell>
          <cell r="CF70">
            <v>0</v>
          </cell>
          <cell r="CI70">
            <v>0</v>
          </cell>
          <cell r="CJ70">
            <v>0</v>
          </cell>
          <cell r="CK70">
            <v>0</v>
          </cell>
          <cell r="CV70">
            <v>1.4787953680502413E-2</v>
          </cell>
          <cell r="DG70">
            <v>643326249</v>
          </cell>
          <cell r="DR70">
            <v>214830271.9000006</v>
          </cell>
          <cell r="EC70">
            <v>2.9945791312848877</v>
          </cell>
          <cell r="EN70">
            <v>2.4095909012463064E-2</v>
          </cell>
        </row>
        <row r="71">
          <cell r="B71">
            <v>23200</v>
          </cell>
          <cell r="C71" t="str">
            <v>University Of North Carolina At Wilmington</v>
          </cell>
          <cell r="D71">
            <v>7.7945945589833572E-3</v>
          </cell>
          <cell r="E71">
            <v>13486466.044859931</v>
          </cell>
          <cell r="F71">
            <v>10515706.864682984</v>
          </cell>
          <cell r="G71">
            <v>1707341</v>
          </cell>
          <cell r="H71">
            <v>-3763203.2451363518</v>
          </cell>
          <cell r="I71">
            <v>-155728.45068808264</v>
          </cell>
          <cell r="J71">
            <v>11380690.567374645</v>
          </cell>
          <cell r="K71">
            <v>0</v>
          </cell>
          <cell r="L71">
            <v>-597960.3753406062</v>
          </cell>
          <cell r="M71">
            <v>107308.27419018831</v>
          </cell>
          <cell r="N71">
            <v>4045.2386842211827</v>
          </cell>
          <cell r="O71">
            <v>-1825.5719916594921</v>
          </cell>
          <cell r="P71">
            <v>0</v>
          </cell>
          <cell r="Q71">
            <v>0</v>
          </cell>
          <cell r="R71">
            <v>0</v>
          </cell>
          <cell r="S71">
            <v>32682840.346635271</v>
          </cell>
          <cell r="T71">
            <v>8768783</v>
          </cell>
          <cell r="U71">
            <v>56903452.836873226</v>
          </cell>
          <cell r="V71">
            <v>429233.09676075325</v>
          </cell>
          <cell r="W71">
            <v>0</v>
          </cell>
          <cell r="X71">
            <v>66101468.933633976</v>
          </cell>
          <cell r="Y71">
            <v>232081.92000000086</v>
          </cell>
          <cell r="Z71">
            <v>0</v>
          </cell>
          <cell r="AA71">
            <v>0</v>
          </cell>
          <cell r="AB71">
            <v>778642.25344041316</v>
          </cell>
          <cell r="AC71">
            <v>1010724.173440414</v>
          </cell>
          <cell r="AD71" t="str">
            <v>N/A</v>
          </cell>
          <cell r="AE71">
            <v>13039611</v>
          </cell>
          <cell r="AF71">
            <v>13039611</v>
          </cell>
          <cell r="AG71">
            <v>13039611</v>
          </cell>
          <cell r="AH71">
            <v>13039611</v>
          </cell>
          <cell r="AI71">
            <v>12932303</v>
          </cell>
          <cell r="AJ71">
            <v>0</v>
          </cell>
          <cell r="AK71">
            <v>65090747</v>
          </cell>
          <cell r="AL71">
            <v>247903292</v>
          </cell>
          <cell r="AM71">
            <v>32682840.346635271</v>
          </cell>
          <cell r="AN71">
            <v>-6585519.0799999991</v>
          </cell>
          <cell r="AO71">
            <v>56554043.680193573</v>
          </cell>
          <cell r="AP71">
            <v>0</v>
          </cell>
          <cell r="AQ71">
            <v>8536701.0799999982</v>
          </cell>
          <cell r="AR71">
            <v>0</v>
          </cell>
          <cell r="AS71">
            <v>0</v>
          </cell>
          <cell r="AT71">
            <v>339091358.02682883</v>
          </cell>
          <cell r="AU71">
            <v>7.47721556569761E-3</v>
          </cell>
          <cell r="AV71">
            <v>0</v>
          </cell>
          <cell r="AW71">
            <v>0</v>
          </cell>
          <cell r="AY71">
            <v>0</v>
          </cell>
          <cell r="AZ71">
            <v>0</v>
          </cell>
          <cell r="BA71">
            <v>0</v>
          </cell>
          <cell r="BB71">
            <v>0</v>
          </cell>
          <cell r="BC71">
            <v>0</v>
          </cell>
          <cell r="BD71">
            <v>0</v>
          </cell>
          <cell r="BE71">
            <v>0</v>
          </cell>
          <cell r="BF71">
            <v>0</v>
          </cell>
          <cell r="BG71">
            <v>0</v>
          </cell>
          <cell r="BH71">
            <v>0</v>
          </cell>
          <cell r="BJ71">
            <v>0</v>
          </cell>
          <cell r="BL71">
            <v>0</v>
          </cell>
          <cell r="BM71">
            <v>0</v>
          </cell>
          <cell r="BN71">
            <v>0</v>
          </cell>
          <cell r="BO71">
            <v>0</v>
          </cell>
          <cell r="BQ71">
            <v>0</v>
          </cell>
          <cell r="BR71">
            <v>0</v>
          </cell>
          <cell r="BS71">
            <v>0</v>
          </cell>
          <cell r="BT71">
            <v>0</v>
          </cell>
          <cell r="CB71">
            <v>0</v>
          </cell>
          <cell r="CC71">
            <v>0</v>
          </cell>
          <cell r="CD71">
            <v>0</v>
          </cell>
          <cell r="CE71">
            <v>0</v>
          </cell>
          <cell r="CF71">
            <v>0</v>
          </cell>
          <cell r="CI71">
            <v>0</v>
          </cell>
          <cell r="CJ71">
            <v>0</v>
          </cell>
          <cell r="CK71">
            <v>0</v>
          </cell>
          <cell r="CV71">
            <v>7.7945945589833572E-3</v>
          </cell>
          <cell r="DG71">
            <v>339091357</v>
          </cell>
          <cell r="DR71">
            <v>113827268.77999999</v>
          </cell>
          <cell r="EC71">
            <v>2.9789993262104875</v>
          </cell>
          <cell r="EN71">
            <v>2.4095909012463064E-2</v>
          </cell>
        </row>
        <row r="72">
          <cell r="B72">
            <v>30000</v>
          </cell>
          <cell r="C72" t="str">
            <v>Yancey County Schools</v>
          </cell>
          <cell r="D72">
            <v>8.7413810180883708E-4</v>
          </cell>
          <cell r="E72">
            <v>1512462.7380363487</v>
          </cell>
          <cell r="F72">
            <v>1179301.8826461027</v>
          </cell>
          <cell r="G72">
            <v>-89839</v>
          </cell>
          <cell r="H72">
            <v>-422030.84670171747</v>
          </cell>
          <cell r="I72">
            <v>-17464.432723472757</v>
          </cell>
          <cell r="J72">
            <v>1276306.9553596072</v>
          </cell>
          <cell r="K72">
            <v>0</v>
          </cell>
          <cell r="L72">
            <v>-67059.286214536944</v>
          </cell>
          <cell r="M72">
            <v>12034.269441363733</v>
          </cell>
          <cell r="N72">
            <v>453.66019207675026</v>
          </cell>
          <cell r="O72">
            <v>-204.73188482464772</v>
          </cell>
          <cell r="P72">
            <v>0</v>
          </cell>
          <cell r="Q72">
            <v>0</v>
          </cell>
          <cell r="R72">
            <v>0</v>
          </cell>
          <cell r="S72">
            <v>3383961.208150947</v>
          </cell>
          <cell r="T72">
            <v>0</v>
          </cell>
          <cell r="U72">
            <v>6381534.7767980359</v>
          </cell>
          <cell r="V72">
            <v>48137.077765454931</v>
          </cell>
          <cell r="W72">
            <v>0</v>
          </cell>
          <cell r="X72">
            <v>6429671.8545634905</v>
          </cell>
          <cell r="Y72">
            <v>449197.74</v>
          </cell>
          <cell r="Z72">
            <v>0</v>
          </cell>
          <cell r="AA72">
            <v>0</v>
          </cell>
          <cell r="AB72">
            <v>87322.163617363782</v>
          </cell>
          <cell r="AC72">
            <v>536519.90361736377</v>
          </cell>
          <cell r="AD72" t="str">
            <v>N/A</v>
          </cell>
          <cell r="AE72">
            <v>1181038</v>
          </cell>
          <cell r="AF72">
            <v>1181037</v>
          </cell>
          <cell r="AG72">
            <v>1181037</v>
          </cell>
          <cell r="AH72">
            <v>1181037</v>
          </cell>
          <cell r="AI72">
            <v>1169003</v>
          </cell>
          <cell r="AJ72">
            <v>0</v>
          </cell>
          <cell r="AK72">
            <v>5893152</v>
          </cell>
          <cell r="AL72">
            <v>29498154</v>
          </cell>
          <cell r="AM72">
            <v>3383961.208150947</v>
          </cell>
          <cell r="AN72">
            <v>-747288.26</v>
          </cell>
          <cell r="AO72">
            <v>6342349.6909461282</v>
          </cell>
          <cell r="AP72">
            <v>0</v>
          </cell>
          <cell r="AQ72">
            <v>-449197.74</v>
          </cell>
          <cell r="AR72">
            <v>0</v>
          </cell>
          <cell r="AS72">
            <v>0</v>
          </cell>
          <cell r="AT72">
            <v>38027978.89909707</v>
          </cell>
          <cell r="AU72">
            <v>8.8971815419173334E-4</v>
          </cell>
          <cell r="AV72">
            <v>0</v>
          </cell>
          <cell r="AW72">
            <v>0</v>
          </cell>
          <cell r="AY72">
            <v>0</v>
          </cell>
          <cell r="AZ72">
            <v>0</v>
          </cell>
          <cell r="BA72">
            <v>0</v>
          </cell>
          <cell r="BB72">
            <v>0</v>
          </cell>
          <cell r="BC72">
            <v>0</v>
          </cell>
          <cell r="BD72">
            <v>0</v>
          </cell>
          <cell r="BE72">
            <v>0</v>
          </cell>
          <cell r="BF72">
            <v>0</v>
          </cell>
          <cell r="BG72">
            <v>0</v>
          </cell>
          <cell r="BH72">
            <v>0</v>
          </cell>
          <cell r="BJ72">
            <v>0</v>
          </cell>
          <cell r="BL72">
            <v>0</v>
          </cell>
          <cell r="BM72">
            <v>0</v>
          </cell>
          <cell r="BN72">
            <v>0</v>
          </cell>
          <cell r="BO72">
            <v>0</v>
          </cell>
          <cell r="BQ72">
            <v>0</v>
          </cell>
          <cell r="BR72">
            <v>0</v>
          </cell>
          <cell r="BS72">
            <v>0</v>
          </cell>
          <cell r="BT72">
            <v>0</v>
          </cell>
          <cell r="CB72">
            <v>0</v>
          </cell>
          <cell r="CC72">
            <v>0</v>
          </cell>
          <cell r="CD72">
            <v>0</v>
          </cell>
          <cell r="CE72">
            <v>0</v>
          </cell>
          <cell r="CF72">
            <v>0</v>
          </cell>
          <cell r="CI72">
            <v>0</v>
          </cell>
          <cell r="CJ72">
            <v>0</v>
          </cell>
          <cell r="CK72">
            <v>0</v>
          </cell>
          <cell r="CV72">
            <v>8.7413810180883708E-4</v>
          </cell>
          <cell r="DG72">
            <v>38027979</v>
          </cell>
          <cell r="DR72">
            <v>13112906.86999999</v>
          </cell>
          <cell r="EC72">
            <v>2.9000418730191155</v>
          </cell>
          <cell r="EN72">
            <v>2.4095909012463064E-2</v>
          </cell>
        </row>
        <row r="73">
          <cell r="B73">
            <v>30100</v>
          </cell>
          <cell r="C73" t="str">
            <v>Alamance County Schools</v>
          </cell>
          <cell r="D73">
            <v>7.7277866075530473E-3</v>
          </cell>
          <cell r="E73">
            <v>13370872.711342268</v>
          </cell>
          <cell r="F73">
            <v>10425576.091599805</v>
          </cell>
          <cell r="G73">
            <v>1425662</v>
          </cell>
          <cell r="H73">
            <v>-3730948.5976725272</v>
          </cell>
          <cell r="I73">
            <v>-154393.69251802537</v>
          </cell>
          <cell r="J73">
            <v>11283145.965546411</v>
          </cell>
          <cell r="K73">
            <v>0</v>
          </cell>
          <cell r="L73">
            <v>-592835.22002807446</v>
          </cell>
          <cell r="M73">
            <v>106388.5283437663</v>
          </cell>
          <cell r="N73">
            <v>4010.5666935878803</v>
          </cell>
          <cell r="O73">
            <v>-1809.9249013549993</v>
          </cell>
          <cell r="P73">
            <v>0</v>
          </cell>
          <cell r="Q73">
            <v>0</v>
          </cell>
          <cell r="R73">
            <v>0</v>
          </cell>
          <cell r="S73">
            <v>32135668.428405862</v>
          </cell>
          <cell r="T73">
            <v>7473060</v>
          </cell>
          <cell r="U73">
            <v>56415729.827732056</v>
          </cell>
          <cell r="V73">
            <v>425554.11337506521</v>
          </cell>
          <cell r="W73">
            <v>0</v>
          </cell>
          <cell r="X73">
            <v>64314343.941107124</v>
          </cell>
          <cell r="Y73">
            <v>344752.54999999981</v>
          </cell>
          <cell r="Z73">
            <v>0</v>
          </cell>
          <cell r="AA73">
            <v>0</v>
          </cell>
          <cell r="AB73">
            <v>771968.4625901269</v>
          </cell>
          <cell r="AC73">
            <v>1116721.0125901266</v>
          </cell>
          <cell r="AD73" t="str">
            <v>N/A</v>
          </cell>
          <cell r="AE73">
            <v>12660802</v>
          </cell>
          <cell r="AF73">
            <v>12660803</v>
          </cell>
          <cell r="AG73">
            <v>12660803</v>
          </cell>
          <cell r="AH73">
            <v>12660803</v>
          </cell>
          <cell r="AI73">
            <v>12554414</v>
          </cell>
          <cell r="AJ73">
            <v>0</v>
          </cell>
          <cell r="AK73">
            <v>63197625</v>
          </cell>
          <cell r="AL73">
            <v>247243176</v>
          </cell>
          <cell r="AM73">
            <v>32135668.428405862</v>
          </cell>
          <cell r="AN73">
            <v>-6391482.4500000002</v>
          </cell>
          <cell r="AO73">
            <v>56069315.478516996</v>
          </cell>
          <cell r="AP73">
            <v>0</v>
          </cell>
          <cell r="AQ73">
            <v>7128307.4500000002</v>
          </cell>
          <cell r="AR73">
            <v>0</v>
          </cell>
          <cell r="AS73">
            <v>0</v>
          </cell>
          <cell r="AT73">
            <v>336184984.90692288</v>
          </cell>
          <cell r="AU73">
            <v>7.4573052725717048E-3</v>
          </cell>
          <cell r="AV73">
            <v>0</v>
          </cell>
          <cell r="AW73">
            <v>0</v>
          </cell>
          <cell r="AY73">
            <v>0</v>
          </cell>
          <cell r="AZ73">
            <v>0</v>
          </cell>
          <cell r="BA73">
            <v>0</v>
          </cell>
          <cell r="BB73">
            <v>0</v>
          </cell>
          <cell r="BC73">
            <v>0</v>
          </cell>
          <cell r="BD73">
            <v>0</v>
          </cell>
          <cell r="BE73">
            <v>0</v>
          </cell>
          <cell r="BF73">
            <v>0</v>
          </cell>
          <cell r="BG73">
            <v>0</v>
          </cell>
          <cell r="BH73">
            <v>0</v>
          </cell>
          <cell r="BJ73">
            <v>0</v>
          </cell>
          <cell r="BL73">
            <v>0</v>
          </cell>
          <cell r="BM73">
            <v>0</v>
          </cell>
          <cell r="BN73">
            <v>0</v>
          </cell>
          <cell r="BO73">
            <v>0</v>
          </cell>
          <cell r="BQ73">
            <v>0</v>
          </cell>
          <cell r="BR73">
            <v>0</v>
          </cell>
          <cell r="BS73">
            <v>0</v>
          </cell>
          <cell r="BT73">
            <v>0</v>
          </cell>
          <cell r="CB73">
            <v>0</v>
          </cell>
          <cell r="CC73">
            <v>0</v>
          </cell>
          <cell r="CD73">
            <v>0</v>
          </cell>
          <cell r="CE73">
            <v>0</v>
          </cell>
          <cell r="CF73">
            <v>0</v>
          </cell>
          <cell r="CI73">
            <v>0</v>
          </cell>
          <cell r="CJ73">
            <v>0</v>
          </cell>
          <cell r="CK73">
            <v>0</v>
          </cell>
          <cell r="CV73">
            <v>7.7277866075530473E-3</v>
          </cell>
          <cell r="DG73">
            <v>336184984</v>
          </cell>
          <cell r="DR73">
            <v>110519985.77999982</v>
          </cell>
          <cell r="EC73">
            <v>3.0418478759959946</v>
          </cell>
          <cell r="EN73">
            <v>2.4095909012463064E-2</v>
          </cell>
        </row>
        <row r="74">
          <cell r="B74">
            <v>30102</v>
          </cell>
          <cell r="C74" t="str">
            <v>Clover Garden Charter School</v>
          </cell>
          <cell r="D74">
            <v>1.4425642015125479E-4</v>
          </cell>
          <cell r="E74">
            <v>249597.24298690105</v>
          </cell>
          <cell r="F74">
            <v>194616.69445151981</v>
          </cell>
          <cell r="G74">
            <v>145691</v>
          </cell>
          <cell r="H74">
            <v>-69646.499806625055</v>
          </cell>
          <cell r="I74">
            <v>-2882.1035708743884</v>
          </cell>
          <cell r="J74">
            <v>210625.15409560309</v>
          </cell>
          <cell r="K74">
            <v>0</v>
          </cell>
          <cell r="L74">
            <v>-11066.595252157322</v>
          </cell>
          <cell r="M74">
            <v>1985.9798184685681</v>
          </cell>
          <cell r="N74">
            <v>74.866196930098212</v>
          </cell>
          <cell r="O74">
            <v>-33.786296163625387</v>
          </cell>
          <cell r="P74">
            <v>0</v>
          </cell>
          <cell r="Q74">
            <v>0</v>
          </cell>
          <cell r="R74">
            <v>0</v>
          </cell>
          <cell r="S74">
            <v>718961.95262360224</v>
          </cell>
          <cell r="T74">
            <v>741587</v>
          </cell>
          <cell r="U74">
            <v>1053125.7704780155</v>
          </cell>
          <cell r="V74">
            <v>7943.9192738742722</v>
          </cell>
          <cell r="W74">
            <v>0</v>
          </cell>
          <cell r="X74">
            <v>1802656.6897518898</v>
          </cell>
          <cell r="Y74">
            <v>13132.039999999994</v>
          </cell>
          <cell r="Z74">
            <v>0</v>
          </cell>
          <cell r="AA74">
            <v>0</v>
          </cell>
          <cell r="AB74">
            <v>14410.517854371941</v>
          </cell>
          <cell r="AC74">
            <v>27542.557854371935</v>
          </cell>
          <cell r="AD74" t="str">
            <v>N/A</v>
          </cell>
          <cell r="AE74">
            <v>355420</v>
          </cell>
          <cell r="AF74">
            <v>355420</v>
          </cell>
          <cell r="AG74">
            <v>355420</v>
          </cell>
          <cell r="AH74">
            <v>355420</v>
          </cell>
          <cell r="AI74">
            <v>353434</v>
          </cell>
          <cell r="AJ74">
            <v>0</v>
          </cell>
          <cell r="AK74">
            <v>1775114</v>
          </cell>
          <cell r="AL74">
            <v>3892844</v>
          </cell>
          <cell r="AM74">
            <v>718961.95262360224</v>
          </cell>
          <cell r="AN74">
            <v>-111275.96</v>
          </cell>
          <cell r="AO74">
            <v>1046659.1718975179</v>
          </cell>
          <cell r="AP74">
            <v>0</v>
          </cell>
          <cell r="AQ74">
            <v>728454.96</v>
          </cell>
          <cell r="AR74">
            <v>0</v>
          </cell>
          <cell r="AS74">
            <v>0</v>
          </cell>
          <cell r="AT74">
            <v>6275644.1245211195</v>
          </cell>
          <cell r="AU74">
            <v>1.1741527525209222E-4</v>
          </cell>
          <cell r="AV74">
            <v>0</v>
          </cell>
          <cell r="AW74">
            <v>0</v>
          </cell>
          <cell r="AY74">
            <v>0</v>
          </cell>
          <cell r="AZ74">
            <v>0</v>
          </cell>
          <cell r="BA74">
            <v>0</v>
          </cell>
          <cell r="BB74">
            <v>0</v>
          </cell>
          <cell r="BC74">
            <v>0</v>
          </cell>
          <cell r="BD74">
            <v>0</v>
          </cell>
          <cell r="BE74">
            <v>0</v>
          </cell>
          <cell r="BF74">
            <v>0</v>
          </cell>
          <cell r="BG74">
            <v>0</v>
          </cell>
          <cell r="BH74">
            <v>0</v>
          </cell>
          <cell r="BJ74">
            <v>0</v>
          </cell>
          <cell r="BL74">
            <v>0</v>
          </cell>
          <cell r="BM74">
            <v>0</v>
          </cell>
          <cell r="BN74">
            <v>0</v>
          </cell>
          <cell r="BO74">
            <v>0</v>
          </cell>
          <cell r="BQ74">
            <v>0</v>
          </cell>
          <cell r="BR74">
            <v>0</v>
          </cell>
          <cell r="BS74">
            <v>0</v>
          </cell>
          <cell r="BT74">
            <v>0</v>
          </cell>
          <cell r="CB74">
            <v>0</v>
          </cell>
          <cell r="CC74">
            <v>0</v>
          </cell>
          <cell r="CD74">
            <v>0</v>
          </cell>
          <cell r="CE74">
            <v>0</v>
          </cell>
          <cell r="CF74">
            <v>0</v>
          </cell>
          <cell r="CI74">
            <v>0</v>
          </cell>
          <cell r="CJ74">
            <v>0</v>
          </cell>
          <cell r="CK74">
            <v>0</v>
          </cell>
          <cell r="CV74">
            <v>1.4425642015125479E-4</v>
          </cell>
          <cell r="DG74">
            <v>6275645</v>
          </cell>
          <cell r="DR74">
            <v>1936670.5900000003</v>
          </cell>
          <cell r="EC74">
            <v>3.2404297521758716</v>
          </cell>
          <cell r="EN74">
            <v>2.4095909012463064E-2</v>
          </cell>
        </row>
        <row r="75">
          <cell r="B75">
            <v>30103</v>
          </cell>
          <cell r="C75" t="str">
            <v>River Mill Academy Charter</v>
          </cell>
          <cell r="D75">
            <v>1.6505168097535305E-4</v>
          </cell>
          <cell r="E75">
            <v>285577.89302276215</v>
          </cell>
          <cell r="F75">
            <v>222671.63244041312</v>
          </cell>
          <cell r="G75">
            <v>15632</v>
          </cell>
          <cell r="H75">
            <v>-79686.379677799574</v>
          </cell>
          <cell r="I75">
            <v>-3297.5727431688083</v>
          </cell>
          <cell r="J75">
            <v>240987.78898520774</v>
          </cell>
          <cell r="K75">
            <v>0</v>
          </cell>
          <cell r="L75">
            <v>-12661.898493857356</v>
          </cell>
          <cell r="M75">
            <v>2272.2684167378629</v>
          </cell>
          <cell r="N75">
            <v>85.658521392588725</v>
          </cell>
          <cell r="O75">
            <v>-38.65675420123744</v>
          </cell>
          <cell r="P75">
            <v>0</v>
          </cell>
          <cell r="Q75">
            <v>0</v>
          </cell>
          <cell r="R75">
            <v>0</v>
          </cell>
          <cell r="S75">
            <v>671542.7337174865</v>
          </cell>
          <cell r="T75">
            <v>91250</v>
          </cell>
          <cell r="U75">
            <v>1204938.9449260386</v>
          </cell>
          <cell r="V75">
            <v>9089.0736669514517</v>
          </cell>
          <cell r="W75">
            <v>0</v>
          </cell>
          <cell r="X75">
            <v>1305278.01859299</v>
          </cell>
          <cell r="Y75">
            <v>13090.050000000003</v>
          </cell>
          <cell r="Z75">
            <v>0</v>
          </cell>
          <cell r="AA75">
            <v>0</v>
          </cell>
          <cell r="AB75">
            <v>16487.86371584404</v>
          </cell>
          <cell r="AC75">
            <v>29577.913715844043</v>
          </cell>
          <cell r="AD75" t="str">
            <v>N/A</v>
          </cell>
          <cell r="AE75">
            <v>255594</v>
          </cell>
          <cell r="AF75">
            <v>255594</v>
          </cell>
          <cell r="AG75">
            <v>255594</v>
          </cell>
          <cell r="AH75">
            <v>255594</v>
          </cell>
          <cell r="AI75">
            <v>253322</v>
          </cell>
          <cell r="AJ75">
            <v>0</v>
          </cell>
          <cell r="AK75">
            <v>1275698</v>
          </cell>
          <cell r="AL75">
            <v>5362705</v>
          </cell>
          <cell r="AM75">
            <v>671542.7337174865</v>
          </cell>
          <cell r="AN75">
            <v>-129638.95</v>
          </cell>
          <cell r="AO75">
            <v>1197540.1548771462</v>
          </cell>
          <cell r="AP75">
            <v>0</v>
          </cell>
          <cell r="AQ75">
            <v>78159.95</v>
          </cell>
          <cell r="AR75">
            <v>0</v>
          </cell>
          <cell r="AS75">
            <v>0</v>
          </cell>
          <cell r="AT75">
            <v>7180308.888594632</v>
          </cell>
          <cell r="AU75">
            <v>1.617489716189338E-4</v>
          </cell>
          <cell r="AV75">
            <v>0</v>
          </cell>
          <cell r="AW75">
            <v>0</v>
          </cell>
          <cell r="AY75">
            <v>0</v>
          </cell>
          <cell r="AZ75">
            <v>0</v>
          </cell>
          <cell r="BA75">
            <v>0</v>
          </cell>
          <cell r="BB75">
            <v>0</v>
          </cell>
          <cell r="BC75">
            <v>0</v>
          </cell>
          <cell r="BD75">
            <v>0</v>
          </cell>
          <cell r="BE75">
            <v>0</v>
          </cell>
          <cell r="BF75">
            <v>0</v>
          </cell>
          <cell r="BG75">
            <v>0</v>
          </cell>
          <cell r="BH75">
            <v>0</v>
          </cell>
          <cell r="BJ75">
            <v>0</v>
          </cell>
          <cell r="BL75">
            <v>0</v>
          </cell>
          <cell r="BM75">
            <v>0</v>
          </cell>
          <cell r="BN75">
            <v>0</v>
          </cell>
          <cell r="BO75">
            <v>0</v>
          </cell>
          <cell r="BQ75">
            <v>0</v>
          </cell>
          <cell r="BR75">
            <v>0</v>
          </cell>
          <cell r="BS75">
            <v>0</v>
          </cell>
          <cell r="BT75">
            <v>0</v>
          </cell>
          <cell r="CB75">
            <v>0</v>
          </cell>
          <cell r="CC75">
            <v>0</v>
          </cell>
          <cell r="CD75">
            <v>0</v>
          </cell>
          <cell r="CE75">
            <v>0</v>
          </cell>
          <cell r="CF75">
            <v>0</v>
          </cell>
          <cell r="CI75">
            <v>0</v>
          </cell>
          <cell r="CJ75">
            <v>0</v>
          </cell>
          <cell r="CK75">
            <v>0</v>
          </cell>
          <cell r="CV75">
            <v>1.6505168097535305E-4</v>
          </cell>
          <cell r="DG75">
            <v>7180309</v>
          </cell>
          <cell r="DR75">
            <v>2194122.9700000007</v>
          </cell>
          <cell r="EC75">
            <v>3.2725189509319059</v>
          </cell>
          <cell r="EN75">
            <v>2.4095909012463064E-2</v>
          </cell>
        </row>
        <row r="76">
          <cell r="B76">
            <v>30104</v>
          </cell>
          <cell r="C76" t="str">
            <v>The Hawbridge School</v>
          </cell>
          <cell r="D76">
            <v>1.0524667875150715E-4</v>
          </cell>
          <cell r="E76">
            <v>182101.29450294518</v>
          </cell>
          <cell r="F76">
            <v>141988.55551207272</v>
          </cell>
          <cell r="G76">
            <v>140696</v>
          </cell>
          <cell r="H76">
            <v>-50812.73182593262</v>
          </cell>
          <cell r="I76">
            <v>-2102.7267163176575</v>
          </cell>
          <cell r="J76">
            <v>153668.01634785894</v>
          </cell>
          <cell r="K76">
            <v>0</v>
          </cell>
          <cell r="L76">
            <v>-8073.972681115536</v>
          </cell>
          <cell r="M76">
            <v>1448.932253706143</v>
          </cell>
          <cell r="N76">
            <v>54.62092133845718</v>
          </cell>
          <cell r="O76">
            <v>-24.649824630390491</v>
          </cell>
          <cell r="P76">
            <v>0</v>
          </cell>
          <cell r="Q76">
            <v>0</v>
          </cell>
          <cell r="R76">
            <v>0</v>
          </cell>
          <cell r="S76">
            <v>558943.33848992537</v>
          </cell>
          <cell r="T76">
            <v>720412</v>
          </cell>
          <cell r="U76">
            <v>768340.08173929469</v>
          </cell>
          <cell r="V76">
            <v>5795.729014824572</v>
          </cell>
          <cell r="W76">
            <v>0</v>
          </cell>
          <cell r="X76">
            <v>1494547.8107541194</v>
          </cell>
          <cell r="Y76">
            <v>16933.770000000004</v>
          </cell>
          <cell r="Z76">
            <v>0</v>
          </cell>
          <cell r="AA76">
            <v>0</v>
          </cell>
          <cell r="AB76">
            <v>10513.633581588289</v>
          </cell>
          <cell r="AC76">
            <v>27447.403581588293</v>
          </cell>
          <cell r="AD76" t="str">
            <v>N/A</v>
          </cell>
          <cell r="AE76">
            <v>293709</v>
          </cell>
          <cell r="AF76">
            <v>293710</v>
          </cell>
          <cell r="AG76">
            <v>293710</v>
          </cell>
          <cell r="AH76">
            <v>293710</v>
          </cell>
          <cell r="AI76">
            <v>292261</v>
          </cell>
          <cell r="AJ76">
            <v>0</v>
          </cell>
          <cell r="AK76">
            <v>1467100</v>
          </cell>
          <cell r="AL76">
            <v>2624905</v>
          </cell>
          <cell r="AM76">
            <v>558943.33848992537</v>
          </cell>
          <cell r="AN76">
            <v>-72361.23</v>
          </cell>
          <cell r="AO76">
            <v>763622.17717253102</v>
          </cell>
          <cell r="AP76">
            <v>0</v>
          </cell>
          <cell r="AQ76">
            <v>703478.23</v>
          </cell>
          <cell r="AR76">
            <v>0</v>
          </cell>
          <cell r="AS76">
            <v>0</v>
          </cell>
          <cell r="AT76">
            <v>4578587.5156624559</v>
          </cell>
          <cell r="AU76">
            <v>7.9171924691688201E-5</v>
          </cell>
          <cell r="AV76">
            <v>0</v>
          </cell>
          <cell r="AW76">
            <v>0</v>
          </cell>
          <cell r="AY76">
            <v>0</v>
          </cell>
          <cell r="AZ76">
            <v>0</v>
          </cell>
          <cell r="BA76">
            <v>0</v>
          </cell>
          <cell r="BB76">
            <v>0</v>
          </cell>
          <cell r="BC76">
            <v>0</v>
          </cell>
          <cell r="BD76">
            <v>0</v>
          </cell>
          <cell r="BE76">
            <v>0</v>
          </cell>
          <cell r="BF76">
            <v>0</v>
          </cell>
          <cell r="BG76">
            <v>0</v>
          </cell>
          <cell r="BH76">
            <v>0</v>
          </cell>
          <cell r="BJ76">
            <v>0</v>
          </cell>
          <cell r="BL76">
            <v>0</v>
          </cell>
          <cell r="BM76">
            <v>0</v>
          </cell>
          <cell r="BN76">
            <v>0</v>
          </cell>
          <cell r="BO76">
            <v>0</v>
          </cell>
          <cell r="BQ76">
            <v>0</v>
          </cell>
          <cell r="BR76">
            <v>0</v>
          </cell>
          <cell r="BS76">
            <v>0</v>
          </cell>
          <cell r="BT76">
            <v>0</v>
          </cell>
          <cell r="CB76">
            <v>0</v>
          </cell>
          <cell r="CC76">
            <v>0</v>
          </cell>
          <cell r="CD76">
            <v>0</v>
          </cell>
          <cell r="CE76">
            <v>0</v>
          </cell>
          <cell r="CF76">
            <v>0</v>
          </cell>
          <cell r="CI76">
            <v>0</v>
          </cell>
          <cell r="CJ76">
            <v>0</v>
          </cell>
          <cell r="CK76">
            <v>0</v>
          </cell>
          <cell r="CV76">
            <v>1.0524667875150715E-4</v>
          </cell>
          <cell r="DG76">
            <v>4578588</v>
          </cell>
          <cell r="DR76">
            <v>1290327.7399999995</v>
          </cell>
          <cell r="EC76">
            <v>3.5483915117565417</v>
          </cell>
          <cell r="EN76">
            <v>2.4095909012463064E-2</v>
          </cell>
        </row>
        <row r="77">
          <cell r="B77">
            <v>30105</v>
          </cell>
          <cell r="C77" t="str">
            <v>Alamance Community College</v>
          </cell>
          <cell r="D77">
            <v>7.1665148802620431E-4</v>
          </cell>
          <cell r="E77">
            <v>1239974.175196145</v>
          </cell>
          <cell r="F77">
            <v>966836.30113089026</v>
          </cell>
          <cell r="G77">
            <v>-119101</v>
          </cell>
          <cell r="H77">
            <v>-345996.85525192507</v>
          </cell>
          <cell r="I77">
            <v>-14318.002696497673</v>
          </cell>
          <cell r="J77">
            <v>1046364.7298338255</v>
          </cell>
          <cell r="K77">
            <v>0</v>
          </cell>
          <cell r="L77">
            <v>-54977.739961428582</v>
          </cell>
          <cell r="M77">
            <v>9866.1493928880809</v>
          </cell>
          <cell r="N77">
            <v>371.92778925583951</v>
          </cell>
          <cell r="O77">
            <v>-167.8469450106173</v>
          </cell>
          <cell r="P77">
            <v>0</v>
          </cell>
          <cell r="Q77">
            <v>0</v>
          </cell>
          <cell r="R77">
            <v>0</v>
          </cell>
          <cell r="S77">
            <v>2728851.8384881425</v>
          </cell>
          <cell r="T77">
            <v>58107.969999999972</v>
          </cell>
          <cell r="U77">
            <v>5231823.6491691275</v>
          </cell>
          <cell r="V77">
            <v>39464.597571552324</v>
          </cell>
          <cell r="W77">
            <v>0</v>
          </cell>
          <cell r="X77">
            <v>5329396.2167406799</v>
          </cell>
          <cell r="Y77">
            <v>653614</v>
          </cell>
          <cell r="Z77">
            <v>0</v>
          </cell>
          <cell r="AA77">
            <v>0</v>
          </cell>
          <cell r="AB77">
            <v>71590.013482488372</v>
          </cell>
          <cell r="AC77">
            <v>725204.01348248834</v>
          </cell>
          <cell r="AD77" t="str">
            <v>N/A</v>
          </cell>
          <cell r="AE77">
            <v>922812</v>
          </cell>
          <cell r="AF77">
            <v>922811</v>
          </cell>
          <cell r="AG77">
            <v>922811</v>
          </cell>
          <cell r="AH77">
            <v>922811</v>
          </cell>
          <cell r="AI77">
            <v>912945</v>
          </cell>
          <cell r="AJ77">
            <v>0</v>
          </cell>
          <cell r="AK77">
            <v>4604190</v>
          </cell>
          <cell r="AL77">
            <v>24544554</v>
          </cell>
          <cell r="AM77">
            <v>2728851.8384881425</v>
          </cell>
          <cell r="AN77">
            <v>-700821.97</v>
          </cell>
          <cell r="AO77">
            <v>5199698.2332581915</v>
          </cell>
          <cell r="AP77">
            <v>0</v>
          </cell>
          <cell r="AQ77">
            <v>-595506.03</v>
          </cell>
          <cell r="AR77">
            <v>0</v>
          </cell>
          <cell r="AS77">
            <v>0</v>
          </cell>
          <cell r="AT77">
            <v>31176776.071746334</v>
          </cell>
          <cell r="AU77">
            <v>7.4030852539940612E-4</v>
          </cell>
          <cell r="AV77">
            <v>0</v>
          </cell>
          <cell r="AW77">
            <v>0</v>
          </cell>
          <cell r="AY77">
            <v>0</v>
          </cell>
          <cell r="AZ77">
            <v>0</v>
          </cell>
          <cell r="BA77">
            <v>0</v>
          </cell>
          <cell r="BB77">
            <v>0</v>
          </cell>
          <cell r="BC77">
            <v>0</v>
          </cell>
          <cell r="BD77">
            <v>0</v>
          </cell>
          <cell r="BE77">
            <v>0</v>
          </cell>
          <cell r="BF77">
            <v>0</v>
          </cell>
          <cell r="BG77">
            <v>0</v>
          </cell>
          <cell r="BH77">
            <v>0</v>
          </cell>
          <cell r="BJ77">
            <v>0</v>
          </cell>
          <cell r="BL77">
            <v>0</v>
          </cell>
          <cell r="BM77">
            <v>0</v>
          </cell>
          <cell r="BN77">
            <v>0</v>
          </cell>
          <cell r="BO77">
            <v>0</v>
          </cell>
          <cell r="BQ77">
            <v>0</v>
          </cell>
          <cell r="BR77">
            <v>0</v>
          </cell>
          <cell r="BS77">
            <v>0</v>
          </cell>
          <cell r="BT77">
            <v>0</v>
          </cell>
          <cell r="CB77">
            <v>0</v>
          </cell>
          <cell r="CC77">
            <v>0</v>
          </cell>
          <cell r="CD77">
            <v>0</v>
          </cell>
          <cell r="CE77">
            <v>0</v>
          </cell>
          <cell r="CF77">
            <v>0</v>
          </cell>
          <cell r="CI77">
            <v>0</v>
          </cell>
          <cell r="CJ77">
            <v>0</v>
          </cell>
          <cell r="CK77">
            <v>0</v>
          </cell>
          <cell r="CV77">
            <v>7.1665148802620431E-4</v>
          </cell>
          <cell r="DG77">
            <v>31176776</v>
          </cell>
          <cell r="DR77">
            <v>12013260.689999999</v>
          </cell>
          <cell r="EC77">
            <v>2.595196824951278</v>
          </cell>
          <cell r="EN77">
            <v>2.4095909012463064E-2</v>
          </cell>
        </row>
        <row r="78">
          <cell r="B78">
            <v>30200</v>
          </cell>
          <cell r="C78" t="str">
            <v>Alexander County Schools</v>
          </cell>
          <cell r="D78">
            <v>1.6985906501332825E-3</v>
          </cell>
          <cell r="E78">
            <v>2938957.8834138797</v>
          </cell>
          <cell r="F78">
            <v>2291572.8617734034</v>
          </cell>
          <cell r="G78">
            <v>-231430</v>
          </cell>
          <cell r="H78">
            <v>-820073.68033951428</v>
          </cell>
          <cell r="I78">
            <v>-33936.196205825501</v>
          </cell>
          <cell r="J78">
            <v>2480069.2894954062</v>
          </cell>
          <cell r="K78">
            <v>0</v>
          </cell>
          <cell r="L78">
            <v>-130306.95759962885</v>
          </cell>
          <cell r="M78">
            <v>23384.517288499763</v>
          </cell>
          <cell r="N78">
            <v>881.53457560617096</v>
          </cell>
          <cell r="O78">
            <v>-397.82691616771609</v>
          </cell>
          <cell r="P78">
            <v>0</v>
          </cell>
          <cell r="Q78">
            <v>0</v>
          </cell>
          <cell r="R78">
            <v>0</v>
          </cell>
          <cell r="S78">
            <v>6518721.4254856585</v>
          </cell>
          <cell r="T78">
            <v>0</v>
          </cell>
          <cell r="U78">
            <v>12400346.447477031</v>
          </cell>
          <cell r="V78">
            <v>93538.069153999051</v>
          </cell>
          <cell r="W78">
            <v>0</v>
          </cell>
          <cell r="X78">
            <v>12493884.516631031</v>
          </cell>
          <cell r="Y78">
            <v>1157153.4000000001</v>
          </cell>
          <cell r="Z78">
            <v>0</v>
          </cell>
          <cell r="AA78">
            <v>0</v>
          </cell>
          <cell r="AB78">
            <v>169680.98102912752</v>
          </cell>
          <cell r="AC78">
            <v>1326834.3810291276</v>
          </cell>
          <cell r="AD78" t="str">
            <v>N/A</v>
          </cell>
          <cell r="AE78">
            <v>2238088</v>
          </cell>
          <cell r="AF78">
            <v>2238087</v>
          </cell>
          <cell r="AG78">
            <v>2238087</v>
          </cell>
          <cell r="AH78">
            <v>2238087</v>
          </cell>
          <cell r="AI78">
            <v>2214702</v>
          </cell>
          <cell r="AJ78">
            <v>0</v>
          </cell>
          <cell r="AK78">
            <v>11167051</v>
          </cell>
          <cell r="AL78">
            <v>57675940</v>
          </cell>
          <cell r="AM78">
            <v>6518721.4254856585</v>
          </cell>
          <cell r="AN78">
            <v>-1467244.5999999999</v>
          </cell>
          <cell r="AO78">
            <v>12324203.535601905</v>
          </cell>
          <cell r="AP78">
            <v>0</v>
          </cell>
          <cell r="AQ78">
            <v>-1157153.4000000001</v>
          </cell>
          <cell r="AR78">
            <v>0</v>
          </cell>
          <cell r="AS78">
            <v>0</v>
          </cell>
          <cell r="AT78">
            <v>73894466.961087555</v>
          </cell>
          <cell r="AU78">
            <v>1.7396115780678972E-3</v>
          </cell>
          <cell r="AV78">
            <v>0</v>
          </cell>
          <cell r="AW78">
            <v>0</v>
          </cell>
          <cell r="AY78">
            <v>0</v>
          </cell>
          <cell r="AZ78">
            <v>0</v>
          </cell>
          <cell r="BA78">
            <v>0</v>
          </cell>
          <cell r="BB78">
            <v>0</v>
          </cell>
          <cell r="BC78">
            <v>0</v>
          </cell>
          <cell r="BD78">
            <v>0</v>
          </cell>
          <cell r="BE78">
            <v>0</v>
          </cell>
          <cell r="BF78">
            <v>0</v>
          </cell>
          <cell r="BG78">
            <v>0</v>
          </cell>
          <cell r="BH78">
            <v>0</v>
          </cell>
          <cell r="BJ78">
            <v>0</v>
          </cell>
          <cell r="BL78">
            <v>0</v>
          </cell>
          <cell r="BM78">
            <v>0</v>
          </cell>
          <cell r="BN78">
            <v>0</v>
          </cell>
          <cell r="BO78">
            <v>0</v>
          </cell>
          <cell r="BQ78">
            <v>0</v>
          </cell>
          <cell r="BR78">
            <v>0</v>
          </cell>
          <cell r="BS78">
            <v>0</v>
          </cell>
          <cell r="BT78">
            <v>0</v>
          </cell>
          <cell r="CB78">
            <v>0</v>
          </cell>
          <cell r="CC78">
            <v>0</v>
          </cell>
          <cell r="CD78">
            <v>0</v>
          </cell>
          <cell r="CE78">
            <v>0</v>
          </cell>
          <cell r="CF78">
            <v>0</v>
          </cell>
          <cell r="CI78">
            <v>0</v>
          </cell>
          <cell r="CJ78">
            <v>0</v>
          </cell>
          <cell r="CK78">
            <v>0</v>
          </cell>
          <cell r="CV78">
            <v>1.6985906501332825E-3</v>
          </cell>
          <cell r="DG78">
            <v>73894467</v>
          </cell>
          <cell r="DR78">
            <v>25714708.279999994</v>
          </cell>
          <cell r="EC78">
            <v>2.873626494043199</v>
          </cell>
          <cell r="EN78">
            <v>2.4095909012463064E-2</v>
          </cell>
        </row>
        <row r="79">
          <cell r="B79">
            <v>30300</v>
          </cell>
          <cell r="C79" t="str">
            <v>Alleghany County Schools</v>
          </cell>
          <cell r="D79">
            <v>5.8215431358102669E-4</v>
          </cell>
          <cell r="E79">
            <v>1007262.7028343196</v>
          </cell>
          <cell r="F79">
            <v>785385.82928260346</v>
          </cell>
          <cell r="G79">
            <v>-50820</v>
          </cell>
          <cell r="H79">
            <v>-281062.08545682009</v>
          </cell>
          <cell r="I79">
            <v>-11630.879403582727</v>
          </cell>
          <cell r="J79">
            <v>849988.80380407965</v>
          </cell>
          <cell r="K79">
            <v>0</v>
          </cell>
          <cell r="L79">
            <v>-44659.822806802513</v>
          </cell>
          <cell r="M79">
            <v>8014.5252238625208</v>
          </cell>
          <cell r="N79">
            <v>302.12644566228124</v>
          </cell>
          <cell r="O79">
            <v>-136.34636178381226</v>
          </cell>
          <cell r="P79">
            <v>0</v>
          </cell>
          <cell r="Q79">
            <v>0</v>
          </cell>
          <cell r="R79">
            <v>0</v>
          </cell>
          <cell r="S79">
            <v>2262644.8535615378</v>
          </cell>
          <cell r="T79">
            <v>1218.9200000000419</v>
          </cell>
          <cell r="U79">
            <v>4249944.0190203981</v>
          </cell>
          <cell r="V79">
            <v>32058.100895450083</v>
          </cell>
          <cell r="W79">
            <v>0</v>
          </cell>
          <cell r="X79">
            <v>4283221.0399158485</v>
          </cell>
          <cell r="Y79">
            <v>255321</v>
          </cell>
          <cell r="Z79">
            <v>0</v>
          </cell>
          <cell r="AA79">
            <v>0</v>
          </cell>
          <cell r="AB79">
            <v>58154.39701791363</v>
          </cell>
          <cell r="AC79">
            <v>313475.39701791364</v>
          </cell>
          <cell r="AD79" t="str">
            <v>N/A</v>
          </cell>
          <cell r="AE79">
            <v>795552</v>
          </cell>
          <cell r="AF79">
            <v>795552</v>
          </cell>
          <cell r="AG79">
            <v>795552</v>
          </cell>
          <cell r="AH79">
            <v>795552</v>
          </cell>
          <cell r="AI79">
            <v>787538</v>
          </cell>
          <cell r="AJ79">
            <v>0</v>
          </cell>
          <cell r="AK79">
            <v>3969746</v>
          </cell>
          <cell r="AL79">
            <v>19607416</v>
          </cell>
          <cell r="AM79">
            <v>2262644.8535615378</v>
          </cell>
          <cell r="AN79">
            <v>-514114.92000000004</v>
          </cell>
          <cell r="AO79">
            <v>4223847.7228979347</v>
          </cell>
          <cell r="AP79">
            <v>0</v>
          </cell>
          <cell r="AQ79">
            <v>-254102.07999999996</v>
          </cell>
          <cell r="AR79">
            <v>0</v>
          </cell>
          <cell r="AS79">
            <v>0</v>
          </cell>
          <cell r="AT79">
            <v>25325691.576459475</v>
          </cell>
          <cell r="AU79">
            <v>5.9139542779070703E-4</v>
          </cell>
          <cell r="AV79">
            <v>0</v>
          </cell>
          <cell r="AW79">
            <v>0</v>
          </cell>
          <cell r="AY79">
            <v>0</v>
          </cell>
          <cell r="AZ79">
            <v>0</v>
          </cell>
          <cell r="BA79">
            <v>0</v>
          </cell>
          <cell r="BB79">
            <v>0</v>
          </cell>
          <cell r="BC79">
            <v>0</v>
          </cell>
          <cell r="BD79">
            <v>0</v>
          </cell>
          <cell r="BE79">
            <v>0</v>
          </cell>
          <cell r="BF79">
            <v>0</v>
          </cell>
          <cell r="BG79">
            <v>0</v>
          </cell>
          <cell r="BH79">
            <v>0</v>
          </cell>
          <cell r="BJ79">
            <v>0</v>
          </cell>
          <cell r="BL79">
            <v>0</v>
          </cell>
          <cell r="BM79">
            <v>0</v>
          </cell>
          <cell r="BN79">
            <v>0</v>
          </cell>
          <cell r="BO79">
            <v>0</v>
          </cell>
          <cell r="BQ79">
            <v>0</v>
          </cell>
          <cell r="BR79">
            <v>0</v>
          </cell>
          <cell r="BS79">
            <v>0</v>
          </cell>
          <cell r="BT79">
            <v>0</v>
          </cell>
          <cell r="CB79">
            <v>0</v>
          </cell>
          <cell r="CC79">
            <v>0</v>
          </cell>
          <cell r="CD79">
            <v>0</v>
          </cell>
          <cell r="CE79">
            <v>0</v>
          </cell>
          <cell r="CF79">
            <v>0</v>
          </cell>
          <cell r="CI79">
            <v>0</v>
          </cell>
          <cell r="CJ79">
            <v>0</v>
          </cell>
          <cell r="CK79">
            <v>0</v>
          </cell>
          <cell r="CV79">
            <v>5.8215431358102669E-4</v>
          </cell>
          <cell r="DG79">
            <v>25325691</v>
          </cell>
          <cell r="DR79">
            <v>8935775.4199999999</v>
          </cell>
          <cell r="EC79">
            <v>2.8341906336764224</v>
          </cell>
          <cell r="EN79">
            <v>2.4095909012463064E-2</v>
          </cell>
        </row>
        <row r="80">
          <cell r="B80">
            <v>30400</v>
          </cell>
          <cell r="C80" t="str">
            <v>Anson County Schools</v>
          </cell>
          <cell r="D80">
            <v>1.0721140620536731E-3</v>
          </cell>
          <cell r="E80">
            <v>1855007.3111165895</v>
          </cell>
          <cell r="F80">
            <v>1446391.741962706</v>
          </cell>
          <cell r="G80">
            <v>-415464</v>
          </cell>
          <cell r="H80">
            <v>-517612.95432958688</v>
          </cell>
          <cell r="I80">
            <v>-21419.80068124309</v>
          </cell>
          <cell r="J80">
            <v>1565366.6525992304</v>
          </cell>
          <cell r="K80">
            <v>0</v>
          </cell>
          <cell r="L80">
            <v>-82246.962571607073</v>
          </cell>
          <cell r="M80">
            <v>14759.80679475105</v>
          </cell>
          <cell r="N80">
            <v>556.40575592461528</v>
          </cell>
          <cell r="O80">
            <v>-251.09983447359076</v>
          </cell>
          <cell r="P80">
            <v>0</v>
          </cell>
          <cell r="Q80">
            <v>0</v>
          </cell>
          <cell r="R80">
            <v>0</v>
          </cell>
          <cell r="S80">
            <v>3845087.1008122903</v>
          </cell>
          <cell r="T80">
            <v>77784.530000000028</v>
          </cell>
          <cell r="U80">
            <v>7826833.262996152</v>
          </cell>
          <cell r="V80">
            <v>59039.2271790042</v>
          </cell>
          <cell r="W80">
            <v>0</v>
          </cell>
          <cell r="X80">
            <v>7963657.0201751562</v>
          </cell>
          <cell r="Y80">
            <v>2155105</v>
          </cell>
          <cell r="Z80">
            <v>0</v>
          </cell>
          <cell r="AA80">
            <v>0</v>
          </cell>
          <cell r="AB80">
            <v>107099.00340621544</v>
          </cell>
          <cell r="AC80">
            <v>2262204.0034062155</v>
          </cell>
          <cell r="AD80" t="str">
            <v>N/A</v>
          </cell>
          <cell r="AE80">
            <v>1143243</v>
          </cell>
          <cell r="AF80">
            <v>1143243</v>
          </cell>
          <cell r="AG80">
            <v>1143243</v>
          </cell>
          <cell r="AH80">
            <v>1143243</v>
          </cell>
          <cell r="AI80">
            <v>1128483</v>
          </cell>
          <cell r="AJ80">
            <v>0</v>
          </cell>
          <cell r="AK80">
            <v>5701455</v>
          </cell>
          <cell r="AL80">
            <v>38131524</v>
          </cell>
          <cell r="AM80">
            <v>3845087.1008122903</v>
          </cell>
          <cell r="AN80">
            <v>-1037458.53</v>
          </cell>
          <cell r="AO80">
            <v>7778773.4867689414</v>
          </cell>
          <cell r="AP80">
            <v>0</v>
          </cell>
          <cell r="AQ80">
            <v>-2077320.47</v>
          </cell>
          <cell r="AR80">
            <v>0</v>
          </cell>
          <cell r="AS80">
            <v>0</v>
          </cell>
          <cell r="AT80">
            <v>46640605.587581232</v>
          </cell>
          <cell r="AU80">
            <v>1.1501163195576055E-3</v>
          </cell>
          <cell r="AV80">
            <v>0</v>
          </cell>
          <cell r="AW80">
            <v>0</v>
          </cell>
          <cell r="AY80">
            <v>0</v>
          </cell>
          <cell r="AZ80">
            <v>0</v>
          </cell>
          <cell r="BA80">
            <v>0</v>
          </cell>
          <cell r="BB80">
            <v>0</v>
          </cell>
          <cell r="BC80">
            <v>0</v>
          </cell>
          <cell r="BD80">
            <v>0</v>
          </cell>
          <cell r="BE80">
            <v>0</v>
          </cell>
          <cell r="BF80">
            <v>0</v>
          </cell>
          <cell r="BG80">
            <v>0</v>
          </cell>
          <cell r="BH80">
            <v>0</v>
          </cell>
          <cell r="BJ80">
            <v>0</v>
          </cell>
          <cell r="BL80">
            <v>0</v>
          </cell>
          <cell r="BM80">
            <v>0</v>
          </cell>
          <cell r="BN80">
            <v>0</v>
          </cell>
          <cell r="BO80">
            <v>0</v>
          </cell>
          <cell r="BQ80">
            <v>0</v>
          </cell>
          <cell r="BR80">
            <v>0</v>
          </cell>
          <cell r="BS80">
            <v>0</v>
          </cell>
          <cell r="BT80">
            <v>0</v>
          </cell>
          <cell r="CB80">
            <v>0</v>
          </cell>
          <cell r="CC80">
            <v>0</v>
          </cell>
          <cell r="CD80">
            <v>0</v>
          </cell>
          <cell r="CE80">
            <v>0</v>
          </cell>
          <cell r="CF80">
            <v>0</v>
          </cell>
          <cell r="CI80">
            <v>0</v>
          </cell>
          <cell r="CJ80">
            <v>0</v>
          </cell>
          <cell r="CK80">
            <v>0</v>
          </cell>
          <cell r="CV80">
            <v>1.0721140620536731E-3</v>
          </cell>
          <cell r="DG80">
            <v>46640606</v>
          </cell>
          <cell r="DR80">
            <v>17862843.95999999</v>
          </cell>
          <cell r="EC80">
            <v>2.6110403306686014</v>
          </cell>
          <cell r="EN80">
            <v>2.4095909012463064E-2</v>
          </cell>
        </row>
        <row r="81">
          <cell r="B81">
            <v>30405</v>
          </cell>
          <cell r="C81" t="str">
            <v>South Piedmont Community College</v>
          </cell>
          <cell r="D81">
            <v>7.4381911771139971E-4</v>
          </cell>
          <cell r="E81">
            <v>1286980.5092005793</v>
          </cell>
          <cell r="F81">
            <v>1003488.2177656712</v>
          </cell>
          <cell r="G81">
            <v>-22799</v>
          </cell>
          <cell r="H81">
            <v>-359113.29272924847</v>
          </cell>
          <cell r="I81">
            <v>-14860.785627377258</v>
          </cell>
          <cell r="J81">
            <v>1086031.499485095</v>
          </cell>
          <cell r="K81">
            <v>0</v>
          </cell>
          <cell r="L81">
            <v>-57061.897889174972</v>
          </cell>
          <cell r="M81">
            <v>10240.16646757948</v>
          </cell>
          <cell r="N81">
            <v>386.0272457098622</v>
          </cell>
          <cell r="O81">
            <v>-174.20987555918691</v>
          </cell>
          <cell r="P81">
            <v>0</v>
          </cell>
          <cell r="Q81">
            <v>0</v>
          </cell>
          <cell r="R81">
            <v>0</v>
          </cell>
          <cell r="S81">
            <v>2933117.2340432755</v>
          </cell>
          <cell r="T81">
            <v>0</v>
          </cell>
          <cell r="U81">
            <v>5430157.4974254742</v>
          </cell>
          <cell r="V81">
            <v>40960.66587031792</v>
          </cell>
          <cell r="W81">
            <v>0</v>
          </cell>
          <cell r="X81">
            <v>5471118.1632957924</v>
          </cell>
          <cell r="Y81">
            <v>113993.44000000006</v>
          </cell>
          <cell r="Z81">
            <v>0</v>
          </cell>
          <cell r="AA81">
            <v>0</v>
          </cell>
          <cell r="AB81">
            <v>74303.928136886287</v>
          </cell>
          <cell r="AC81">
            <v>188297.36813688633</v>
          </cell>
          <cell r="AD81" t="str">
            <v>N/A</v>
          </cell>
          <cell r="AE81">
            <v>1058612</v>
          </cell>
          <cell r="AF81">
            <v>1058612</v>
          </cell>
          <cell r="AG81">
            <v>1058612</v>
          </cell>
          <cell r="AH81">
            <v>1058612</v>
          </cell>
          <cell r="AI81">
            <v>1048372</v>
          </cell>
          <cell r="AJ81">
            <v>0</v>
          </cell>
          <cell r="AK81">
            <v>5282820</v>
          </cell>
          <cell r="AL81">
            <v>24774399</v>
          </cell>
          <cell r="AM81">
            <v>2933117.2340432755</v>
          </cell>
          <cell r="AN81">
            <v>-631676.55999999994</v>
          </cell>
          <cell r="AO81">
            <v>5396814.2351589063</v>
          </cell>
          <cell r="AP81">
            <v>0</v>
          </cell>
          <cell r="AQ81">
            <v>-113993.44000000006</v>
          </cell>
          <cell r="AR81">
            <v>0</v>
          </cell>
          <cell r="AS81">
            <v>0</v>
          </cell>
          <cell r="AT81">
            <v>32358660.469202179</v>
          </cell>
          <cell r="AU81">
            <v>7.4724107298122365E-4</v>
          </cell>
          <cell r="AV81">
            <v>0</v>
          </cell>
          <cell r="AW81">
            <v>0</v>
          </cell>
          <cell r="AY81">
            <v>0</v>
          </cell>
          <cell r="AZ81">
            <v>0</v>
          </cell>
          <cell r="BA81">
            <v>0</v>
          </cell>
          <cell r="BB81">
            <v>0</v>
          </cell>
          <cell r="BC81">
            <v>0</v>
          </cell>
          <cell r="BD81">
            <v>0</v>
          </cell>
          <cell r="BE81">
            <v>0</v>
          </cell>
          <cell r="BF81">
            <v>0</v>
          </cell>
          <cell r="BG81">
            <v>0</v>
          </cell>
          <cell r="BH81">
            <v>0</v>
          </cell>
          <cell r="BJ81">
            <v>0</v>
          </cell>
          <cell r="BL81">
            <v>0</v>
          </cell>
          <cell r="BM81">
            <v>0</v>
          </cell>
          <cell r="BN81">
            <v>0</v>
          </cell>
          <cell r="BO81">
            <v>0</v>
          </cell>
          <cell r="BQ81">
            <v>0</v>
          </cell>
          <cell r="BR81">
            <v>0</v>
          </cell>
          <cell r="BS81">
            <v>0</v>
          </cell>
          <cell r="BT81">
            <v>0</v>
          </cell>
          <cell r="CB81">
            <v>0</v>
          </cell>
          <cell r="CC81">
            <v>0</v>
          </cell>
          <cell r="CD81">
            <v>0</v>
          </cell>
          <cell r="CE81">
            <v>0</v>
          </cell>
          <cell r="CF81">
            <v>0</v>
          </cell>
          <cell r="CI81">
            <v>0</v>
          </cell>
          <cell r="CJ81">
            <v>0</v>
          </cell>
          <cell r="CK81">
            <v>0</v>
          </cell>
          <cell r="CV81">
            <v>7.4381911771139971E-4</v>
          </cell>
          <cell r="DG81">
            <v>32358660</v>
          </cell>
          <cell r="DR81">
            <v>10981955.869999997</v>
          </cell>
          <cell r="EC81">
            <v>2.9465297787615321</v>
          </cell>
          <cell r="EN81">
            <v>2.4095909012463064E-2</v>
          </cell>
        </row>
        <row r="82">
          <cell r="B82">
            <v>30500</v>
          </cell>
          <cell r="C82" t="str">
            <v>Ashe County Schools</v>
          </cell>
          <cell r="D82">
            <v>1.1303530155867918E-3</v>
          </cell>
          <cell r="E82">
            <v>1955774.2802474413</v>
          </cell>
          <cell r="F82">
            <v>1524962.0587156597</v>
          </cell>
          <cell r="G82">
            <v>25543</v>
          </cell>
          <cell r="H82">
            <v>-545730.51929986326</v>
          </cell>
          <cell r="I82">
            <v>-22583.358571878358</v>
          </cell>
          <cell r="J82">
            <v>1650399.877113038</v>
          </cell>
          <cell r="K82">
            <v>0</v>
          </cell>
          <cell r="L82">
            <v>-86714.749350070371</v>
          </cell>
          <cell r="M82">
            <v>15561.583147195051</v>
          </cell>
          <cell r="N82">
            <v>586.63060802923326</v>
          </cell>
          <cell r="O82">
            <v>-264.73997978058253</v>
          </cell>
          <cell r="P82">
            <v>0</v>
          </cell>
          <cell r="Q82">
            <v>0</v>
          </cell>
          <cell r="R82">
            <v>0</v>
          </cell>
          <cell r="S82">
            <v>4517534.0626297714</v>
          </cell>
          <cell r="T82">
            <v>127714.52000000002</v>
          </cell>
          <cell r="U82">
            <v>8251999.3855651896</v>
          </cell>
          <cell r="V82">
            <v>62246.332588780206</v>
          </cell>
          <cell r="W82">
            <v>0</v>
          </cell>
          <cell r="X82">
            <v>8441960.2381539699</v>
          </cell>
          <cell r="Y82">
            <v>0</v>
          </cell>
          <cell r="Z82">
            <v>0</v>
          </cell>
          <cell r="AA82">
            <v>0</v>
          </cell>
          <cell r="AB82">
            <v>112916.79285939179</v>
          </cell>
          <cell r="AC82">
            <v>112916.79285939179</v>
          </cell>
          <cell r="AD82" t="str">
            <v>N/A</v>
          </cell>
          <cell r="AE82">
            <v>1668921</v>
          </cell>
          <cell r="AF82">
            <v>1668921</v>
          </cell>
          <cell r="AG82">
            <v>1668921</v>
          </cell>
          <cell r="AH82">
            <v>1668921</v>
          </cell>
          <cell r="AI82">
            <v>1653360</v>
          </cell>
          <cell r="AJ82">
            <v>0</v>
          </cell>
          <cell r="AK82">
            <v>8329044</v>
          </cell>
          <cell r="AL82">
            <v>37327809</v>
          </cell>
          <cell r="AM82">
            <v>4517534.0626297714</v>
          </cell>
          <cell r="AN82">
            <v>-1000188.52</v>
          </cell>
          <cell r="AO82">
            <v>8201328.925294579</v>
          </cell>
          <cell r="AP82">
            <v>0</v>
          </cell>
          <cell r="AQ82">
            <v>127714.52000000002</v>
          </cell>
          <cell r="AR82">
            <v>0</v>
          </cell>
          <cell r="AS82">
            <v>0</v>
          </cell>
          <cell r="AT82">
            <v>49174197.987924352</v>
          </cell>
          <cell r="AU82">
            <v>1.1258748290233754E-3</v>
          </cell>
          <cell r="AV82">
            <v>0</v>
          </cell>
          <cell r="AW82">
            <v>0</v>
          </cell>
          <cell r="AY82">
            <v>0</v>
          </cell>
          <cell r="AZ82">
            <v>0</v>
          </cell>
          <cell r="BA82">
            <v>0</v>
          </cell>
          <cell r="BB82">
            <v>0</v>
          </cell>
          <cell r="BC82">
            <v>0</v>
          </cell>
          <cell r="BD82">
            <v>0</v>
          </cell>
          <cell r="BE82">
            <v>0</v>
          </cell>
          <cell r="BF82">
            <v>0</v>
          </cell>
          <cell r="BG82">
            <v>0</v>
          </cell>
          <cell r="BH82">
            <v>0</v>
          </cell>
          <cell r="BJ82">
            <v>0</v>
          </cell>
          <cell r="BL82">
            <v>0</v>
          </cell>
          <cell r="BM82">
            <v>0</v>
          </cell>
          <cell r="BN82">
            <v>0</v>
          </cell>
          <cell r="BO82">
            <v>0</v>
          </cell>
          <cell r="BQ82">
            <v>0</v>
          </cell>
          <cell r="BR82">
            <v>0</v>
          </cell>
          <cell r="BS82">
            <v>0</v>
          </cell>
          <cell r="BT82">
            <v>0</v>
          </cell>
          <cell r="CB82">
            <v>0</v>
          </cell>
          <cell r="CC82">
            <v>0</v>
          </cell>
          <cell r="CD82">
            <v>0</v>
          </cell>
          <cell r="CE82">
            <v>0</v>
          </cell>
          <cell r="CF82">
            <v>0</v>
          </cell>
          <cell r="CI82">
            <v>0</v>
          </cell>
          <cell r="CJ82">
            <v>0</v>
          </cell>
          <cell r="CK82">
            <v>0</v>
          </cell>
          <cell r="CV82">
            <v>1.1303530155867918E-3</v>
          </cell>
          <cell r="DG82">
            <v>49174198</v>
          </cell>
          <cell r="DR82">
            <v>17406464.430000011</v>
          </cell>
          <cell r="EC82">
            <v>2.825053772278324</v>
          </cell>
          <cell r="EN82">
            <v>2.4095909012463064E-2</v>
          </cell>
        </row>
        <row r="83">
          <cell r="B83">
            <v>30600</v>
          </cell>
          <cell r="C83" t="str">
            <v>Avery County Schools</v>
          </cell>
          <cell r="D83">
            <v>8.8065594579946104E-4</v>
          </cell>
          <cell r="E83">
            <v>1523740.1278992938</v>
          </cell>
          <cell r="F83">
            <v>1188095.1221502849</v>
          </cell>
          <cell r="G83">
            <v>37218</v>
          </cell>
          <cell r="H83">
            <v>-425177.63919633668</v>
          </cell>
          <cell r="I83">
            <v>-17594.652934261871</v>
          </cell>
          <cell r="J83">
            <v>1285823.4946821334</v>
          </cell>
          <cell r="K83">
            <v>0</v>
          </cell>
          <cell r="L83">
            <v>-67559.300988820905</v>
          </cell>
          <cell r="M83">
            <v>12124.000675590491</v>
          </cell>
          <cell r="N83">
            <v>457.04282275100428</v>
          </cell>
          <cell r="O83">
            <v>-206.25842906569176</v>
          </cell>
          <cell r="P83">
            <v>0</v>
          </cell>
          <cell r="Q83">
            <v>0</v>
          </cell>
          <cell r="R83">
            <v>0</v>
          </cell>
          <cell r="S83">
            <v>3536919.9366815686</v>
          </cell>
          <cell r="T83">
            <v>186087.03999999992</v>
          </cell>
          <cell r="U83">
            <v>6429117.4734106669</v>
          </cell>
          <cell r="V83">
            <v>48496.002702361962</v>
          </cell>
          <cell r="W83">
            <v>0</v>
          </cell>
          <cell r="X83">
            <v>6663700.5161130289</v>
          </cell>
          <cell r="Y83">
            <v>0</v>
          </cell>
          <cell r="Z83">
            <v>0</v>
          </cell>
          <cell r="AA83">
            <v>0</v>
          </cell>
          <cell r="AB83">
            <v>87973.264671309356</v>
          </cell>
          <cell r="AC83">
            <v>87973.264671309356</v>
          </cell>
          <cell r="AD83" t="str">
            <v>N/A</v>
          </cell>
          <cell r="AE83">
            <v>1317571</v>
          </cell>
          <cell r="AF83">
            <v>1317571</v>
          </cell>
          <cell r="AG83">
            <v>1317571</v>
          </cell>
          <cell r="AH83">
            <v>1317571</v>
          </cell>
          <cell r="AI83">
            <v>1305447</v>
          </cell>
          <cell r="AJ83">
            <v>0</v>
          </cell>
          <cell r="AK83">
            <v>6575731</v>
          </cell>
          <cell r="AL83">
            <v>28980028</v>
          </cell>
          <cell r="AM83">
            <v>3536919.9366815686</v>
          </cell>
          <cell r="AN83">
            <v>-781149.03999999992</v>
          </cell>
          <cell r="AO83">
            <v>6389640.2114417199</v>
          </cell>
          <cell r="AP83">
            <v>0</v>
          </cell>
          <cell r="AQ83">
            <v>186087.03999999992</v>
          </cell>
          <cell r="AR83">
            <v>0</v>
          </cell>
          <cell r="AS83">
            <v>0</v>
          </cell>
          <cell r="AT83">
            <v>38311526.148123287</v>
          </cell>
          <cell r="AU83">
            <v>8.7409051284065005E-4</v>
          </cell>
          <cell r="AV83">
            <v>0</v>
          </cell>
          <cell r="AW83">
            <v>0</v>
          </cell>
          <cell r="AY83">
            <v>0</v>
          </cell>
          <cell r="AZ83">
            <v>0</v>
          </cell>
          <cell r="BA83">
            <v>0</v>
          </cell>
          <cell r="BB83">
            <v>0</v>
          </cell>
          <cell r="BC83">
            <v>0</v>
          </cell>
          <cell r="BD83">
            <v>0</v>
          </cell>
          <cell r="BE83">
            <v>0</v>
          </cell>
          <cell r="BF83">
            <v>0</v>
          </cell>
          <cell r="BG83">
            <v>0</v>
          </cell>
          <cell r="BH83">
            <v>0</v>
          </cell>
          <cell r="BJ83">
            <v>0</v>
          </cell>
          <cell r="BL83">
            <v>0</v>
          </cell>
          <cell r="BM83">
            <v>0</v>
          </cell>
          <cell r="BN83">
            <v>0</v>
          </cell>
          <cell r="BO83">
            <v>0</v>
          </cell>
          <cell r="BQ83">
            <v>0</v>
          </cell>
          <cell r="BR83">
            <v>0</v>
          </cell>
          <cell r="BS83">
            <v>0</v>
          </cell>
          <cell r="BT83">
            <v>0</v>
          </cell>
          <cell r="CB83">
            <v>0</v>
          </cell>
          <cell r="CC83">
            <v>0</v>
          </cell>
          <cell r="CD83">
            <v>0</v>
          </cell>
          <cell r="CE83">
            <v>0</v>
          </cell>
          <cell r="CF83">
            <v>0</v>
          </cell>
          <cell r="CI83">
            <v>0</v>
          </cell>
          <cell r="CJ83">
            <v>0</v>
          </cell>
          <cell r="CK83">
            <v>0</v>
          </cell>
          <cell r="CV83">
            <v>8.8065594579946104E-4</v>
          </cell>
          <cell r="DG83">
            <v>38311527</v>
          </cell>
          <cell r="DR83">
            <v>13750307.159999993</v>
          </cell>
          <cell r="EC83">
            <v>2.7862306313744938</v>
          </cell>
          <cell r="EN83">
            <v>2.4095909012463064E-2</v>
          </cell>
        </row>
        <row r="84">
          <cell r="B84">
            <v>30601</v>
          </cell>
          <cell r="C84" t="str">
            <v>Grandfather Academy</v>
          </cell>
          <cell r="D84">
            <v>2.2070122610231471E-5</v>
          </cell>
          <cell r="E84">
            <v>38186.45818411935</v>
          </cell>
          <cell r="F84">
            <v>29774.857188604896</v>
          </cell>
          <cell r="G84">
            <v>-4378</v>
          </cell>
          <cell r="H84">
            <v>-10655.378724177408</v>
          </cell>
          <cell r="I84">
            <v>-440.93967615368149</v>
          </cell>
          <cell r="J84">
            <v>32224.028371249049</v>
          </cell>
          <cell r="K84">
            <v>0</v>
          </cell>
          <cell r="L84">
            <v>-1693.1039452998173</v>
          </cell>
          <cell r="M84">
            <v>303.83963534579141</v>
          </cell>
          <cell r="N84">
            <v>11.453952232257929</v>
          </cell>
          <cell r="O84">
            <v>-5.1690434165423129</v>
          </cell>
          <cell r="P84">
            <v>0</v>
          </cell>
          <cell r="Q84">
            <v>0</v>
          </cell>
          <cell r="R84">
            <v>0</v>
          </cell>
          <cell r="S84">
            <v>83328.045942503886</v>
          </cell>
          <cell r="T84">
            <v>0</v>
          </cell>
          <cell r="U84">
            <v>161120.14185624526</v>
          </cell>
          <cell r="V84">
            <v>1215.3585413831656</v>
          </cell>
          <cell r="W84">
            <v>0</v>
          </cell>
          <cell r="X84">
            <v>162335.50039762844</v>
          </cell>
          <cell r="Y84">
            <v>21891.999999999996</v>
          </cell>
          <cell r="Z84">
            <v>0</v>
          </cell>
          <cell r="AA84">
            <v>0</v>
          </cell>
          <cell r="AB84">
            <v>2204.6983807684073</v>
          </cell>
          <cell r="AC84">
            <v>24096.698380768405</v>
          </cell>
          <cell r="AD84" t="str">
            <v>N/A</v>
          </cell>
          <cell r="AE84">
            <v>27709</v>
          </cell>
          <cell r="AF84">
            <v>27708</v>
          </cell>
          <cell r="AG84">
            <v>27708</v>
          </cell>
          <cell r="AH84">
            <v>27708</v>
          </cell>
          <cell r="AI84">
            <v>27404</v>
          </cell>
          <cell r="AJ84">
            <v>0</v>
          </cell>
          <cell r="AK84">
            <v>138237</v>
          </cell>
          <cell r="AL84">
            <v>755300</v>
          </cell>
          <cell r="AM84">
            <v>83328.045942503886</v>
          </cell>
          <cell r="AN84">
            <v>-16741.000000000004</v>
          </cell>
          <cell r="AO84">
            <v>160130.80201686002</v>
          </cell>
          <cell r="AP84">
            <v>0</v>
          </cell>
          <cell r="AQ84">
            <v>-21891.999999999996</v>
          </cell>
          <cell r="AR84">
            <v>0</v>
          </cell>
          <cell r="AS84">
            <v>0</v>
          </cell>
          <cell r="AT84">
            <v>960125.84795936383</v>
          </cell>
          <cell r="AU84">
            <v>2.2781225901468688E-5</v>
          </cell>
          <cell r="AV84">
            <v>0</v>
          </cell>
          <cell r="AW84">
            <v>0</v>
          </cell>
          <cell r="AY84">
            <v>0</v>
          </cell>
          <cell r="AZ84">
            <v>0</v>
          </cell>
          <cell r="BA84">
            <v>0</v>
          </cell>
          <cell r="BB84">
            <v>0</v>
          </cell>
          <cell r="BC84">
            <v>0</v>
          </cell>
          <cell r="BD84">
            <v>0</v>
          </cell>
          <cell r="BE84">
            <v>0</v>
          </cell>
          <cell r="BF84">
            <v>0</v>
          </cell>
          <cell r="BG84">
            <v>0</v>
          </cell>
          <cell r="BH84">
            <v>0</v>
          </cell>
          <cell r="BJ84">
            <v>0</v>
          </cell>
          <cell r="BL84">
            <v>0</v>
          </cell>
          <cell r="BM84">
            <v>0</v>
          </cell>
          <cell r="BN84">
            <v>0</v>
          </cell>
          <cell r="BO84">
            <v>0</v>
          </cell>
          <cell r="BQ84">
            <v>0</v>
          </cell>
          <cell r="BR84">
            <v>0</v>
          </cell>
          <cell r="BS84">
            <v>0</v>
          </cell>
          <cell r="BT84">
            <v>0</v>
          </cell>
          <cell r="CB84">
            <v>0</v>
          </cell>
          <cell r="CC84">
            <v>0</v>
          </cell>
          <cell r="CD84">
            <v>0</v>
          </cell>
          <cell r="CE84">
            <v>0</v>
          </cell>
          <cell r="CF84">
            <v>0</v>
          </cell>
          <cell r="CI84">
            <v>0</v>
          </cell>
          <cell r="CJ84">
            <v>0</v>
          </cell>
          <cell r="CK84">
            <v>0</v>
          </cell>
          <cell r="CV84">
            <v>2.2070122610231471E-5</v>
          </cell>
          <cell r="DG84">
            <v>960125</v>
          </cell>
          <cell r="DR84">
            <v>283559.88999999996</v>
          </cell>
          <cell r="EC84">
            <v>3.385969009932964</v>
          </cell>
          <cell r="EN84">
            <v>2.4095909012463064E-2</v>
          </cell>
        </row>
        <row r="85">
          <cell r="B85">
            <v>30700</v>
          </cell>
          <cell r="C85" t="str">
            <v>Beaufort County Schools</v>
          </cell>
          <cell r="D85">
            <v>2.2552872815913899E-3</v>
          </cell>
          <cell r="E85">
            <v>3902172.8602332659</v>
          </cell>
          <cell r="F85">
            <v>3042613.668921358</v>
          </cell>
          <cell r="G85">
            <v>-424220</v>
          </cell>
          <cell r="H85">
            <v>-1088844.8850771817</v>
          </cell>
          <cell r="I85">
            <v>-45058.455774840593</v>
          </cell>
          <cell r="J85">
            <v>3292887.9748781733</v>
          </cell>
          <cell r="K85">
            <v>0</v>
          </cell>
          <cell r="L85">
            <v>-173013.80067896389</v>
          </cell>
          <cell r="M85">
            <v>31048.566305701293</v>
          </cell>
          <cell r="N85">
            <v>1170.4489934002995</v>
          </cell>
          <cell r="O85">
            <v>-528.21083422151946</v>
          </cell>
          <cell r="P85">
            <v>0</v>
          </cell>
          <cell r="Q85">
            <v>0</v>
          </cell>
          <cell r="R85">
            <v>0</v>
          </cell>
          <cell r="S85">
            <v>8538228.1669666898</v>
          </cell>
          <cell r="T85">
            <v>65025.760000000242</v>
          </cell>
          <cell r="U85">
            <v>16464439.874390867</v>
          </cell>
          <cell r="V85">
            <v>124194.26522280517</v>
          </cell>
          <cell r="W85">
            <v>0</v>
          </cell>
          <cell r="X85">
            <v>16653659.899613671</v>
          </cell>
          <cell r="Y85">
            <v>2186127</v>
          </cell>
          <cell r="Z85">
            <v>0</v>
          </cell>
          <cell r="AA85">
            <v>0</v>
          </cell>
          <cell r="AB85">
            <v>225292.27887420295</v>
          </cell>
          <cell r="AC85">
            <v>2411419.2788742031</v>
          </cell>
          <cell r="AD85" t="str">
            <v>N/A</v>
          </cell>
          <cell r="AE85">
            <v>2854658</v>
          </cell>
          <cell r="AF85">
            <v>2854657</v>
          </cell>
          <cell r="AG85">
            <v>2854657</v>
          </cell>
          <cell r="AH85">
            <v>2854657</v>
          </cell>
          <cell r="AI85">
            <v>2823609</v>
          </cell>
          <cell r="AJ85">
            <v>0</v>
          </cell>
          <cell r="AK85">
            <v>14242238</v>
          </cell>
          <cell r="AL85">
            <v>77396259</v>
          </cell>
          <cell r="AM85">
            <v>8538228.1669666898</v>
          </cell>
          <cell r="AN85">
            <v>-2064064.7600000002</v>
          </cell>
          <cell r="AO85">
            <v>16363341.86073947</v>
          </cell>
          <cell r="AP85">
            <v>0</v>
          </cell>
          <cell r="AQ85">
            <v>-2121101.2399999998</v>
          </cell>
          <cell r="AR85">
            <v>0</v>
          </cell>
          <cell r="AS85">
            <v>0</v>
          </cell>
          <cell r="AT85">
            <v>98112663.027706161</v>
          </cell>
          <cell r="AU85">
            <v>2.3344123720872964E-3</v>
          </cell>
          <cell r="AV85">
            <v>0</v>
          </cell>
          <cell r="AW85">
            <v>0</v>
          </cell>
          <cell r="AY85">
            <v>0</v>
          </cell>
          <cell r="AZ85">
            <v>0</v>
          </cell>
          <cell r="BA85">
            <v>0</v>
          </cell>
          <cell r="BB85">
            <v>0</v>
          </cell>
          <cell r="BC85">
            <v>0</v>
          </cell>
          <cell r="BD85">
            <v>0</v>
          </cell>
          <cell r="BE85">
            <v>0</v>
          </cell>
          <cell r="BF85">
            <v>0</v>
          </cell>
          <cell r="BG85">
            <v>0</v>
          </cell>
          <cell r="BH85">
            <v>0</v>
          </cell>
          <cell r="BJ85">
            <v>0</v>
          </cell>
          <cell r="BL85">
            <v>0</v>
          </cell>
          <cell r="BM85">
            <v>0</v>
          </cell>
          <cell r="BN85">
            <v>0</v>
          </cell>
          <cell r="BO85">
            <v>0</v>
          </cell>
          <cell r="BQ85">
            <v>0</v>
          </cell>
          <cell r="BR85">
            <v>0</v>
          </cell>
          <cell r="BS85">
            <v>0</v>
          </cell>
          <cell r="BT85">
            <v>0</v>
          </cell>
          <cell r="CB85">
            <v>0</v>
          </cell>
          <cell r="CC85">
            <v>0</v>
          </cell>
          <cell r="CD85">
            <v>0</v>
          </cell>
          <cell r="CE85">
            <v>0</v>
          </cell>
          <cell r="CF85">
            <v>0</v>
          </cell>
          <cell r="CI85">
            <v>0</v>
          </cell>
          <cell r="CJ85">
            <v>0</v>
          </cell>
          <cell r="CK85">
            <v>0</v>
          </cell>
          <cell r="CV85">
            <v>2.2552872815913899E-3</v>
          </cell>
          <cell r="DG85">
            <v>98112662</v>
          </cell>
          <cell r="DR85">
            <v>35413191.710000023</v>
          </cell>
          <cell r="EC85">
            <v>2.7705117009347342</v>
          </cell>
          <cell r="EN85">
            <v>2.4095909012463064E-2</v>
          </cell>
        </row>
        <row r="86">
          <cell r="B86">
            <v>30705</v>
          </cell>
          <cell r="C86" t="str">
            <v>Beaufort County Community College</v>
          </cell>
          <cell r="D86">
            <v>4.4830303929421523E-4</v>
          </cell>
          <cell r="E86">
            <v>775668.78835036152</v>
          </cell>
          <cell r="F86">
            <v>604806.74294100772</v>
          </cell>
          <cell r="G86">
            <v>65992</v>
          </cell>
          <cell r="H86">
            <v>-216439.15402015747</v>
          </cell>
          <cell r="I86">
            <v>-8956.6605703161167</v>
          </cell>
          <cell r="J86">
            <v>654555.94027542463</v>
          </cell>
          <cell r="K86">
            <v>0</v>
          </cell>
          <cell r="L86">
            <v>-34391.455721549079</v>
          </cell>
          <cell r="M86">
            <v>6171.793169849353</v>
          </cell>
          <cell r="N86">
            <v>232.66031133291182</v>
          </cell>
          <cell r="O86">
            <v>-104.99705483309815</v>
          </cell>
          <cell r="P86">
            <v>0</v>
          </cell>
          <cell r="Q86">
            <v>0</v>
          </cell>
          <cell r="R86">
            <v>0</v>
          </cell>
          <cell r="S86">
            <v>1847535.6576811208</v>
          </cell>
          <cell r="T86">
            <v>329958.42999999993</v>
          </cell>
          <cell r="U86">
            <v>3272779.7013771231</v>
          </cell>
          <cell r="V86">
            <v>24687.172679397412</v>
          </cell>
          <cell r="W86">
            <v>0</v>
          </cell>
          <cell r="X86">
            <v>3627425.3040565206</v>
          </cell>
          <cell r="Y86">
            <v>0</v>
          </cell>
          <cell r="Z86">
            <v>0</v>
          </cell>
          <cell r="AA86">
            <v>0</v>
          </cell>
          <cell r="AB86">
            <v>44783.302851580578</v>
          </cell>
          <cell r="AC86">
            <v>44783.302851580578</v>
          </cell>
          <cell r="AD86" t="str">
            <v>N/A</v>
          </cell>
          <cell r="AE86">
            <v>717763</v>
          </cell>
          <cell r="AF86">
            <v>717763</v>
          </cell>
          <cell r="AG86">
            <v>717763</v>
          </cell>
          <cell r="AH86">
            <v>717763</v>
          </cell>
          <cell r="AI86">
            <v>711591</v>
          </cell>
          <cell r="AJ86">
            <v>0</v>
          </cell>
          <cell r="AK86">
            <v>3582643</v>
          </cell>
          <cell r="AL86">
            <v>14501690</v>
          </cell>
          <cell r="AM86">
            <v>1847535.6576811208</v>
          </cell>
          <cell r="AN86">
            <v>-429161.42999999993</v>
          </cell>
          <cell r="AO86">
            <v>3252683.5712049403</v>
          </cell>
          <cell r="AP86">
            <v>0</v>
          </cell>
          <cell r="AQ86">
            <v>329958.42999999993</v>
          </cell>
          <cell r="AR86">
            <v>0</v>
          </cell>
          <cell r="AS86">
            <v>0</v>
          </cell>
          <cell r="AT86">
            <v>19502706.22888606</v>
          </cell>
          <cell r="AU86">
            <v>4.3739742272357111E-4</v>
          </cell>
          <cell r="AV86">
            <v>0</v>
          </cell>
          <cell r="AW86">
            <v>0</v>
          </cell>
          <cell r="AY86">
            <v>0</v>
          </cell>
          <cell r="AZ86">
            <v>0</v>
          </cell>
          <cell r="BA86">
            <v>0</v>
          </cell>
          <cell r="BB86">
            <v>0</v>
          </cell>
          <cell r="BC86">
            <v>0</v>
          </cell>
          <cell r="BD86">
            <v>0</v>
          </cell>
          <cell r="BE86">
            <v>0</v>
          </cell>
          <cell r="BF86">
            <v>0</v>
          </cell>
          <cell r="BG86">
            <v>0</v>
          </cell>
          <cell r="BH86">
            <v>0</v>
          </cell>
          <cell r="BJ86">
            <v>0</v>
          </cell>
          <cell r="BL86">
            <v>0</v>
          </cell>
          <cell r="BM86">
            <v>0</v>
          </cell>
          <cell r="BN86">
            <v>0</v>
          </cell>
          <cell r="BO86">
            <v>0</v>
          </cell>
          <cell r="BQ86">
            <v>0</v>
          </cell>
          <cell r="BR86">
            <v>0</v>
          </cell>
          <cell r="BS86">
            <v>0</v>
          </cell>
          <cell r="BT86">
            <v>0</v>
          </cell>
          <cell r="CB86">
            <v>0</v>
          </cell>
          <cell r="CC86">
            <v>0</v>
          </cell>
          <cell r="CD86">
            <v>0</v>
          </cell>
          <cell r="CE86">
            <v>0</v>
          </cell>
          <cell r="CF86">
            <v>0</v>
          </cell>
          <cell r="CI86">
            <v>0</v>
          </cell>
          <cell r="CJ86">
            <v>0</v>
          </cell>
          <cell r="CK86">
            <v>0</v>
          </cell>
          <cell r="CV86">
            <v>4.4830303929421523E-4</v>
          </cell>
          <cell r="DG86">
            <v>19502706</v>
          </cell>
          <cell r="DR86">
            <v>7293056.6900000023</v>
          </cell>
          <cell r="EC86">
            <v>2.6741470454688039</v>
          </cell>
          <cell r="EN86">
            <v>2.4095909012463064E-2</v>
          </cell>
        </row>
        <row r="87">
          <cell r="B87">
            <v>30800</v>
          </cell>
          <cell r="C87" t="str">
            <v>Bertie County Schools</v>
          </cell>
          <cell r="D87">
            <v>8.7643852311274301E-4</v>
          </cell>
          <cell r="E87">
            <v>1516443.003279041</v>
          </cell>
          <cell r="F87">
            <v>1182405.3867365452</v>
          </cell>
          <cell r="G87">
            <v>-427061</v>
          </cell>
          <cell r="H87">
            <v>-423141.48213638068</v>
          </cell>
          <cell r="I87">
            <v>-17510.392913303829</v>
          </cell>
          <cell r="J87">
            <v>1279665.742380053</v>
          </cell>
          <cell r="K87">
            <v>0</v>
          </cell>
          <cell r="L87">
            <v>-67235.762460468133</v>
          </cell>
          <cell r="M87">
            <v>12065.939368280968</v>
          </cell>
          <cell r="N87">
            <v>454.85406472505139</v>
          </cell>
          <cell r="O87">
            <v>-205.27066649823553</v>
          </cell>
          <cell r="P87">
            <v>0</v>
          </cell>
          <cell r="Q87">
            <v>0</v>
          </cell>
          <cell r="R87">
            <v>0</v>
          </cell>
          <cell r="S87">
            <v>3055881.0176519942</v>
          </cell>
          <cell r="T87">
            <v>57022.130000000005</v>
          </cell>
          <cell r="U87">
            <v>6398328.711900265</v>
          </cell>
          <cell r="V87">
            <v>48263.757473123871</v>
          </cell>
          <cell r="W87">
            <v>0</v>
          </cell>
          <cell r="X87">
            <v>6503614.599373389</v>
          </cell>
          <cell r="Y87">
            <v>2192329</v>
          </cell>
          <cell r="Z87">
            <v>0</v>
          </cell>
          <cell r="AA87">
            <v>0</v>
          </cell>
          <cell r="AB87">
            <v>87551.964566519149</v>
          </cell>
          <cell r="AC87">
            <v>2279880.964566519</v>
          </cell>
          <cell r="AD87" t="str">
            <v>N/A</v>
          </cell>
          <cell r="AE87">
            <v>847159</v>
          </cell>
          <cell r="AF87">
            <v>847160</v>
          </cell>
          <cell r="AG87">
            <v>847160</v>
          </cell>
          <cell r="AH87">
            <v>847160</v>
          </cell>
          <cell r="AI87">
            <v>835094</v>
          </cell>
          <cell r="AJ87">
            <v>0</v>
          </cell>
          <cell r="AK87">
            <v>4223733</v>
          </cell>
          <cell r="AL87">
            <v>31688670</v>
          </cell>
          <cell r="AM87">
            <v>3055881.0176519942</v>
          </cell>
          <cell r="AN87">
            <v>-840230.13</v>
          </cell>
          <cell r="AO87">
            <v>6359040.5048068697</v>
          </cell>
          <cell r="AP87">
            <v>0</v>
          </cell>
          <cell r="AQ87">
            <v>-2135306.87</v>
          </cell>
          <cell r="AR87">
            <v>0</v>
          </cell>
          <cell r="AS87">
            <v>0</v>
          </cell>
          <cell r="AT87">
            <v>38128054.522458866</v>
          </cell>
          <cell r="AU87">
            <v>9.5578810444558906E-4</v>
          </cell>
          <cell r="AV87">
            <v>0</v>
          </cell>
          <cell r="AW87">
            <v>0</v>
          </cell>
          <cell r="AY87">
            <v>0</v>
          </cell>
          <cell r="AZ87">
            <v>0</v>
          </cell>
          <cell r="BA87">
            <v>0</v>
          </cell>
          <cell r="BB87">
            <v>0</v>
          </cell>
          <cell r="BC87">
            <v>0</v>
          </cell>
          <cell r="BD87">
            <v>0</v>
          </cell>
          <cell r="BE87">
            <v>0</v>
          </cell>
          <cell r="BF87">
            <v>0</v>
          </cell>
          <cell r="BG87">
            <v>0</v>
          </cell>
          <cell r="BH87">
            <v>0</v>
          </cell>
          <cell r="BJ87">
            <v>0</v>
          </cell>
          <cell r="BL87">
            <v>0</v>
          </cell>
          <cell r="BM87">
            <v>0</v>
          </cell>
          <cell r="BN87">
            <v>0</v>
          </cell>
          <cell r="BO87">
            <v>0</v>
          </cell>
          <cell r="BQ87">
            <v>0</v>
          </cell>
          <cell r="BR87">
            <v>0</v>
          </cell>
          <cell r="BS87">
            <v>0</v>
          </cell>
          <cell r="BT87">
            <v>0</v>
          </cell>
          <cell r="CB87">
            <v>0</v>
          </cell>
          <cell r="CC87">
            <v>0</v>
          </cell>
          <cell r="CD87">
            <v>0</v>
          </cell>
          <cell r="CE87">
            <v>0</v>
          </cell>
          <cell r="CF87">
            <v>0</v>
          </cell>
          <cell r="CI87">
            <v>0</v>
          </cell>
          <cell r="CJ87">
            <v>0</v>
          </cell>
          <cell r="CK87">
            <v>0</v>
          </cell>
          <cell r="CV87">
            <v>8.7643852311274301E-4</v>
          </cell>
          <cell r="DG87">
            <v>38128055</v>
          </cell>
          <cell r="DR87">
            <v>14297118.020000001</v>
          </cell>
          <cell r="EC87">
            <v>2.6668350185445275</v>
          </cell>
          <cell r="EN87">
            <v>2.4095909012463064E-2</v>
          </cell>
        </row>
        <row r="88">
          <cell r="B88">
            <v>30900</v>
          </cell>
          <cell r="C88" t="str">
            <v>Bladen County Schools</v>
          </cell>
          <cell r="D88">
            <v>1.4630847682845518E-3</v>
          </cell>
          <cell r="E88">
            <v>2531477.7951446106</v>
          </cell>
          <cell r="F88">
            <v>1973851.2920766564</v>
          </cell>
          <cell r="G88">
            <v>-356090</v>
          </cell>
          <cell r="H88">
            <v>-706372.25660087715</v>
          </cell>
          <cell r="I88">
            <v>-29231.016759902279</v>
          </cell>
          <cell r="J88">
            <v>2136213.1020009439</v>
          </cell>
          <cell r="K88">
            <v>0</v>
          </cell>
          <cell r="L88">
            <v>-112240.18267765587</v>
          </cell>
          <cell r="M88">
            <v>20142.305066736448</v>
          </cell>
          <cell r="N88">
            <v>759.31173304431672</v>
          </cell>
          <cell r="O88">
            <v>-342.66908357992486</v>
          </cell>
          <cell r="P88">
            <v>0</v>
          </cell>
          <cell r="Q88">
            <v>0</v>
          </cell>
          <cell r="R88">
            <v>0</v>
          </cell>
          <cell r="S88">
            <v>5458167.6808999768</v>
          </cell>
          <cell r="T88">
            <v>72471.319999999832</v>
          </cell>
          <cell r="U88">
            <v>10681065.51000472</v>
          </cell>
          <cell r="V88">
            <v>80569.220266945791</v>
          </cell>
          <cell r="W88">
            <v>0</v>
          </cell>
          <cell r="X88">
            <v>10834106.050271666</v>
          </cell>
          <cell r="Y88">
            <v>1852917</v>
          </cell>
          <cell r="Z88">
            <v>0</v>
          </cell>
          <cell r="AA88">
            <v>0</v>
          </cell>
          <cell r="AB88">
            <v>146155.0837995114</v>
          </cell>
          <cell r="AC88">
            <v>1999072.0837995114</v>
          </cell>
          <cell r="AD88" t="str">
            <v>N/A</v>
          </cell>
          <cell r="AE88">
            <v>1771035</v>
          </cell>
          <cell r="AF88">
            <v>1771034</v>
          </cell>
          <cell r="AG88">
            <v>1771034</v>
          </cell>
          <cell r="AH88">
            <v>1771034</v>
          </cell>
          <cell r="AI88">
            <v>1750892</v>
          </cell>
          <cell r="AJ88">
            <v>0</v>
          </cell>
          <cell r="AK88">
            <v>8835029</v>
          </cell>
          <cell r="AL88">
            <v>50731335</v>
          </cell>
          <cell r="AM88">
            <v>5458167.6808999768</v>
          </cell>
          <cell r="AN88">
            <v>-1375376.3199999998</v>
          </cell>
          <cell r="AO88">
            <v>10615479.646472154</v>
          </cell>
          <cell r="AP88">
            <v>0</v>
          </cell>
          <cell r="AQ88">
            <v>-1780445.6800000002</v>
          </cell>
          <cell r="AR88">
            <v>0</v>
          </cell>
          <cell r="AS88">
            <v>0</v>
          </cell>
          <cell r="AT88">
            <v>63649160.327372134</v>
          </cell>
          <cell r="AU88">
            <v>1.5301496183253258E-3</v>
          </cell>
          <cell r="AV88">
            <v>0</v>
          </cell>
          <cell r="AW88">
            <v>0</v>
          </cell>
          <cell r="AY88">
            <v>0</v>
          </cell>
          <cell r="AZ88">
            <v>0</v>
          </cell>
          <cell r="BA88">
            <v>0</v>
          </cell>
          <cell r="BB88">
            <v>0</v>
          </cell>
          <cell r="BC88">
            <v>0</v>
          </cell>
          <cell r="BD88">
            <v>0</v>
          </cell>
          <cell r="BE88">
            <v>0</v>
          </cell>
          <cell r="BF88">
            <v>0</v>
          </cell>
          <cell r="BG88">
            <v>0</v>
          </cell>
          <cell r="BH88">
            <v>0</v>
          </cell>
          <cell r="BJ88">
            <v>0</v>
          </cell>
          <cell r="BL88">
            <v>0</v>
          </cell>
          <cell r="BM88">
            <v>0</v>
          </cell>
          <cell r="BN88">
            <v>0</v>
          </cell>
          <cell r="BO88">
            <v>0</v>
          </cell>
          <cell r="BQ88">
            <v>0</v>
          </cell>
          <cell r="BR88">
            <v>0</v>
          </cell>
          <cell r="BS88">
            <v>0</v>
          </cell>
          <cell r="BT88">
            <v>0</v>
          </cell>
          <cell r="CB88">
            <v>0</v>
          </cell>
          <cell r="CC88">
            <v>0</v>
          </cell>
          <cell r="CD88">
            <v>0</v>
          </cell>
          <cell r="CE88">
            <v>0</v>
          </cell>
          <cell r="CF88">
            <v>0</v>
          </cell>
          <cell r="CI88">
            <v>0</v>
          </cell>
          <cell r="CJ88">
            <v>0</v>
          </cell>
          <cell r="CK88">
            <v>0</v>
          </cell>
          <cell r="CV88">
            <v>1.4630847682845518E-3</v>
          </cell>
          <cell r="DG88">
            <v>63649160</v>
          </cell>
          <cell r="DR88">
            <v>23961633.410000011</v>
          </cell>
          <cell r="EC88">
            <v>2.6562947070810718</v>
          </cell>
          <cell r="EN88">
            <v>2.4095909012463064E-2</v>
          </cell>
        </row>
        <row r="89">
          <cell r="B89">
            <v>30905</v>
          </cell>
          <cell r="C89" t="str">
            <v>Bladen Community College</v>
          </cell>
          <cell r="D89">
            <v>3.0286670498713838E-4</v>
          </cell>
          <cell r="E89">
            <v>524030.01875448454</v>
          </cell>
          <cell r="F89">
            <v>408598.22337347665</v>
          </cell>
          <cell r="G89">
            <v>-156197</v>
          </cell>
          <cell r="H89">
            <v>-146222.99574745423</v>
          </cell>
          <cell r="I89">
            <v>-6050.9834572849595</v>
          </cell>
          <cell r="J89">
            <v>442208.02333412616</v>
          </cell>
          <cell r="K89">
            <v>0</v>
          </cell>
          <cell r="L89">
            <v>-23234.343649543582</v>
          </cell>
          <cell r="M89">
            <v>4169.5694594380138</v>
          </cell>
          <cell r="N89">
            <v>157.18176255422509</v>
          </cell>
          <cell r="O89">
            <v>-70.934410975037679</v>
          </cell>
          <cell r="P89">
            <v>0</v>
          </cell>
          <cell r="Q89">
            <v>0</v>
          </cell>
          <cell r="R89">
            <v>0</v>
          </cell>
          <cell r="S89">
            <v>1047386.7594188218</v>
          </cell>
          <cell r="T89">
            <v>40756.950000000012</v>
          </cell>
          <cell r="U89">
            <v>2211040.1166706309</v>
          </cell>
          <cell r="V89">
            <v>16678.277837752055</v>
          </cell>
          <cell r="W89">
            <v>0</v>
          </cell>
          <cell r="X89">
            <v>2268475.344508383</v>
          </cell>
          <cell r="Y89">
            <v>821737</v>
          </cell>
          <cell r="Z89">
            <v>0</v>
          </cell>
          <cell r="AA89">
            <v>0</v>
          </cell>
          <cell r="AB89">
            <v>30254.917286424799</v>
          </cell>
          <cell r="AC89">
            <v>851991.91728642478</v>
          </cell>
          <cell r="AD89" t="str">
            <v>N/A</v>
          </cell>
          <cell r="AE89">
            <v>284131</v>
          </cell>
          <cell r="AF89">
            <v>284130</v>
          </cell>
          <cell r="AG89">
            <v>284130</v>
          </cell>
          <cell r="AH89">
            <v>284130</v>
          </cell>
          <cell r="AI89">
            <v>279960</v>
          </cell>
          <cell r="AJ89">
            <v>0</v>
          </cell>
          <cell r="AK89">
            <v>1416481</v>
          </cell>
          <cell r="AL89">
            <v>11027477</v>
          </cell>
          <cell r="AM89">
            <v>1047386.7594188218</v>
          </cell>
          <cell r="AN89">
            <v>-315615.95</v>
          </cell>
          <cell r="AO89">
            <v>2197463.4772219583</v>
          </cell>
          <cell r="AP89">
            <v>0</v>
          </cell>
          <cell r="AQ89">
            <v>-780980.05</v>
          </cell>
          <cell r="AR89">
            <v>0</v>
          </cell>
          <cell r="AS89">
            <v>0</v>
          </cell>
          <cell r="AT89">
            <v>13175731.236640779</v>
          </cell>
          <cell r="AU89">
            <v>3.3260882882919568E-4</v>
          </cell>
          <cell r="AV89">
            <v>0</v>
          </cell>
          <cell r="AW89">
            <v>0</v>
          </cell>
          <cell r="AY89">
            <v>0</v>
          </cell>
          <cell r="AZ89">
            <v>0</v>
          </cell>
          <cell r="BA89">
            <v>0</v>
          </cell>
          <cell r="BB89">
            <v>0</v>
          </cell>
          <cell r="BC89">
            <v>0</v>
          </cell>
          <cell r="BD89">
            <v>0</v>
          </cell>
          <cell r="BE89">
            <v>0</v>
          </cell>
          <cell r="BF89">
            <v>0</v>
          </cell>
          <cell r="BG89">
            <v>0</v>
          </cell>
          <cell r="BH89">
            <v>0</v>
          </cell>
          <cell r="BJ89">
            <v>0</v>
          </cell>
          <cell r="BL89">
            <v>0</v>
          </cell>
          <cell r="BM89">
            <v>0</v>
          </cell>
          <cell r="BN89">
            <v>0</v>
          </cell>
          <cell r="BO89">
            <v>0</v>
          </cell>
          <cell r="BQ89">
            <v>0</v>
          </cell>
          <cell r="BR89">
            <v>0</v>
          </cell>
          <cell r="BS89">
            <v>0</v>
          </cell>
          <cell r="BT89">
            <v>0</v>
          </cell>
          <cell r="CB89">
            <v>0</v>
          </cell>
          <cell r="CC89">
            <v>0</v>
          </cell>
          <cell r="CD89">
            <v>0</v>
          </cell>
          <cell r="CE89">
            <v>0</v>
          </cell>
          <cell r="CF89">
            <v>0</v>
          </cell>
          <cell r="CI89">
            <v>0</v>
          </cell>
          <cell r="CJ89">
            <v>0</v>
          </cell>
          <cell r="CK89">
            <v>0</v>
          </cell>
          <cell r="CV89">
            <v>3.0286670498713838E-4</v>
          </cell>
          <cell r="DG89">
            <v>13175731</v>
          </cell>
          <cell r="DR89">
            <v>5723122.6500000013</v>
          </cell>
          <cell r="EC89">
            <v>2.3021926674942037</v>
          </cell>
          <cell r="EN89">
            <v>2.4095909012463064E-2</v>
          </cell>
        </row>
        <row r="90">
          <cell r="B90">
            <v>31000</v>
          </cell>
          <cell r="C90" t="str">
            <v>Brunswick County Schools</v>
          </cell>
          <cell r="D90">
            <v>4.1676672482830312E-3</v>
          </cell>
          <cell r="E90">
            <v>7211036.1103342585</v>
          </cell>
          <cell r="F90">
            <v>5622610.2282606093</v>
          </cell>
          <cell r="G90">
            <v>-308896</v>
          </cell>
          <cell r="H90">
            <v>-2012135.3066801226</v>
          </cell>
          <cell r="I90">
            <v>-83265.955483287224</v>
          </cell>
          <cell r="J90">
            <v>6085105.6436060881</v>
          </cell>
          <cell r="K90">
            <v>0</v>
          </cell>
          <cell r="L90">
            <v>-319721.55231677828</v>
          </cell>
          <cell r="M90">
            <v>57376.323608364095</v>
          </cell>
          <cell r="N90">
            <v>2162.9359485139275</v>
          </cell>
          <cell r="O90">
            <v>-976.10934622036871</v>
          </cell>
          <cell r="P90">
            <v>0</v>
          </cell>
          <cell r="Q90">
            <v>0</v>
          </cell>
          <cell r="R90">
            <v>0</v>
          </cell>
          <cell r="S90">
            <v>16253296.317931427</v>
          </cell>
          <cell r="T90">
            <v>17427.320000000298</v>
          </cell>
          <cell r="U90">
            <v>30425528.218030442</v>
          </cell>
          <cell r="V90">
            <v>229505.29443345638</v>
          </cell>
          <cell r="W90">
            <v>0</v>
          </cell>
          <cell r="X90">
            <v>30672460.832463898</v>
          </cell>
          <cell r="Y90">
            <v>1561907</v>
          </cell>
          <cell r="Z90">
            <v>0</v>
          </cell>
          <cell r="AA90">
            <v>0</v>
          </cell>
          <cell r="AB90">
            <v>416329.77741643612</v>
          </cell>
          <cell r="AC90">
            <v>1978236.777416436</v>
          </cell>
          <cell r="AD90" t="str">
            <v>N/A</v>
          </cell>
          <cell r="AE90">
            <v>5750320</v>
          </cell>
          <cell r="AF90">
            <v>5750320</v>
          </cell>
          <cell r="AG90">
            <v>5750320</v>
          </cell>
          <cell r="AH90">
            <v>5750320</v>
          </cell>
          <cell r="AI90">
            <v>5692944</v>
          </cell>
          <cell r="AJ90">
            <v>0</v>
          </cell>
          <cell r="AK90">
            <v>28694224</v>
          </cell>
          <cell r="AL90">
            <v>140051183</v>
          </cell>
          <cell r="AM90">
            <v>16253296.317931427</v>
          </cell>
          <cell r="AN90">
            <v>-3691012.3200000003</v>
          </cell>
          <cell r="AO90">
            <v>30238703.735047463</v>
          </cell>
          <cell r="AP90">
            <v>0</v>
          </cell>
          <cell r="AQ90">
            <v>-1544479.6799999997</v>
          </cell>
          <cell r="AR90">
            <v>0</v>
          </cell>
          <cell r="AS90">
            <v>0</v>
          </cell>
          <cell r="AT90">
            <v>181307691.05297887</v>
          </cell>
          <cell r="AU90">
            <v>4.2241991804338845E-3</v>
          </cell>
          <cell r="AV90">
            <v>0</v>
          </cell>
          <cell r="AW90">
            <v>0</v>
          </cell>
          <cell r="AY90">
            <v>0</v>
          </cell>
          <cell r="AZ90">
            <v>0</v>
          </cell>
          <cell r="BA90">
            <v>0</v>
          </cell>
          <cell r="BB90">
            <v>0</v>
          </cell>
          <cell r="BC90">
            <v>0</v>
          </cell>
          <cell r="BD90">
            <v>0</v>
          </cell>
          <cell r="BE90">
            <v>0</v>
          </cell>
          <cell r="BF90">
            <v>0</v>
          </cell>
          <cell r="BG90">
            <v>0</v>
          </cell>
          <cell r="BH90">
            <v>0</v>
          </cell>
          <cell r="BJ90">
            <v>0</v>
          </cell>
          <cell r="BL90">
            <v>0</v>
          </cell>
          <cell r="BM90">
            <v>0</v>
          </cell>
          <cell r="BN90">
            <v>0</v>
          </cell>
          <cell r="BO90">
            <v>0</v>
          </cell>
          <cell r="BQ90">
            <v>0</v>
          </cell>
          <cell r="BR90">
            <v>0</v>
          </cell>
          <cell r="BS90">
            <v>0</v>
          </cell>
          <cell r="BT90">
            <v>0</v>
          </cell>
          <cell r="CB90">
            <v>0</v>
          </cell>
          <cell r="CC90">
            <v>0</v>
          </cell>
          <cell r="CD90">
            <v>0</v>
          </cell>
          <cell r="CE90">
            <v>0</v>
          </cell>
          <cell r="CF90">
            <v>0</v>
          </cell>
          <cell r="CI90">
            <v>0</v>
          </cell>
          <cell r="CJ90">
            <v>0</v>
          </cell>
          <cell r="CK90">
            <v>0</v>
          </cell>
          <cell r="CV90">
            <v>4.1676672482830312E-3</v>
          </cell>
          <cell r="DG90">
            <v>181307691</v>
          </cell>
          <cell r="DR90">
            <v>64067581.710000083</v>
          </cell>
          <cell r="EC90">
            <v>2.8299443518983378</v>
          </cell>
          <cell r="EN90">
            <v>2.4095909012463064E-2</v>
          </cell>
        </row>
        <row r="91">
          <cell r="B91">
            <v>31005</v>
          </cell>
          <cell r="C91" t="str">
            <v>Brunswick Community College</v>
          </cell>
          <cell r="D91">
            <v>4.139727274287298E-4</v>
          </cell>
          <cell r="E91">
            <v>716269.34405858442</v>
          </cell>
          <cell r="F91">
            <v>558491.63399996248</v>
          </cell>
          <cell r="G91">
            <v>-15265</v>
          </cell>
          <cell r="H91">
            <v>-199864.59840458122</v>
          </cell>
          <cell r="I91">
            <v>-8270.7741861052546</v>
          </cell>
          <cell r="J91">
            <v>604431.11935420416</v>
          </cell>
          <cell r="K91">
            <v>0</v>
          </cell>
          <cell r="L91">
            <v>-31757.814418809758</v>
          </cell>
          <cell r="M91">
            <v>5699.1673660542829</v>
          </cell>
          <cell r="N91">
            <v>214.8435660809622</v>
          </cell>
          <cell r="O91">
            <v>-96.956552491082803</v>
          </cell>
          <cell r="P91">
            <v>0</v>
          </cell>
          <cell r="Q91">
            <v>0</v>
          </cell>
          <cell r="R91">
            <v>0</v>
          </cell>
          <cell r="S91">
            <v>1629850.964782899</v>
          </cell>
          <cell r="T91">
            <v>54065.590000000026</v>
          </cell>
          <cell r="U91">
            <v>3022155.5967710209</v>
          </cell>
          <cell r="V91">
            <v>22796.669464217131</v>
          </cell>
          <cell r="W91">
            <v>0</v>
          </cell>
          <cell r="X91">
            <v>3099017.8562352378</v>
          </cell>
          <cell r="Y91">
            <v>130390</v>
          </cell>
          <cell r="Z91">
            <v>0</v>
          </cell>
          <cell r="AA91">
            <v>0</v>
          </cell>
          <cell r="AB91">
            <v>41353.870930526275</v>
          </cell>
          <cell r="AC91">
            <v>171743.87093052629</v>
          </cell>
          <cell r="AD91" t="str">
            <v>N/A</v>
          </cell>
          <cell r="AE91">
            <v>586595</v>
          </cell>
          <cell r="AF91">
            <v>586595</v>
          </cell>
          <cell r="AG91">
            <v>586595</v>
          </cell>
          <cell r="AH91">
            <v>586595</v>
          </cell>
          <cell r="AI91">
            <v>580895</v>
          </cell>
          <cell r="AJ91">
            <v>0</v>
          </cell>
          <cell r="AK91">
            <v>2927275</v>
          </cell>
          <cell r="AL91">
            <v>13881524</v>
          </cell>
          <cell r="AM91">
            <v>1629850.964782899</v>
          </cell>
          <cell r="AN91">
            <v>-429428.59</v>
          </cell>
          <cell r="AO91">
            <v>3003598.395304712</v>
          </cell>
          <cell r="AP91">
            <v>0</v>
          </cell>
          <cell r="AQ91">
            <v>-76324.409999999974</v>
          </cell>
          <cell r="AR91">
            <v>0</v>
          </cell>
          <cell r="AS91">
            <v>0</v>
          </cell>
          <cell r="AT91">
            <v>18009220.360087611</v>
          </cell>
          <cell r="AU91">
            <v>4.1869208054641017E-4</v>
          </cell>
          <cell r="AV91">
            <v>0</v>
          </cell>
          <cell r="AW91">
            <v>0</v>
          </cell>
          <cell r="AY91">
            <v>0</v>
          </cell>
          <cell r="AZ91">
            <v>0</v>
          </cell>
          <cell r="BA91">
            <v>0</v>
          </cell>
          <cell r="BB91">
            <v>0</v>
          </cell>
          <cell r="BC91">
            <v>0</v>
          </cell>
          <cell r="BD91">
            <v>0</v>
          </cell>
          <cell r="BE91">
            <v>0</v>
          </cell>
          <cell r="BF91">
            <v>0</v>
          </cell>
          <cell r="BG91">
            <v>0</v>
          </cell>
          <cell r="BH91">
            <v>0</v>
          </cell>
          <cell r="BJ91">
            <v>0</v>
          </cell>
          <cell r="BL91">
            <v>0</v>
          </cell>
          <cell r="BM91">
            <v>0</v>
          </cell>
          <cell r="BN91">
            <v>0</v>
          </cell>
          <cell r="BO91">
            <v>0</v>
          </cell>
          <cell r="BQ91">
            <v>0</v>
          </cell>
          <cell r="BR91">
            <v>0</v>
          </cell>
          <cell r="BS91">
            <v>0</v>
          </cell>
          <cell r="BT91">
            <v>0</v>
          </cell>
          <cell r="CB91">
            <v>0</v>
          </cell>
          <cell r="CC91">
            <v>0</v>
          </cell>
          <cell r="CD91">
            <v>0</v>
          </cell>
          <cell r="CE91">
            <v>0</v>
          </cell>
          <cell r="CF91">
            <v>0</v>
          </cell>
          <cell r="CI91">
            <v>0</v>
          </cell>
          <cell r="CJ91">
            <v>0</v>
          </cell>
          <cell r="CK91">
            <v>0</v>
          </cell>
          <cell r="CV91">
            <v>4.139727274287298E-4</v>
          </cell>
          <cell r="DG91">
            <v>18009221</v>
          </cell>
          <cell r="DR91">
            <v>7512434.1100000022</v>
          </cell>
          <cell r="EC91">
            <v>2.3972551021815209</v>
          </cell>
          <cell r="EN91">
            <v>2.4095909012463064E-2</v>
          </cell>
        </row>
        <row r="92">
          <cell r="B92">
            <v>31100</v>
          </cell>
          <cell r="C92" t="str">
            <v>Buncombe County Schools</v>
          </cell>
          <cell r="D92">
            <v>8.700026123423554E-3</v>
          </cell>
          <cell r="E92">
            <v>15053073.769913921</v>
          </cell>
          <cell r="F92">
            <v>11737226.835431313</v>
          </cell>
          <cell r="G92">
            <v>174364</v>
          </cell>
          <cell r="H92">
            <v>-4200342.4671659637</v>
          </cell>
          <cell r="I92">
            <v>-173818.09648907595</v>
          </cell>
          <cell r="J92">
            <v>12702688.316821644</v>
          </cell>
          <cell r="K92">
            <v>0</v>
          </cell>
          <cell r="L92">
            <v>-667420.33172716503</v>
          </cell>
          <cell r="M92">
            <v>119773.36109652669</v>
          </cell>
          <cell r="N92">
            <v>4515.1395575343558</v>
          </cell>
          <cell r="O92">
            <v>-2037.6331183670306</v>
          </cell>
          <cell r="P92">
            <v>0</v>
          </cell>
          <cell r="Q92">
            <v>0</v>
          </cell>
          <cell r="R92">
            <v>0</v>
          </cell>
          <cell r="S92">
            <v>34748022.894320369</v>
          </cell>
          <cell r="T92">
            <v>1054751</v>
          </cell>
          <cell r="U92">
            <v>63513441.584108219</v>
          </cell>
          <cell r="V92">
            <v>479093.44438610674</v>
          </cell>
          <cell r="W92">
            <v>0</v>
          </cell>
          <cell r="X92">
            <v>65047286.028494328</v>
          </cell>
          <cell r="Y92">
            <v>182932.5700000003</v>
          </cell>
          <cell r="Z92">
            <v>0</v>
          </cell>
          <cell r="AA92">
            <v>0</v>
          </cell>
          <cell r="AB92">
            <v>869090.48244537984</v>
          </cell>
          <cell r="AC92">
            <v>1052023.05244538</v>
          </cell>
          <cell r="AD92" t="str">
            <v>N/A</v>
          </cell>
          <cell r="AE92">
            <v>12823007</v>
          </cell>
          <cell r="AF92">
            <v>12823008</v>
          </cell>
          <cell r="AG92">
            <v>12823008</v>
          </cell>
          <cell r="AH92">
            <v>12823008</v>
          </cell>
          <cell r="AI92">
            <v>12703234</v>
          </cell>
          <cell r="AJ92">
            <v>0</v>
          </cell>
          <cell r="AK92">
            <v>63995265</v>
          </cell>
          <cell r="AL92">
            <v>287179255</v>
          </cell>
          <cell r="AM92">
            <v>34748022.894320369</v>
          </cell>
          <cell r="AN92">
            <v>-7441833.4299999997</v>
          </cell>
          <cell r="AO92">
            <v>63123444.546048947</v>
          </cell>
          <cell r="AP92">
            <v>0</v>
          </cell>
          <cell r="AQ92">
            <v>871818.4299999997</v>
          </cell>
          <cell r="AR92">
            <v>0</v>
          </cell>
          <cell r="AS92">
            <v>0</v>
          </cell>
          <cell r="AT92">
            <v>378480707.44036931</v>
          </cell>
          <cell r="AU92">
            <v>8.6618502728942094E-3</v>
          </cell>
          <cell r="AV92">
            <v>0</v>
          </cell>
          <cell r="AW92">
            <v>0</v>
          </cell>
          <cell r="AY92">
            <v>0</v>
          </cell>
          <cell r="AZ92">
            <v>0</v>
          </cell>
          <cell r="BA92">
            <v>0</v>
          </cell>
          <cell r="BB92">
            <v>0</v>
          </cell>
          <cell r="BC92">
            <v>0</v>
          </cell>
          <cell r="BD92">
            <v>0</v>
          </cell>
          <cell r="BE92">
            <v>0</v>
          </cell>
          <cell r="BF92">
            <v>0</v>
          </cell>
          <cell r="BG92">
            <v>0</v>
          </cell>
          <cell r="BH92">
            <v>0</v>
          </cell>
          <cell r="BJ92">
            <v>0</v>
          </cell>
          <cell r="BL92">
            <v>0</v>
          </cell>
          <cell r="BM92">
            <v>0</v>
          </cell>
          <cell r="BN92">
            <v>0</v>
          </cell>
          <cell r="BO92">
            <v>0</v>
          </cell>
          <cell r="BQ92">
            <v>0</v>
          </cell>
          <cell r="BR92">
            <v>0</v>
          </cell>
          <cell r="BS92">
            <v>0</v>
          </cell>
          <cell r="BT92">
            <v>0</v>
          </cell>
          <cell r="CB92">
            <v>0</v>
          </cell>
          <cell r="CC92">
            <v>0</v>
          </cell>
          <cell r="CD92">
            <v>0</v>
          </cell>
          <cell r="CE92">
            <v>0</v>
          </cell>
          <cell r="CF92">
            <v>0</v>
          </cell>
          <cell r="CI92">
            <v>0</v>
          </cell>
          <cell r="CJ92">
            <v>0</v>
          </cell>
          <cell r="CK92">
            <v>0</v>
          </cell>
          <cell r="CV92">
            <v>8.700026123423554E-3</v>
          </cell>
          <cell r="DG92">
            <v>378480708</v>
          </cell>
          <cell r="DR92">
            <v>129776898.55999997</v>
          </cell>
          <cell r="EC92">
            <v>2.9163950764705353</v>
          </cell>
          <cell r="EN92">
            <v>2.4095909012463064E-2</v>
          </cell>
        </row>
        <row r="93">
          <cell r="B93">
            <v>31101</v>
          </cell>
          <cell r="C93" t="str">
            <v>F. Delany New School For Children</v>
          </cell>
          <cell r="D93">
            <v>5.8952444093732966E-5</v>
          </cell>
          <cell r="E93">
            <v>102001.47416459493</v>
          </cell>
          <cell r="F93">
            <v>79532.888639067853</v>
          </cell>
          <cell r="G93">
            <v>-19370</v>
          </cell>
          <cell r="H93">
            <v>-28462.035740726325</v>
          </cell>
          <cell r="I93">
            <v>-1177.8127410632449</v>
          </cell>
          <cell r="J93">
            <v>86074.974053395199</v>
          </cell>
          <cell r="K93">
            <v>0</v>
          </cell>
          <cell r="L93">
            <v>-4522.5220286675767</v>
          </cell>
          <cell r="M93">
            <v>811.59898531234842</v>
          </cell>
          <cell r="N93">
            <v>30.595139435765535</v>
          </cell>
          <cell r="O93">
            <v>-13.807251931193198</v>
          </cell>
          <cell r="P93">
            <v>0</v>
          </cell>
          <cell r="Q93">
            <v>0</v>
          </cell>
          <cell r="R93">
            <v>0</v>
          </cell>
          <cell r="S93">
            <v>214905.35321941774</v>
          </cell>
          <cell r="T93">
            <v>0</v>
          </cell>
          <cell r="U93">
            <v>430374.87026697601</v>
          </cell>
          <cell r="V93">
            <v>3246.3959412493937</v>
          </cell>
          <cell r="W93">
            <v>0</v>
          </cell>
          <cell r="X93">
            <v>433621.2662082254</v>
          </cell>
          <cell r="Y93">
            <v>96854.32</v>
          </cell>
          <cell r="Z93">
            <v>0</v>
          </cell>
          <cell r="AA93">
            <v>0</v>
          </cell>
          <cell r="AB93">
            <v>5889.0637053162245</v>
          </cell>
          <cell r="AC93">
            <v>102743.38370531623</v>
          </cell>
          <cell r="AD93" t="str">
            <v>N/A</v>
          </cell>
          <cell r="AE93">
            <v>66339</v>
          </cell>
          <cell r="AF93">
            <v>66337</v>
          </cell>
          <cell r="AG93">
            <v>66337</v>
          </cell>
          <cell r="AH93">
            <v>66337</v>
          </cell>
          <cell r="AI93">
            <v>65525</v>
          </cell>
          <cell r="AJ93">
            <v>0</v>
          </cell>
          <cell r="AK93">
            <v>330875</v>
          </cell>
          <cell r="AL93">
            <v>2062750</v>
          </cell>
          <cell r="AM93">
            <v>214905.35321941774</v>
          </cell>
          <cell r="AN93">
            <v>-43901.68</v>
          </cell>
          <cell r="AO93">
            <v>427732.20250290923</v>
          </cell>
          <cell r="AP93">
            <v>0</v>
          </cell>
          <cell r="AQ93">
            <v>-96854.32</v>
          </cell>
          <cell r="AR93">
            <v>0</v>
          </cell>
          <cell r="AS93">
            <v>0</v>
          </cell>
          <cell r="AT93">
            <v>2564631.555722327</v>
          </cell>
          <cell r="AU93">
            <v>6.2216295870849605E-5</v>
          </cell>
          <cell r="AV93">
            <v>0</v>
          </cell>
          <cell r="AW93">
            <v>0</v>
          </cell>
          <cell r="AY93">
            <v>0</v>
          </cell>
          <cell r="AZ93">
            <v>0</v>
          </cell>
          <cell r="BA93">
            <v>0</v>
          </cell>
          <cell r="BB93">
            <v>0</v>
          </cell>
          <cell r="BC93">
            <v>0</v>
          </cell>
          <cell r="BD93">
            <v>0</v>
          </cell>
          <cell r="BE93">
            <v>0</v>
          </cell>
          <cell r="BF93">
            <v>0</v>
          </cell>
          <cell r="BG93">
            <v>0</v>
          </cell>
          <cell r="BH93">
            <v>0</v>
          </cell>
          <cell r="BJ93">
            <v>0</v>
          </cell>
          <cell r="BL93">
            <v>0</v>
          </cell>
          <cell r="BM93">
            <v>0</v>
          </cell>
          <cell r="BN93">
            <v>0</v>
          </cell>
          <cell r="BO93">
            <v>0</v>
          </cell>
          <cell r="BQ93">
            <v>0</v>
          </cell>
          <cell r="BR93">
            <v>0</v>
          </cell>
          <cell r="BS93">
            <v>0</v>
          </cell>
          <cell r="BT93">
            <v>0</v>
          </cell>
          <cell r="CB93">
            <v>0</v>
          </cell>
          <cell r="CC93">
            <v>0</v>
          </cell>
          <cell r="CD93">
            <v>0</v>
          </cell>
          <cell r="CE93">
            <v>0</v>
          </cell>
          <cell r="CF93">
            <v>0</v>
          </cell>
          <cell r="CI93">
            <v>0</v>
          </cell>
          <cell r="CJ93">
            <v>0</v>
          </cell>
          <cell r="CK93">
            <v>0</v>
          </cell>
          <cell r="CV93">
            <v>5.8952444093732966E-5</v>
          </cell>
          <cell r="DG93">
            <v>2564632</v>
          </cell>
          <cell r="DR93">
            <v>758738.24999999988</v>
          </cell>
          <cell r="EC93">
            <v>3.3801274682013203</v>
          </cell>
          <cell r="EN93">
            <v>2.4095909012463064E-2</v>
          </cell>
        </row>
        <row r="94">
          <cell r="B94">
            <v>31102</v>
          </cell>
          <cell r="C94" t="str">
            <v>Evergreen Community Charter School</v>
          </cell>
          <cell r="D94">
            <v>1.4625296914261404E-4</v>
          </cell>
          <cell r="E94">
            <v>253051.7382752843</v>
          </cell>
          <cell r="F94">
            <v>197310.24365093457</v>
          </cell>
          <cell r="G94">
            <v>24869</v>
          </cell>
          <cell r="H94">
            <v>-70610.426741695395</v>
          </cell>
          <cell r="I94">
            <v>-2921.9926861830086</v>
          </cell>
          <cell r="J94">
            <v>213540.26483052594</v>
          </cell>
          <cell r="K94">
            <v>0</v>
          </cell>
          <cell r="L94">
            <v>-11219.760009506137</v>
          </cell>
          <cell r="M94">
            <v>2013.4663317153668</v>
          </cell>
          <cell r="N94">
            <v>75.902365925633831</v>
          </cell>
          <cell r="O94">
            <v>-34.253907902891633</v>
          </cell>
          <cell r="P94">
            <v>0</v>
          </cell>
          <cell r="Q94">
            <v>0</v>
          </cell>
          <cell r="R94">
            <v>0</v>
          </cell>
          <cell r="S94">
            <v>606074.1821090983</v>
          </cell>
          <cell r="T94">
            <v>147564</v>
          </cell>
          <cell r="U94">
            <v>1067701.3241526298</v>
          </cell>
          <cell r="V94">
            <v>8053.8653268614671</v>
          </cell>
          <cell r="W94">
            <v>0</v>
          </cell>
          <cell r="X94">
            <v>1223319.1894794912</v>
          </cell>
          <cell r="Y94">
            <v>23219.53</v>
          </cell>
          <cell r="Z94">
            <v>0</v>
          </cell>
          <cell r="AA94">
            <v>0</v>
          </cell>
          <cell r="AB94">
            <v>14609.963430915042</v>
          </cell>
          <cell r="AC94">
            <v>37829.493430915041</v>
          </cell>
          <cell r="AD94" t="str">
            <v>N/A</v>
          </cell>
          <cell r="AE94">
            <v>237501</v>
          </cell>
          <cell r="AF94">
            <v>237501</v>
          </cell>
          <cell r="AG94">
            <v>237501</v>
          </cell>
          <cell r="AH94">
            <v>237501</v>
          </cell>
          <cell r="AI94">
            <v>235487</v>
          </cell>
          <cell r="AJ94">
            <v>0</v>
          </cell>
          <cell r="AK94">
            <v>1185491</v>
          </cell>
          <cell r="AL94">
            <v>4671866</v>
          </cell>
          <cell r="AM94">
            <v>606074.1821090983</v>
          </cell>
          <cell r="AN94">
            <v>-100928.47</v>
          </cell>
          <cell r="AO94">
            <v>1061145.2260485762</v>
          </cell>
          <cell r="AP94">
            <v>0</v>
          </cell>
          <cell r="AQ94">
            <v>124344.47</v>
          </cell>
          <cell r="AR94">
            <v>0</v>
          </cell>
          <cell r="AS94">
            <v>0</v>
          </cell>
          <cell r="AT94">
            <v>6362501.4081576737</v>
          </cell>
          <cell r="AU94">
            <v>1.4091199513457432E-4</v>
          </cell>
          <cell r="AV94">
            <v>0</v>
          </cell>
          <cell r="AW94">
            <v>0</v>
          </cell>
          <cell r="AY94">
            <v>0</v>
          </cell>
          <cell r="AZ94">
            <v>0</v>
          </cell>
          <cell r="BA94">
            <v>0</v>
          </cell>
          <cell r="BB94">
            <v>0</v>
          </cell>
          <cell r="BC94">
            <v>0</v>
          </cell>
          <cell r="BD94">
            <v>0</v>
          </cell>
          <cell r="BE94">
            <v>0</v>
          </cell>
          <cell r="BF94">
            <v>0</v>
          </cell>
          <cell r="BG94">
            <v>0</v>
          </cell>
          <cell r="BH94">
            <v>0</v>
          </cell>
          <cell r="BJ94">
            <v>0</v>
          </cell>
          <cell r="BL94">
            <v>0</v>
          </cell>
          <cell r="BM94">
            <v>0</v>
          </cell>
          <cell r="BN94">
            <v>0</v>
          </cell>
          <cell r="BO94">
            <v>0</v>
          </cell>
          <cell r="BQ94">
            <v>0</v>
          </cell>
          <cell r="BR94">
            <v>0</v>
          </cell>
          <cell r="BS94">
            <v>0</v>
          </cell>
          <cell r="BT94">
            <v>0</v>
          </cell>
          <cell r="CB94">
            <v>0</v>
          </cell>
          <cell r="CC94">
            <v>0</v>
          </cell>
          <cell r="CD94">
            <v>0</v>
          </cell>
          <cell r="CE94">
            <v>0</v>
          </cell>
          <cell r="CF94">
            <v>0</v>
          </cell>
          <cell r="CI94">
            <v>0</v>
          </cell>
          <cell r="CJ94">
            <v>0</v>
          </cell>
          <cell r="CK94">
            <v>0</v>
          </cell>
          <cell r="CV94">
            <v>1.4625296914261404E-4</v>
          </cell>
          <cell r="DG94">
            <v>6362501</v>
          </cell>
          <cell r="DR94">
            <v>1780792.73</v>
          </cell>
          <cell r="EC94">
            <v>3.5728475823236319</v>
          </cell>
          <cell r="EN94">
            <v>2.4095909012463064E-2</v>
          </cell>
        </row>
        <row r="95">
          <cell r="B95">
            <v>31105</v>
          </cell>
          <cell r="C95" t="str">
            <v>Asheville-Buncombe Technical College</v>
          </cell>
          <cell r="D95">
            <v>1.3901422219367123E-3</v>
          </cell>
          <cell r="E95">
            <v>2405270.1820222591</v>
          </cell>
          <cell r="F95">
            <v>1875444.3217649795</v>
          </cell>
          <cell r="G95">
            <v>-214565</v>
          </cell>
          <cell r="H95">
            <v>-671155.84796698135</v>
          </cell>
          <cell r="I95">
            <v>-27773.695324382446</v>
          </cell>
          <cell r="J95">
            <v>2029711.5331381476</v>
          </cell>
          <cell r="K95">
            <v>0</v>
          </cell>
          <cell r="L95">
            <v>-106644.41344778812</v>
          </cell>
          <cell r="M95">
            <v>19138.104180546237</v>
          </cell>
          <cell r="N95">
            <v>721.4560103407149</v>
          </cell>
          <cell r="O95">
            <v>-325.58520979979738</v>
          </cell>
          <cell r="P95">
            <v>0</v>
          </cell>
          <cell r="Q95">
            <v>0</v>
          </cell>
          <cell r="R95">
            <v>0</v>
          </cell>
          <cell r="S95">
            <v>5309821.055167322</v>
          </cell>
          <cell r="T95">
            <v>35917.379999999888</v>
          </cell>
          <cell r="U95">
            <v>10148557.665690737</v>
          </cell>
          <cell r="V95">
            <v>76552.416722184949</v>
          </cell>
          <cell r="W95">
            <v>0</v>
          </cell>
          <cell r="X95">
            <v>10261027.462412922</v>
          </cell>
          <cell r="Y95">
            <v>1108742</v>
          </cell>
          <cell r="Z95">
            <v>0</v>
          </cell>
          <cell r="AA95">
            <v>0</v>
          </cell>
          <cell r="AB95">
            <v>138868.47662191224</v>
          </cell>
          <cell r="AC95">
            <v>1247610.4766219123</v>
          </cell>
          <cell r="AD95" t="str">
            <v>N/A</v>
          </cell>
          <cell r="AE95">
            <v>1806511</v>
          </cell>
          <cell r="AF95">
            <v>1806511</v>
          </cell>
          <cell r="AG95">
            <v>1806511</v>
          </cell>
          <cell r="AH95">
            <v>1806511</v>
          </cell>
          <cell r="AI95">
            <v>1787373</v>
          </cell>
          <cell r="AJ95">
            <v>0</v>
          </cell>
          <cell r="AK95">
            <v>9013417</v>
          </cell>
          <cell r="AL95">
            <v>47419952</v>
          </cell>
          <cell r="AM95">
            <v>5309821.055167322</v>
          </cell>
          <cell r="AN95">
            <v>-1267278.3799999999</v>
          </cell>
          <cell r="AO95">
            <v>10086241.60579101</v>
          </cell>
          <cell r="AP95">
            <v>0</v>
          </cell>
          <cell r="AQ95">
            <v>-1072824.6200000001</v>
          </cell>
          <cell r="AR95">
            <v>0</v>
          </cell>
          <cell r="AS95">
            <v>0</v>
          </cell>
          <cell r="AT95">
            <v>60475911.660958335</v>
          </cell>
          <cell r="AU95">
            <v>1.4302722583608935E-3</v>
          </cell>
          <cell r="AV95">
            <v>0</v>
          </cell>
          <cell r="AW95">
            <v>0</v>
          </cell>
          <cell r="AY95">
            <v>0</v>
          </cell>
          <cell r="AZ95">
            <v>0</v>
          </cell>
          <cell r="BA95">
            <v>0</v>
          </cell>
          <cell r="BB95">
            <v>0</v>
          </cell>
          <cell r="BC95">
            <v>0</v>
          </cell>
          <cell r="BD95">
            <v>0</v>
          </cell>
          <cell r="BE95">
            <v>0</v>
          </cell>
          <cell r="BF95">
            <v>0</v>
          </cell>
          <cell r="BG95">
            <v>0</v>
          </cell>
          <cell r="BH95">
            <v>0</v>
          </cell>
          <cell r="BJ95">
            <v>0</v>
          </cell>
          <cell r="BL95">
            <v>0</v>
          </cell>
          <cell r="BM95">
            <v>0</v>
          </cell>
          <cell r="BN95">
            <v>0</v>
          </cell>
          <cell r="BO95">
            <v>0</v>
          </cell>
          <cell r="BQ95">
            <v>0</v>
          </cell>
          <cell r="BR95">
            <v>0</v>
          </cell>
          <cell r="BS95">
            <v>0</v>
          </cell>
          <cell r="BT95">
            <v>0</v>
          </cell>
          <cell r="CB95">
            <v>0</v>
          </cell>
          <cell r="CC95">
            <v>0</v>
          </cell>
          <cell r="CD95">
            <v>0</v>
          </cell>
          <cell r="CE95">
            <v>0</v>
          </cell>
          <cell r="CF95">
            <v>0</v>
          </cell>
          <cell r="CI95">
            <v>0</v>
          </cell>
          <cell r="CJ95">
            <v>0</v>
          </cell>
          <cell r="CK95">
            <v>0</v>
          </cell>
          <cell r="CV95">
            <v>1.3901422219367123E-3</v>
          </cell>
          <cell r="DG95">
            <v>60475912</v>
          </cell>
          <cell r="DR95">
            <v>21942969.110000011</v>
          </cell>
          <cell r="EC95">
            <v>2.7560496347068852</v>
          </cell>
          <cell r="EN95">
            <v>2.4095909012463064E-2</v>
          </cell>
        </row>
        <row r="96">
          <cell r="B96">
            <v>31110</v>
          </cell>
          <cell r="C96" t="str">
            <v>Asheville City Schools</v>
          </cell>
          <cell r="D96">
            <v>2.0197565345193864E-3</v>
          </cell>
          <cell r="E96">
            <v>3494649.7493299358</v>
          </cell>
          <cell r="F96">
            <v>2724858.553490181</v>
          </cell>
          <cell r="G96">
            <v>-299624</v>
          </cell>
          <cell r="H96">
            <v>-975131.45649490552</v>
          </cell>
          <cell r="I96">
            <v>-40352.779545836864</v>
          </cell>
          <cell r="J96">
            <v>2948995.4822994871</v>
          </cell>
          <cell r="K96">
            <v>0</v>
          </cell>
          <cell r="L96">
            <v>-154945.11822759622</v>
          </cell>
          <cell r="M96">
            <v>27806.011764119216</v>
          </cell>
          <cell r="N96">
            <v>1048.213246284871</v>
          </cell>
          <cell r="O96">
            <v>-473.04717794978546</v>
          </cell>
          <cell r="P96">
            <v>0</v>
          </cell>
          <cell r="Q96">
            <v>0</v>
          </cell>
          <cell r="R96">
            <v>0</v>
          </cell>
          <cell r="S96">
            <v>7726831.6086837193</v>
          </cell>
          <cell r="T96">
            <v>0</v>
          </cell>
          <cell r="U96">
            <v>14744977.411497435</v>
          </cell>
          <cell r="V96">
            <v>111224.04705647686</v>
          </cell>
          <cell r="W96">
            <v>0</v>
          </cell>
          <cell r="X96">
            <v>14856201.458553912</v>
          </cell>
          <cell r="Y96">
            <v>1498118.76</v>
          </cell>
          <cell r="Z96">
            <v>0</v>
          </cell>
          <cell r="AA96">
            <v>0</v>
          </cell>
          <cell r="AB96">
            <v>201763.89772918433</v>
          </cell>
          <cell r="AC96">
            <v>1699882.6577291843</v>
          </cell>
          <cell r="AD96" t="str">
            <v>N/A</v>
          </cell>
          <cell r="AE96">
            <v>2636825</v>
          </cell>
          <cell r="AF96">
            <v>2636826</v>
          </cell>
          <cell r="AG96">
            <v>2636826</v>
          </cell>
          <cell r="AH96">
            <v>2636826</v>
          </cell>
          <cell r="AI96">
            <v>2609020</v>
          </cell>
          <cell r="AJ96">
            <v>0</v>
          </cell>
          <cell r="AK96">
            <v>13156323</v>
          </cell>
          <cell r="AL96">
            <v>68615139</v>
          </cell>
          <cell r="AM96">
            <v>7726831.6086837193</v>
          </cell>
          <cell r="AN96">
            <v>-1632015.24</v>
          </cell>
          <cell r="AO96">
            <v>14654437.560824728</v>
          </cell>
          <cell r="AP96">
            <v>0</v>
          </cell>
          <cell r="AQ96">
            <v>-1498118.76</v>
          </cell>
          <cell r="AR96">
            <v>0</v>
          </cell>
          <cell r="AS96">
            <v>0</v>
          </cell>
          <cell r="AT96">
            <v>87866274.169508442</v>
          </cell>
          <cell r="AU96">
            <v>2.0695577845615447E-3</v>
          </cell>
          <cell r="AV96">
            <v>0</v>
          </cell>
          <cell r="AW96">
            <v>0</v>
          </cell>
          <cell r="AY96">
            <v>0</v>
          </cell>
          <cell r="AZ96">
            <v>0</v>
          </cell>
          <cell r="BA96">
            <v>0</v>
          </cell>
          <cell r="BB96">
            <v>0</v>
          </cell>
          <cell r="BC96">
            <v>0</v>
          </cell>
          <cell r="BD96">
            <v>0</v>
          </cell>
          <cell r="BE96">
            <v>0</v>
          </cell>
          <cell r="BF96">
            <v>0</v>
          </cell>
          <cell r="BG96">
            <v>0</v>
          </cell>
          <cell r="BH96">
            <v>0</v>
          </cell>
          <cell r="BJ96">
            <v>0</v>
          </cell>
          <cell r="BL96">
            <v>0</v>
          </cell>
          <cell r="BM96">
            <v>0</v>
          </cell>
          <cell r="BN96">
            <v>0</v>
          </cell>
          <cell r="BO96">
            <v>0</v>
          </cell>
          <cell r="BQ96">
            <v>0</v>
          </cell>
          <cell r="BR96">
            <v>0</v>
          </cell>
          <cell r="BS96">
            <v>0</v>
          </cell>
          <cell r="BT96">
            <v>0</v>
          </cell>
          <cell r="CB96">
            <v>0</v>
          </cell>
          <cell r="CC96">
            <v>0</v>
          </cell>
          <cell r="CD96">
            <v>0</v>
          </cell>
          <cell r="CE96">
            <v>0</v>
          </cell>
          <cell r="CF96">
            <v>0</v>
          </cell>
          <cell r="CI96">
            <v>0</v>
          </cell>
          <cell r="CJ96">
            <v>0</v>
          </cell>
          <cell r="CK96">
            <v>0</v>
          </cell>
          <cell r="CV96">
            <v>2.0197565345193864E-3</v>
          </cell>
          <cell r="DG96">
            <v>87866274</v>
          </cell>
          <cell r="DR96">
            <v>28443769.960000005</v>
          </cell>
          <cell r="EC96">
            <v>3.08912194563396</v>
          </cell>
          <cell r="EN96">
            <v>2.4095909012463064E-2</v>
          </cell>
        </row>
        <row r="97">
          <cell r="B97">
            <v>31200</v>
          </cell>
          <cell r="C97" t="str">
            <v>Burke County Schools</v>
          </cell>
          <cell r="D97">
            <v>4.11289503337617E-3</v>
          </cell>
          <cell r="E97">
            <v>7116267.4073628113</v>
          </cell>
          <cell r="F97">
            <v>5548716.8971923292</v>
          </cell>
          <cell r="G97">
            <v>-872569</v>
          </cell>
          <cell r="H97">
            <v>-1985691.4711065006</v>
          </cell>
          <cell r="I97">
            <v>-82171.659673074784</v>
          </cell>
          <cell r="J97">
            <v>6005134.1165654268</v>
          </cell>
          <cell r="K97">
            <v>0</v>
          </cell>
          <cell r="L97">
            <v>-315519.71552640974</v>
          </cell>
          <cell r="M97">
            <v>56622.273887015152</v>
          </cell>
          <cell r="N97">
            <v>2134.5102644215649</v>
          </cell>
          <cell r="O97">
            <v>-963.28114576703274</v>
          </cell>
          <cell r="P97">
            <v>0</v>
          </cell>
          <cell r="Q97">
            <v>0</v>
          </cell>
          <cell r="R97">
            <v>0</v>
          </cell>
          <cell r="S97">
            <v>15471960.077820253</v>
          </cell>
          <cell r="T97">
            <v>0</v>
          </cell>
          <cell r="U97">
            <v>30025670.582827132</v>
          </cell>
          <cell r="V97">
            <v>226489.09554806061</v>
          </cell>
          <cell r="W97">
            <v>0</v>
          </cell>
          <cell r="X97">
            <v>30252159.678375192</v>
          </cell>
          <cell r="Y97">
            <v>4362842.21</v>
          </cell>
          <cell r="Z97">
            <v>0</v>
          </cell>
          <cell r="AA97">
            <v>0</v>
          </cell>
          <cell r="AB97">
            <v>410858.29836537392</v>
          </cell>
          <cell r="AC97">
            <v>4773700.5083653741</v>
          </cell>
          <cell r="AD97" t="str">
            <v>N/A</v>
          </cell>
          <cell r="AE97">
            <v>5107016</v>
          </cell>
          <cell r="AF97">
            <v>5107016</v>
          </cell>
          <cell r="AG97">
            <v>5107016</v>
          </cell>
          <cell r="AH97">
            <v>5107016</v>
          </cell>
          <cell r="AI97">
            <v>5050393</v>
          </cell>
          <cell r="AJ97">
            <v>0</v>
          </cell>
          <cell r="AK97">
            <v>25478457</v>
          </cell>
          <cell r="AL97">
            <v>141550853</v>
          </cell>
          <cell r="AM97">
            <v>15471960.077820253</v>
          </cell>
          <cell r="AN97">
            <v>-3576358.79</v>
          </cell>
          <cell r="AO97">
            <v>29841301.380009823</v>
          </cell>
          <cell r="AP97">
            <v>0</v>
          </cell>
          <cell r="AQ97">
            <v>-4362842.21</v>
          </cell>
          <cell r="AR97">
            <v>0</v>
          </cell>
          <cell r="AS97">
            <v>0</v>
          </cell>
          <cell r="AT97">
            <v>178924913.45783007</v>
          </cell>
          <cell r="AU97">
            <v>4.2694319849186811E-3</v>
          </cell>
          <cell r="AV97">
            <v>0</v>
          </cell>
          <cell r="AW97">
            <v>0</v>
          </cell>
          <cell r="AY97">
            <v>0</v>
          </cell>
          <cell r="AZ97">
            <v>0</v>
          </cell>
          <cell r="BA97">
            <v>0</v>
          </cell>
          <cell r="BB97">
            <v>0</v>
          </cell>
          <cell r="BC97">
            <v>0</v>
          </cell>
          <cell r="BD97">
            <v>0</v>
          </cell>
          <cell r="BE97">
            <v>0</v>
          </cell>
          <cell r="BF97">
            <v>0</v>
          </cell>
          <cell r="BG97">
            <v>0</v>
          </cell>
          <cell r="BH97">
            <v>0</v>
          </cell>
          <cell r="BJ97">
            <v>0</v>
          </cell>
          <cell r="BL97">
            <v>0</v>
          </cell>
          <cell r="BM97">
            <v>0</v>
          </cell>
          <cell r="BN97">
            <v>0</v>
          </cell>
          <cell r="BO97">
            <v>0</v>
          </cell>
          <cell r="BQ97">
            <v>0</v>
          </cell>
          <cell r="BR97">
            <v>0</v>
          </cell>
          <cell r="BS97">
            <v>0</v>
          </cell>
          <cell r="BT97">
            <v>0</v>
          </cell>
          <cell r="CB97">
            <v>0</v>
          </cell>
          <cell r="CC97">
            <v>0</v>
          </cell>
          <cell r="CD97">
            <v>0</v>
          </cell>
          <cell r="CE97">
            <v>0</v>
          </cell>
          <cell r="CF97">
            <v>0</v>
          </cell>
          <cell r="CI97">
            <v>0</v>
          </cell>
          <cell r="CJ97">
            <v>0</v>
          </cell>
          <cell r="CK97">
            <v>0</v>
          </cell>
          <cell r="CV97">
            <v>4.11289503337617E-3</v>
          </cell>
          <cell r="DG97">
            <v>178924914</v>
          </cell>
          <cell r="DR97">
            <v>63059125.209999941</v>
          </cell>
          <cell r="EC97">
            <v>2.837415098990717</v>
          </cell>
          <cell r="EN97">
            <v>2.4095909012463064E-2</v>
          </cell>
        </row>
        <row r="98">
          <cell r="B98">
            <v>31205</v>
          </cell>
          <cell r="C98" t="str">
            <v>Western Piedmont Community College</v>
          </cell>
          <cell r="D98">
            <v>5.0568155364153356E-4</v>
          </cell>
          <cell r="E98">
            <v>874946.99706203409</v>
          </cell>
          <cell r="F98">
            <v>682216.23905290093</v>
          </cell>
          <cell r="G98">
            <v>-351857</v>
          </cell>
          <cell r="H98">
            <v>-244141.30193291488</v>
          </cell>
          <cell r="I98">
            <v>-10103.027719303176</v>
          </cell>
          <cell r="J98">
            <v>738332.85927500215</v>
          </cell>
          <cell r="K98">
            <v>0</v>
          </cell>
          <cell r="L98">
            <v>-38793.23412271891</v>
          </cell>
          <cell r="M98">
            <v>6961.7238459884293</v>
          </cell>
          <cell r="N98">
            <v>262.43861270888311</v>
          </cell>
          <cell r="O98">
            <v>-118.43567667838357</v>
          </cell>
          <cell r="P98">
            <v>0</v>
          </cell>
          <cell r="Q98">
            <v>0</v>
          </cell>
          <cell r="R98">
            <v>0</v>
          </cell>
          <cell r="S98">
            <v>1657707.2583970192</v>
          </cell>
          <cell r="T98">
            <v>45182.330000000016</v>
          </cell>
          <cell r="U98">
            <v>3691664.2963750111</v>
          </cell>
          <cell r="V98">
            <v>27846.895383953717</v>
          </cell>
          <cell r="W98">
            <v>0</v>
          </cell>
          <cell r="X98">
            <v>3764693.5217589648</v>
          </cell>
          <cell r="Y98">
            <v>1804464</v>
          </cell>
          <cell r="Z98">
            <v>0</v>
          </cell>
          <cell r="AA98">
            <v>0</v>
          </cell>
          <cell r="AB98">
            <v>50515.138596515877</v>
          </cell>
          <cell r="AC98">
            <v>1854979.1385965159</v>
          </cell>
          <cell r="AD98" t="str">
            <v>N/A</v>
          </cell>
          <cell r="AE98">
            <v>383335</v>
          </cell>
          <cell r="AF98">
            <v>383336</v>
          </cell>
          <cell r="AG98">
            <v>383336</v>
          </cell>
          <cell r="AH98">
            <v>383336</v>
          </cell>
          <cell r="AI98">
            <v>376374</v>
          </cell>
          <cell r="AJ98">
            <v>0</v>
          </cell>
          <cell r="AK98">
            <v>1909717</v>
          </cell>
          <cell r="AL98">
            <v>18930973</v>
          </cell>
          <cell r="AM98">
            <v>1657707.2583970192</v>
          </cell>
          <cell r="AN98">
            <v>-499527.33</v>
          </cell>
          <cell r="AO98">
            <v>3668996.053162449</v>
          </cell>
          <cell r="AP98">
            <v>0</v>
          </cell>
          <cell r="AQ98">
            <v>-1759281.67</v>
          </cell>
          <cell r="AR98">
            <v>0</v>
          </cell>
          <cell r="AS98">
            <v>0</v>
          </cell>
          <cell r="AT98">
            <v>21998867.311559469</v>
          </cell>
          <cell r="AU98">
            <v>5.709926743370314E-4</v>
          </cell>
          <cell r="AV98">
            <v>0</v>
          </cell>
          <cell r="AW98">
            <v>0</v>
          </cell>
          <cell r="AY98">
            <v>0</v>
          </cell>
          <cell r="AZ98">
            <v>0</v>
          </cell>
          <cell r="BA98">
            <v>0</v>
          </cell>
          <cell r="BB98">
            <v>0</v>
          </cell>
          <cell r="BC98">
            <v>0</v>
          </cell>
          <cell r="BD98">
            <v>0</v>
          </cell>
          <cell r="BE98">
            <v>0</v>
          </cell>
          <cell r="BF98">
            <v>0</v>
          </cell>
          <cell r="BG98">
            <v>0</v>
          </cell>
          <cell r="BH98">
            <v>0</v>
          </cell>
          <cell r="BJ98">
            <v>0</v>
          </cell>
          <cell r="BL98">
            <v>0</v>
          </cell>
          <cell r="BM98">
            <v>0</v>
          </cell>
          <cell r="BN98">
            <v>0</v>
          </cell>
          <cell r="BO98">
            <v>0</v>
          </cell>
          <cell r="BQ98">
            <v>0</v>
          </cell>
          <cell r="BR98">
            <v>0</v>
          </cell>
          <cell r="BS98">
            <v>0</v>
          </cell>
          <cell r="BT98">
            <v>0</v>
          </cell>
          <cell r="CB98">
            <v>0</v>
          </cell>
          <cell r="CC98">
            <v>0</v>
          </cell>
          <cell r="CD98">
            <v>0</v>
          </cell>
          <cell r="CE98">
            <v>0</v>
          </cell>
          <cell r="CF98">
            <v>0</v>
          </cell>
          <cell r="CI98">
            <v>0</v>
          </cell>
          <cell r="CJ98">
            <v>0</v>
          </cell>
          <cell r="CK98">
            <v>0</v>
          </cell>
          <cell r="CV98">
            <v>5.0568155364153356E-4</v>
          </cell>
          <cell r="DG98">
            <v>21998866</v>
          </cell>
          <cell r="DR98">
            <v>8767270.7700000014</v>
          </cell>
          <cell r="EC98">
            <v>2.5092034427950027</v>
          </cell>
          <cell r="EN98">
            <v>2.4095909012463064E-2</v>
          </cell>
        </row>
        <row r="99">
          <cell r="B99">
            <v>31300</v>
          </cell>
          <cell r="C99" t="str">
            <v>Cabarrus County Schools</v>
          </cell>
          <cell r="D99">
            <v>1.0384923954821533E-2</v>
          </cell>
          <cell r="E99">
            <v>17968339.884174876</v>
          </cell>
          <cell r="F99">
            <v>14010326.681465143</v>
          </cell>
          <cell r="G99">
            <v>2335173</v>
          </cell>
          <cell r="H99">
            <v>-5013805.3020651126</v>
          </cell>
          <cell r="I99">
            <v>-207480.72343724919</v>
          </cell>
          <cell r="J99">
            <v>15162765.067661908</v>
          </cell>
          <cell r="K99">
            <v>0</v>
          </cell>
          <cell r="L99">
            <v>-796676.84815650922</v>
          </cell>
          <cell r="M99">
            <v>142969.36918981871</v>
          </cell>
          <cell r="N99">
            <v>5389.5678340732793</v>
          </cell>
          <cell r="O99">
            <v>-2432.2530394587511</v>
          </cell>
          <cell r="P99">
            <v>0</v>
          </cell>
          <cell r="Q99">
            <v>0</v>
          </cell>
          <cell r="R99">
            <v>0</v>
          </cell>
          <cell r="S99">
            <v>43604568.443627484</v>
          </cell>
          <cell r="T99">
            <v>12332434</v>
          </cell>
          <cell r="U99">
            <v>75813825.338309541</v>
          </cell>
          <cell r="V99">
            <v>571877.47675927484</v>
          </cell>
          <cell r="W99">
            <v>0</v>
          </cell>
          <cell r="X99">
            <v>88718136.815068811</v>
          </cell>
          <cell r="Y99">
            <v>656569.02999999933</v>
          </cell>
          <cell r="Z99">
            <v>0</v>
          </cell>
          <cell r="AA99">
            <v>0</v>
          </cell>
          <cell r="AB99">
            <v>1037403.617186246</v>
          </cell>
          <cell r="AC99">
            <v>1693972.6471862453</v>
          </cell>
          <cell r="AD99" t="str">
            <v>N/A</v>
          </cell>
          <cell r="AE99">
            <v>17433427</v>
          </cell>
          <cell r="AF99">
            <v>17433427</v>
          </cell>
          <cell r="AG99">
            <v>17433427</v>
          </cell>
          <cell r="AH99">
            <v>17433427</v>
          </cell>
          <cell r="AI99">
            <v>17290457</v>
          </cell>
          <cell r="AJ99">
            <v>0</v>
          </cell>
          <cell r="AK99">
            <v>87024165</v>
          </cell>
          <cell r="AL99">
            <v>329507969</v>
          </cell>
          <cell r="AM99">
            <v>43604568.443627484</v>
          </cell>
          <cell r="AN99">
            <v>-8357210.9700000007</v>
          </cell>
          <cell r="AO99">
            <v>75348299.197882578</v>
          </cell>
          <cell r="AP99">
            <v>0</v>
          </cell>
          <cell r="AQ99">
            <v>11675864.970000001</v>
          </cell>
          <cell r="AR99">
            <v>0</v>
          </cell>
          <cell r="AS99">
            <v>0</v>
          </cell>
          <cell r="AT99">
            <v>451779490.64151007</v>
          </cell>
          <cell r="AU99">
            <v>9.9385615002979023E-3</v>
          </cell>
          <cell r="AV99">
            <v>0</v>
          </cell>
          <cell r="AW99">
            <v>0</v>
          </cell>
          <cell r="AY99">
            <v>0</v>
          </cell>
          <cell r="AZ99">
            <v>0</v>
          </cell>
          <cell r="BA99">
            <v>0</v>
          </cell>
          <cell r="BB99">
            <v>0</v>
          </cell>
          <cell r="BC99">
            <v>0</v>
          </cell>
          <cell r="BD99">
            <v>0</v>
          </cell>
          <cell r="BE99">
            <v>0</v>
          </cell>
          <cell r="BF99">
            <v>0</v>
          </cell>
          <cell r="BG99">
            <v>0</v>
          </cell>
          <cell r="BH99">
            <v>0</v>
          </cell>
          <cell r="BJ99">
            <v>0</v>
          </cell>
          <cell r="BL99">
            <v>0</v>
          </cell>
          <cell r="BM99">
            <v>0</v>
          </cell>
          <cell r="BN99">
            <v>0</v>
          </cell>
          <cell r="BO99">
            <v>0</v>
          </cell>
          <cell r="BQ99">
            <v>0</v>
          </cell>
          <cell r="BR99">
            <v>0</v>
          </cell>
          <cell r="BS99">
            <v>0</v>
          </cell>
          <cell r="BT99">
            <v>0</v>
          </cell>
          <cell r="CB99">
            <v>0</v>
          </cell>
          <cell r="CC99">
            <v>0</v>
          </cell>
          <cell r="CD99">
            <v>0</v>
          </cell>
          <cell r="CE99">
            <v>0</v>
          </cell>
          <cell r="CF99">
            <v>0</v>
          </cell>
          <cell r="CI99">
            <v>0</v>
          </cell>
          <cell r="CJ99">
            <v>0</v>
          </cell>
          <cell r="CK99">
            <v>0</v>
          </cell>
          <cell r="CV99">
            <v>1.0384923954821533E-2</v>
          </cell>
          <cell r="DG99">
            <v>451779490</v>
          </cell>
          <cell r="DR99">
            <v>143348965.94999999</v>
          </cell>
          <cell r="EC99">
            <v>3.151606201035174</v>
          </cell>
          <cell r="EN99">
            <v>2.4095909012463064E-2</v>
          </cell>
        </row>
        <row r="100">
          <cell r="B100">
            <v>31301</v>
          </cell>
          <cell r="C100" t="str">
            <v>Carolina International School</v>
          </cell>
          <cell r="D100">
            <v>2.0007692437743868E-4</v>
          </cell>
          <cell r="E100">
            <v>346179.73090934905</v>
          </cell>
          <cell r="F100">
            <v>269924.27524221438</v>
          </cell>
          <cell r="G100">
            <v>200175</v>
          </cell>
          <cell r="H100">
            <v>-96596.445831337987</v>
          </cell>
          <cell r="I100">
            <v>-3997.3431864811541</v>
          </cell>
          <cell r="J100">
            <v>292127.26188398898</v>
          </cell>
          <cell r="K100">
            <v>0</v>
          </cell>
          <cell r="L100">
            <v>-15348.851295907765</v>
          </cell>
          <cell r="M100">
            <v>2754.4613511012512</v>
          </cell>
          <cell r="N100">
            <v>103.83592221340312</v>
          </cell>
          <cell r="O100">
            <v>-46.860016458439915</v>
          </cell>
          <cell r="P100">
            <v>0</v>
          </cell>
          <cell r="Q100">
            <v>0</v>
          </cell>
          <cell r="R100">
            <v>0</v>
          </cell>
          <cell r="S100">
            <v>995275.06497868185</v>
          </cell>
          <cell r="T100">
            <v>1014031</v>
          </cell>
          <cell r="U100">
            <v>1460636.3094199446</v>
          </cell>
          <cell r="V100">
            <v>11017.845404405005</v>
          </cell>
          <cell r="W100">
            <v>0</v>
          </cell>
          <cell r="X100">
            <v>2485685.15482435</v>
          </cell>
          <cell r="Y100">
            <v>13152.789999999979</v>
          </cell>
          <cell r="Z100">
            <v>0</v>
          </cell>
          <cell r="AA100">
            <v>0</v>
          </cell>
          <cell r="AB100">
            <v>19986.715932405768</v>
          </cell>
          <cell r="AC100">
            <v>33139.505932405751</v>
          </cell>
          <cell r="AD100" t="str">
            <v>N/A</v>
          </cell>
          <cell r="AE100">
            <v>491059</v>
          </cell>
          <cell r="AF100">
            <v>491060</v>
          </cell>
          <cell r="AG100">
            <v>491060</v>
          </cell>
          <cell r="AH100">
            <v>491060</v>
          </cell>
          <cell r="AI100">
            <v>488306</v>
          </cell>
          <cell r="AJ100">
            <v>0</v>
          </cell>
          <cell r="AK100">
            <v>2452545</v>
          </cell>
          <cell r="AL100">
            <v>5416612</v>
          </cell>
          <cell r="AM100">
            <v>995275.06497868185</v>
          </cell>
          <cell r="AN100">
            <v>-160406.21000000002</v>
          </cell>
          <cell r="AO100">
            <v>1451667.438891944</v>
          </cell>
          <cell r="AP100">
            <v>0</v>
          </cell>
          <cell r="AQ100">
            <v>1000878.21</v>
          </cell>
          <cell r="AR100">
            <v>0</v>
          </cell>
          <cell r="AS100">
            <v>0</v>
          </cell>
          <cell r="AT100">
            <v>8704026.503870625</v>
          </cell>
          <cell r="AU100">
            <v>1.6337489588084882E-4</v>
          </cell>
          <cell r="AV100">
            <v>0</v>
          </cell>
          <cell r="AW100">
            <v>0</v>
          </cell>
          <cell r="AY100">
            <v>0</v>
          </cell>
          <cell r="AZ100">
            <v>0</v>
          </cell>
          <cell r="BA100">
            <v>0</v>
          </cell>
          <cell r="BB100">
            <v>0</v>
          </cell>
          <cell r="BC100">
            <v>0</v>
          </cell>
          <cell r="BD100">
            <v>0</v>
          </cell>
          <cell r="BE100">
            <v>0</v>
          </cell>
          <cell r="BF100">
            <v>0</v>
          </cell>
          <cell r="BG100">
            <v>0</v>
          </cell>
          <cell r="BH100">
            <v>0</v>
          </cell>
          <cell r="BJ100">
            <v>0</v>
          </cell>
          <cell r="BL100">
            <v>0</v>
          </cell>
          <cell r="BM100">
            <v>0</v>
          </cell>
          <cell r="BN100">
            <v>0</v>
          </cell>
          <cell r="BO100">
            <v>0</v>
          </cell>
          <cell r="BQ100">
            <v>0</v>
          </cell>
          <cell r="BR100">
            <v>0</v>
          </cell>
          <cell r="BS100">
            <v>0</v>
          </cell>
          <cell r="BT100">
            <v>0</v>
          </cell>
          <cell r="CB100">
            <v>0</v>
          </cell>
          <cell r="CC100">
            <v>0</v>
          </cell>
          <cell r="CD100">
            <v>0</v>
          </cell>
          <cell r="CE100">
            <v>0</v>
          </cell>
          <cell r="CF100">
            <v>0</v>
          </cell>
          <cell r="CI100">
            <v>0</v>
          </cell>
          <cell r="CJ100">
            <v>0</v>
          </cell>
          <cell r="CK100">
            <v>0</v>
          </cell>
          <cell r="CV100">
            <v>2.0007692437743868E-4</v>
          </cell>
          <cell r="DG100">
            <v>8704026</v>
          </cell>
          <cell r="DR100">
            <v>2594207.0499999993</v>
          </cell>
          <cell r="EC100">
            <v>3.355177837482171</v>
          </cell>
          <cell r="EN100">
            <v>2.4095909012463064E-2</v>
          </cell>
        </row>
        <row r="101">
          <cell r="B101">
            <v>31320</v>
          </cell>
          <cell r="C101" t="str">
            <v>Kannapolis City Schools</v>
          </cell>
          <cell r="D101">
            <v>1.9460158818062662E-3</v>
          </cell>
          <cell r="E101">
            <v>3367061.2261019852</v>
          </cell>
          <cell r="F101">
            <v>2625374.855900309</v>
          </cell>
          <cell r="G101">
            <v>-19395</v>
          </cell>
          <cell r="H101">
            <v>-939529.7248732571</v>
          </cell>
          <cell r="I101">
            <v>-38879.512718057187</v>
          </cell>
          <cell r="J101">
            <v>2841328.6184987207</v>
          </cell>
          <cell r="K101">
            <v>0</v>
          </cell>
          <cell r="L101">
            <v>-149288.12246719713</v>
          </cell>
          <cell r="M101">
            <v>26790.823338291069</v>
          </cell>
          <cell r="N101">
            <v>1009.9433223398161</v>
          </cell>
          <cell r="O101">
            <v>-455.77637967784563</v>
          </cell>
          <cell r="P101">
            <v>0</v>
          </cell>
          <cell r="Q101">
            <v>0</v>
          </cell>
          <cell r="R101">
            <v>0</v>
          </cell>
          <cell r="S101">
            <v>7714017.3307234561</v>
          </cell>
          <cell r="T101">
            <v>14953</v>
          </cell>
          <cell r="U101">
            <v>14206643.092493603</v>
          </cell>
          <cell r="V101">
            <v>107163.29335316428</v>
          </cell>
          <cell r="W101">
            <v>0</v>
          </cell>
          <cell r="X101">
            <v>14328759.385846768</v>
          </cell>
          <cell r="Y101">
            <v>111930.09000000008</v>
          </cell>
          <cell r="Z101">
            <v>0</v>
          </cell>
          <cell r="AA101">
            <v>0</v>
          </cell>
          <cell r="AB101">
            <v>194397.56359028592</v>
          </cell>
          <cell r="AC101">
            <v>306327.65359028603</v>
          </cell>
          <cell r="AD101" t="str">
            <v>N/A</v>
          </cell>
          <cell r="AE101">
            <v>2809845</v>
          </cell>
          <cell r="AF101">
            <v>2809845</v>
          </cell>
          <cell r="AG101">
            <v>2809845</v>
          </cell>
          <cell r="AH101">
            <v>2809845</v>
          </cell>
          <cell r="AI101">
            <v>2783054</v>
          </cell>
          <cell r="AJ101">
            <v>0</v>
          </cell>
          <cell r="AK101">
            <v>14022434</v>
          </cell>
          <cell r="AL101">
            <v>64501226</v>
          </cell>
          <cell r="AM101">
            <v>7714017.3307234561</v>
          </cell>
          <cell r="AN101">
            <v>-1579369.91</v>
          </cell>
          <cell r="AO101">
            <v>14119408.822256481</v>
          </cell>
          <cell r="AP101">
            <v>0</v>
          </cell>
          <cell r="AQ101">
            <v>-96977.090000000084</v>
          </cell>
          <cell r="AR101">
            <v>0</v>
          </cell>
          <cell r="AS101">
            <v>0</v>
          </cell>
          <cell r="AT101">
            <v>84658305.152979925</v>
          </cell>
          <cell r="AU101">
            <v>1.9454746614203044E-3</v>
          </cell>
          <cell r="AV101">
            <v>0</v>
          </cell>
          <cell r="AW101">
            <v>0</v>
          </cell>
          <cell r="AY101">
            <v>0</v>
          </cell>
          <cell r="AZ101">
            <v>0</v>
          </cell>
          <cell r="BA101">
            <v>0</v>
          </cell>
          <cell r="BB101">
            <v>0</v>
          </cell>
          <cell r="BC101">
            <v>0</v>
          </cell>
          <cell r="BD101">
            <v>0</v>
          </cell>
          <cell r="BE101">
            <v>0</v>
          </cell>
          <cell r="BF101">
            <v>0</v>
          </cell>
          <cell r="BG101">
            <v>0</v>
          </cell>
          <cell r="BH101">
            <v>0</v>
          </cell>
          <cell r="BJ101">
            <v>0</v>
          </cell>
          <cell r="BL101">
            <v>0</v>
          </cell>
          <cell r="BM101">
            <v>0</v>
          </cell>
          <cell r="BN101">
            <v>0</v>
          </cell>
          <cell r="BO101">
            <v>0</v>
          </cell>
          <cell r="BQ101">
            <v>0</v>
          </cell>
          <cell r="BR101">
            <v>0</v>
          </cell>
          <cell r="BS101">
            <v>0</v>
          </cell>
          <cell r="BT101">
            <v>0</v>
          </cell>
          <cell r="CB101">
            <v>0</v>
          </cell>
          <cell r="CC101">
            <v>0</v>
          </cell>
          <cell r="CD101">
            <v>0</v>
          </cell>
          <cell r="CE101">
            <v>0</v>
          </cell>
          <cell r="CF101">
            <v>0</v>
          </cell>
          <cell r="CI101">
            <v>0</v>
          </cell>
          <cell r="CJ101">
            <v>0</v>
          </cell>
          <cell r="CK101">
            <v>0</v>
          </cell>
          <cell r="CV101">
            <v>1.9460158818062662E-3</v>
          </cell>
          <cell r="DG101">
            <v>84658305</v>
          </cell>
          <cell r="DR101">
            <v>27324139.419999998</v>
          </cell>
          <cell r="EC101">
            <v>3.0982972125385242</v>
          </cell>
          <cell r="EN101">
            <v>2.4095909012463064E-2</v>
          </cell>
        </row>
        <row r="102">
          <cell r="B102">
            <v>31400</v>
          </cell>
          <cell r="C102" t="str">
            <v>Caldwell County Schools</v>
          </cell>
          <cell r="D102">
            <v>4.0574655579773767E-3</v>
          </cell>
          <cell r="E102">
            <v>7020361.4904875495</v>
          </cell>
          <cell r="F102">
            <v>5473936.854363149</v>
          </cell>
          <cell r="G102">
            <v>-264188</v>
          </cell>
          <cell r="H102">
            <v>-1958930.3124447535</v>
          </cell>
          <cell r="I102">
            <v>-81064.23243475116</v>
          </cell>
          <cell r="J102">
            <v>5924202.9400876788</v>
          </cell>
          <cell r="K102">
            <v>0</v>
          </cell>
          <cell r="L102">
            <v>-311267.4571615156</v>
          </cell>
          <cell r="M102">
            <v>55859.175652809135</v>
          </cell>
          <cell r="N102">
            <v>2105.7434752790991</v>
          </cell>
          <cell r="O102">
            <v>-950.29900833388137</v>
          </cell>
          <cell r="P102">
            <v>0</v>
          </cell>
          <cell r="Q102">
            <v>0</v>
          </cell>
          <cell r="R102">
            <v>0</v>
          </cell>
          <cell r="S102">
            <v>15860065.903017111</v>
          </cell>
          <cell r="T102">
            <v>23406.050000000279</v>
          </cell>
          <cell r="U102">
            <v>29621014.700438395</v>
          </cell>
          <cell r="V102">
            <v>223436.70261123654</v>
          </cell>
          <cell r="W102">
            <v>0</v>
          </cell>
          <cell r="X102">
            <v>29867857.453049634</v>
          </cell>
          <cell r="Y102">
            <v>1344345</v>
          </cell>
          <cell r="Z102">
            <v>0</v>
          </cell>
          <cell r="AA102">
            <v>0</v>
          </cell>
          <cell r="AB102">
            <v>405321.16217375582</v>
          </cell>
          <cell r="AC102">
            <v>1749666.1621737559</v>
          </cell>
          <cell r="AD102" t="str">
            <v>N/A</v>
          </cell>
          <cell r="AE102">
            <v>5634810</v>
          </cell>
          <cell r="AF102">
            <v>5634810</v>
          </cell>
          <cell r="AG102">
            <v>5634810</v>
          </cell>
          <cell r="AH102">
            <v>5634810</v>
          </cell>
          <cell r="AI102">
            <v>5578951</v>
          </cell>
          <cell r="AJ102">
            <v>0</v>
          </cell>
          <cell r="AK102">
            <v>28118191</v>
          </cell>
          <cell r="AL102">
            <v>136136428</v>
          </cell>
          <cell r="AM102">
            <v>15860065.903017111</v>
          </cell>
          <cell r="AN102">
            <v>-3601142.0500000003</v>
          </cell>
          <cell r="AO102">
            <v>29439130.240875877</v>
          </cell>
          <cell r="AP102">
            <v>0</v>
          </cell>
          <cell r="AQ102">
            <v>-1320938.9499999997</v>
          </cell>
          <cell r="AR102">
            <v>0</v>
          </cell>
          <cell r="AS102">
            <v>0</v>
          </cell>
          <cell r="AT102">
            <v>176513543.14389297</v>
          </cell>
          <cell r="AU102">
            <v>4.1061230439273901E-3</v>
          </cell>
          <cell r="AV102">
            <v>0</v>
          </cell>
          <cell r="AW102">
            <v>0</v>
          </cell>
          <cell r="AY102">
            <v>0</v>
          </cell>
          <cell r="AZ102">
            <v>0</v>
          </cell>
          <cell r="BA102">
            <v>0</v>
          </cell>
          <cell r="BB102">
            <v>0</v>
          </cell>
          <cell r="BC102">
            <v>0</v>
          </cell>
          <cell r="BD102">
            <v>0</v>
          </cell>
          <cell r="BE102">
            <v>0</v>
          </cell>
          <cell r="BF102">
            <v>0</v>
          </cell>
          <cell r="BG102">
            <v>0</v>
          </cell>
          <cell r="BH102">
            <v>0</v>
          </cell>
          <cell r="BJ102">
            <v>0</v>
          </cell>
          <cell r="BL102">
            <v>0</v>
          </cell>
          <cell r="BM102">
            <v>0</v>
          </cell>
          <cell r="BN102">
            <v>0</v>
          </cell>
          <cell r="BO102">
            <v>0</v>
          </cell>
          <cell r="BQ102">
            <v>0</v>
          </cell>
          <cell r="BR102">
            <v>0</v>
          </cell>
          <cell r="BS102">
            <v>0</v>
          </cell>
          <cell r="BT102">
            <v>0</v>
          </cell>
          <cell r="CB102">
            <v>0</v>
          </cell>
          <cell r="CC102">
            <v>0</v>
          </cell>
          <cell r="CD102">
            <v>0</v>
          </cell>
          <cell r="CE102">
            <v>0</v>
          </cell>
          <cell r="CF102">
            <v>0</v>
          </cell>
          <cell r="CI102">
            <v>0</v>
          </cell>
          <cell r="CJ102">
            <v>0</v>
          </cell>
          <cell r="CK102">
            <v>0</v>
          </cell>
          <cell r="CV102">
            <v>4.0574655579773767E-3</v>
          </cell>
          <cell r="DG102">
            <v>176513543</v>
          </cell>
          <cell r="DR102">
            <v>62632254.550000124</v>
          </cell>
          <cell r="EC102">
            <v>2.8182530593575712</v>
          </cell>
          <cell r="EN102">
            <v>2.4095909012463064E-2</v>
          </cell>
        </row>
        <row r="103">
          <cell r="B103">
            <v>31405</v>
          </cell>
          <cell r="C103" t="str">
            <v>Caldwell Community College</v>
          </cell>
          <cell r="D103">
            <v>8.1736013230384469E-4</v>
          </cell>
          <cell r="E103">
            <v>1414223.6119303405</v>
          </cell>
          <cell r="F103">
            <v>1102702.5830714647</v>
          </cell>
          <cell r="G103">
            <v>-407386</v>
          </cell>
          <cell r="H103">
            <v>-394618.63975797256</v>
          </cell>
          <cell r="I103">
            <v>-16330.063878843472</v>
          </cell>
          <cell r="J103">
            <v>1193406.8767101755</v>
          </cell>
          <cell r="K103">
            <v>0</v>
          </cell>
          <cell r="L103">
            <v>-62703.578460994599</v>
          </cell>
          <cell r="M103">
            <v>11252.60647307221</v>
          </cell>
          <cell r="N103">
            <v>424.19356146304932</v>
          </cell>
          <cell r="O103">
            <v>-191.43391658688347</v>
          </cell>
          <cell r="P103">
            <v>0</v>
          </cell>
          <cell r="Q103">
            <v>0</v>
          </cell>
          <cell r="R103">
            <v>0</v>
          </cell>
          <cell r="S103">
            <v>2840780.1557321185</v>
          </cell>
          <cell r="T103">
            <v>88598.320000000182</v>
          </cell>
          <cell r="U103">
            <v>5967034.3835508786</v>
          </cell>
          <cell r="V103">
            <v>45010.42589228884</v>
          </cell>
          <cell r="W103">
            <v>0</v>
          </cell>
          <cell r="X103">
            <v>6100643.1294431677</v>
          </cell>
          <cell r="Y103">
            <v>2125528</v>
          </cell>
          <cell r="Z103">
            <v>0</v>
          </cell>
          <cell r="AA103">
            <v>0</v>
          </cell>
          <cell r="AB103">
            <v>81650.319394217353</v>
          </cell>
          <cell r="AC103">
            <v>2207178.3193942173</v>
          </cell>
          <cell r="AD103" t="str">
            <v>N/A</v>
          </cell>
          <cell r="AE103">
            <v>780943</v>
          </cell>
          <cell r="AF103">
            <v>780943</v>
          </cell>
          <cell r="AG103">
            <v>780943</v>
          </cell>
          <cell r="AH103">
            <v>780943</v>
          </cell>
          <cell r="AI103">
            <v>769691</v>
          </cell>
          <cell r="AJ103">
            <v>0</v>
          </cell>
          <cell r="AK103">
            <v>3893463</v>
          </cell>
          <cell r="AL103">
            <v>29649795</v>
          </cell>
          <cell r="AM103">
            <v>2840780.1557321185</v>
          </cell>
          <cell r="AN103">
            <v>-826096.32000000018</v>
          </cell>
          <cell r="AO103">
            <v>5930394.4900489505</v>
          </cell>
          <cell r="AP103">
            <v>0</v>
          </cell>
          <cell r="AQ103">
            <v>-2036929.6799999997</v>
          </cell>
          <cell r="AR103">
            <v>0</v>
          </cell>
          <cell r="AS103">
            <v>0</v>
          </cell>
          <cell r="AT103">
            <v>35557943.64578107</v>
          </cell>
          <cell r="AU103">
            <v>8.9429191443774793E-4</v>
          </cell>
          <cell r="AV103">
            <v>0</v>
          </cell>
          <cell r="AW103">
            <v>0</v>
          </cell>
          <cell r="AY103">
            <v>0</v>
          </cell>
          <cell r="AZ103">
            <v>0</v>
          </cell>
          <cell r="BA103">
            <v>0</v>
          </cell>
          <cell r="BB103">
            <v>0</v>
          </cell>
          <cell r="BC103">
            <v>0</v>
          </cell>
          <cell r="BD103">
            <v>0</v>
          </cell>
          <cell r="BE103">
            <v>0</v>
          </cell>
          <cell r="BF103">
            <v>0</v>
          </cell>
          <cell r="BG103">
            <v>0</v>
          </cell>
          <cell r="BH103">
            <v>0</v>
          </cell>
          <cell r="BJ103">
            <v>0</v>
          </cell>
          <cell r="BL103">
            <v>0</v>
          </cell>
          <cell r="BM103">
            <v>0</v>
          </cell>
          <cell r="BN103">
            <v>0</v>
          </cell>
          <cell r="BO103">
            <v>0</v>
          </cell>
          <cell r="BQ103">
            <v>0</v>
          </cell>
          <cell r="BR103">
            <v>0</v>
          </cell>
          <cell r="BS103">
            <v>0</v>
          </cell>
          <cell r="BT103">
            <v>0</v>
          </cell>
          <cell r="CB103">
            <v>0</v>
          </cell>
          <cell r="CC103">
            <v>0</v>
          </cell>
          <cell r="CD103">
            <v>0</v>
          </cell>
          <cell r="CE103">
            <v>0</v>
          </cell>
          <cell r="CF103">
            <v>0</v>
          </cell>
          <cell r="CI103">
            <v>0</v>
          </cell>
          <cell r="CJ103">
            <v>0</v>
          </cell>
          <cell r="CK103">
            <v>0</v>
          </cell>
          <cell r="CV103">
            <v>8.1736013230384469E-4</v>
          </cell>
          <cell r="DG103">
            <v>35557944</v>
          </cell>
          <cell r="DR103">
            <v>14321380.540000012</v>
          </cell>
          <cell r="EC103">
            <v>2.4828572846511325</v>
          </cell>
          <cell r="EN103">
            <v>2.4095909012463064E-2</v>
          </cell>
        </row>
        <row r="104">
          <cell r="B104">
            <v>31500</v>
          </cell>
          <cell r="C104" t="str">
            <v>Camden County Schools</v>
          </cell>
          <cell r="D104">
            <v>6.2645628178972259E-4</v>
          </cell>
          <cell r="E104">
            <v>1083915.4376809888</v>
          </cell>
          <cell r="F104">
            <v>845153.72454461351</v>
          </cell>
          <cell r="G104">
            <v>-104824</v>
          </cell>
          <cell r="H104">
            <v>-302450.92220353044</v>
          </cell>
          <cell r="I104">
            <v>-12515.989824575905</v>
          </cell>
          <cell r="J104">
            <v>914672.98819539684</v>
          </cell>
          <cell r="K104">
            <v>0</v>
          </cell>
          <cell r="L104">
            <v>-48058.437236063422</v>
          </cell>
          <cell r="M104">
            <v>8624.4309368190388</v>
          </cell>
          <cell r="N104">
            <v>325.11828112323025</v>
          </cell>
          <cell r="O104">
            <v>-146.72232575797094</v>
          </cell>
          <cell r="P104">
            <v>0</v>
          </cell>
          <cell r="Q104">
            <v>0</v>
          </cell>
          <cell r="R104">
            <v>0</v>
          </cell>
          <cell r="S104">
            <v>2384695.6280490132</v>
          </cell>
          <cell r="T104">
            <v>26987.269999999902</v>
          </cell>
          <cell r="U104">
            <v>4573364.9409769839</v>
          </cell>
          <cell r="V104">
            <v>34497.723747276155</v>
          </cell>
          <cell r="W104">
            <v>0</v>
          </cell>
          <cell r="X104">
            <v>4634849.9347242592</v>
          </cell>
          <cell r="Y104">
            <v>551107</v>
          </cell>
          <cell r="Z104">
            <v>0</v>
          </cell>
          <cell r="AA104">
            <v>0</v>
          </cell>
          <cell r="AB104">
            <v>62579.949122879523</v>
          </cell>
          <cell r="AC104">
            <v>613686.94912287954</v>
          </cell>
          <cell r="AD104" t="str">
            <v>N/A</v>
          </cell>
          <cell r="AE104">
            <v>805957</v>
          </cell>
          <cell r="AF104">
            <v>805957</v>
          </cell>
          <cell r="AG104">
            <v>805957</v>
          </cell>
          <cell r="AH104">
            <v>805957</v>
          </cell>
          <cell r="AI104">
            <v>797333</v>
          </cell>
          <cell r="AJ104">
            <v>0</v>
          </cell>
          <cell r="AK104">
            <v>4021161</v>
          </cell>
          <cell r="AL104">
            <v>21431169</v>
          </cell>
          <cell r="AM104">
            <v>2384695.6280490132</v>
          </cell>
          <cell r="AN104">
            <v>-584050.2699999999</v>
          </cell>
          <cell r="AO104">
            <v>4545282.7156013809</v>
          </cell>
          <cell r="AP104">
            <v>0</v>
          </cell>
          <cell r="AQ104">
            <v>-524119.7300000001</v>
          </cell>
          <cell r="AR104">
            <v>0</v>
          </cell>
          <cell r="AS104">
            <v>0</v>
          </cell>
          <cell r="AT104">
            <v>27252977.343650393</v>
          </cell>
          <cell r="AU104">
            <v>6.4640315273709439E-4</v>
          </cell>
          <cell r="AV104">
            <v>0</v>
          </cell>
          <cell r="AW104">
            <v>0</v>
          </cell>
          <cell r="AY104">
            <v>0</v>
          </cell>
          <cell r="AZ104">
            <v>0</v>
          </cell>
          <cell r="BA104">
            <v>0</v>
          </cell>
          <cell r="BB104">
            <v>0</v>
          </cell>
          <cell r="BC104">
            <v>0</v>
          </cell>
          <cell r="BD104">
            <v>0</v>
          </cell>
          <cell r="BE104">
            <v>0</v>
          </cell>
          <cell r="BF104">
            <v>0</v>
          </cell>
          <cell r="BG104">
            <v>0</v>
          </cell>
          <cell r="BH104">
            <v>0</v>
          </cell>
          <cell r="BJ104">
            <v>0</v>
          </cell>
          <cell r="BL104">
            <v>0</v>
          </cell>
          <cell r="BM104">
            <v>0</v>
          </cell>
          <cell r="BN104">
            <v>0</v>
          </cell>
          <cell r="BO104">
            <v>0</v>
          </cell>
          <cell r="BQ104">
            <v>0</v>
          </cell>
          <cell r="BR104">
            <v>0</v>
          </cell>
          <cell r="BS104">
            <v>0</v>
          </cell>
          <cell r="BT104">
            <v>0</v>
          </cell>
          <cell r="CB104">
            <v>0</v>
          </cell>
          <cell r="CC104">
            <v>0</v>
          </cell>
          <cell r="CD104">
            <v>0</v>
          </cell>
          <cell r="CE104">
            <v>0</v>
          </cell>
          <cell r="CF104">
            <v>0</v>
          </cell>
          <cell r="CI104">
            <v>0</v>
          </cell>
          <cell r="CJ104">
            <v>0</v>
          </cell>
          <cell r="CK104">
            <v>0</v>
          </cell>
          <cell r="CV104">
            <v>6.2645628178972259E-4</v>
          </cell>
          <cell r="DG104">
            <v>27252978</v>
          </cell>
          <cell r="DR104">
            <v>10090422.93</v>
          </cell>
          <cell r="EC104">
            <v>2.7008756906485782</v>
          </cell>
          <cell r="EN104">
            <v>2.4095909012463064E-2</v>
          </cell>
        </row>
        <row r="105">
          <cell r="B105">
            <v>31600</v>
          </cell>
          <cell r="C105" t="str">
            <v>Carteret County Schools</v>
          </cell>
          <cell r="D105">
            <v>2.8955995387210634E-3</v>
          </cell>
          <cell r="E105">
            <v>5010062.3660362838</v>
          </cell>
          <cell r="F105">
            <v>3906460.5241858074</v>
          </cell>
          <cell r="G105">
            <v>9033</v>
          </cell>
          <cell r="H105">
            <v>-1397985.4241644714</v>
          </cell>
          <cell r="I105">
            <v>-57851.274568022178</v>
          </cell>
          <cell r="J105">
            <v>4227791.7225646349</v>
          </cell>
          <cell r="K105">
            <v>0</v>
          </cell>
          <cell r="L105">
            <v>-222135.19560349852</v>
          </cell>
          <cell r="M105">
            <v>39863.752616606893</v>
          </cell>
          <cell r="N105">
            <v>1502.7582486054575</v>
          </cell>
          <cell r="O105">
            <v>-678.1783679638603</v>
          </cell>
          <cell r="P105">
            <v>0</v>
          </cell>
          <cell r="Q105">
            <v>0</v>
          </cell>
          <cell r="R105">
            <v>0</v>
          </cell>
          <cell r="S105">
            <v>11516064.050947983</v>
          </cell>
          <cell r="T105">
            <v>53766</v>
          </cell>
          <cell r="U105">
            <v>21138958.612823177</v>
          </cell>
          <cell r="V105">
            <v>159455.01046642757</v>
          </cell>
          <cell r="W105">
            <v>0</v>
          </cell>
          <cell r="X105">
            <v>21352179.623289604</v>
          </cell>
          <cell r="Y105">
            <v>8597.8000000002794</v>
          </cell>
          <cell r="Z105">
            <v>0</v>
          </cell>
          <cell r="AA105">
            <v>0</v>
          </cell>
          <cell r="AB105">
            <v>289256.37284011091</v>
          </cell>
          <cell r="AC105">
            <v>297854.17284011119</v>
          </cell>
          <cell r="AD105" t="str">
            <v>N/A</v>
          </cell>
          <cell r="AE105">
            <v>4218837</v>
          </cell>
          <cell r="AF105">
            <v>4218838</v>
          </cell>
          <cell r="AG105">
            <v>4218838</v>
          </cell>
          <cell r="AH105">
            <v>4218838</v>
          </cell>
          <cell r="AI105">
            <v>4178974</v>
          </cell>
          <cell r="AJ105">
            <v>0</v>
          </cell>
          <cell r="AK105">
            <v>21054325</v>
          </cell>
          <cell r="AL105">
            <v>95937616</v>
          </cell>
          <cell r="AM105">
            <v>11516064.050947983</v>
          </cell>
          <cell r="AN105">
            <v>-2539583.1999999997</v>
          </cell>
          <cell r="AO105">
            <v>21009157.250449494</v>
          </cell>
          <cell r="AP105">
            <v>0</v>
          </cell>
          <cell r="AQ105">
            <v>45168.199999999721</v>
          </cell>
          <cell r="AR105">
            <v>0</v>
          </cell>
          <cell r="AS105">
            <v>0</v>
          </cell>
          <cell r="AT105">
            <v>125968422.30139747</v>
          </cell>
          <cell r="AU105">
            <v>2.8936535350860965E-3</v>
          </cell>
          <cell r="AV105">
            <v>0</v>
          </cell>
          <cell r="AW105">
            <v>0</v>
          </cell>
          <cell r="AY105">
            <v>0</v>
          </cell>
          <cell r="AZ105">
            <v>0</v>
          </cell>
          <cell r="BA105">
            <v>0</v>
          </cell>
          <cell r="BB105">
            <v>0</v>
          </cell>
          <cell r="BC105">
            <v>0</v>
          </cell>
          <cell r="BD105">
            <v>0</v>
          </cell>
          <cell r="BE105">
            <v>0</v>
          </cell>
          <cell r="BF105">
            <v>0</v>
          </cell>
          <cell r="BG105">
            <v>0</v>
          </cell>
          <cell r="BH105">
            <v>0</v>
          </cell>
          <cell r="BJ105">
            <v>0</v>
          </cell>
          <cell r="BL105">
            <v>0</v>
          </cell>
          <cell r="BM105">
            <v>0</v>
          </cell>
          <cell r="BN105">
            <v>0</v>
          </cell>
          <cell r="BO105">
            <v>0</v>
          </cell>
          <cell r="BQ105">
            <v>0</v>
          </cell>
          <cell r="BR105">
            <v>0</v>
          </cell>
          <cell r="BS105">
            <v>0</v>
          </cell>
          <cell r="BT105">
            <v>0</v>
          </cell>
          <cell r="CB105">
            <v>0</v>
          </cell>
          <cell r="CC105">
            <v>0</v>
          </cell>
          <cell r="CD105">
            <v>0</v>
          </cell>
          <cell r="CE105">
            <v>0</v>
          </cell>
          <cell r="CF105">
            <v>0</v>
          </cell>
          <cell r="CI105">
            <v>0</v>
          </cell>
          <cell r="CJ105">
            <v>0</v>
          </cell>
          <cell r="CK105">
            <v>0</v>
          </cell>
          <cell r="CV105">
            <v>2.8955995387210634E-3</v>
          </cell>
          <cell r="DG105">
            <v>125968422</v>
          </cell>
          <cell r="DR105">
            <v>44557895.530000061</v>
          </cell>
          <cell r="EC105">
            <v>2.8270729688117258</v>
          </cell>
          <cell r="EN105">
            <v>2.4095909012463064E-2</v>
          </cell>
        </row>
        <row r="106">
          <cell r="B106">
            <v>31605</v>
          </cell>
          <cell r="C106" t="str">
            <v>Carteret Community College</v>
          </cell>
          <cell r="D106">
            <v>3.9857591310894303E-4</v>
          </cell>
          <cell r="E106">
            <v>689629.26522555517</v>
          </cell>
          <cell r="F106">
            <v>537719.75358827005</v>
          </cell>
          <cell r="G106">
            <v>-34040</v>
          </cell>
          <cell r="H106">
            <v>-192431.06980029924</v>
          </cell>
          <cell r="I106">
            <v>-7963.1607468931952</v>
          </cell>
          <cell r="J106">
            <v>581950.61980148975</v>
          </cell>
          <cell r="K106">
            <v>0</v>
          </cell>
          <cell r="L106">
            <v>-30576.651652736375</v>
          </cell>
          <cell r="M106">
            <v>5487.1992437638282</v>
          </cell>
          <cell r="N106">
            <v>206.85292738527926</v>
          </cell>
          <cell r="O106">
            <v>-93.350464609245549</v>
          </cell>
          <cell r="P106">
            <v>0</v>
          </cell>
          <cell r="Q106">
            <v>0</v>
          </cell>
          <cell r="R106">
            <v>0</v>
          </cell>
          <cell r="S106">
            <v>1549889.4581219263</v>
          </cell>
          <cell r="T106">
            <v>56023.780000000028</v>
          </cell>
          <cell r="U106">
            <v>2909753.0990074486</v>
          </cell>
          <cell r="V106">
            <v>21948.796975055313</v>
          </cell>
          <cell r="W106">
            <v>0</v>
          </cell>
          <cell r="X106">
            <v>2987725.6759825037</v>
          </cell>
          <cell r="Y106">
            <v>226222</v>
          </cell>
          <cell r="Z106">
            <v>0</v>
          </cell>
          <cell r="AA106">
            <v>0</v>
          </cell>
          <cell r="AB106">
            <v>39815.803734465975</v>
          </cell>
          <cell r="AC106">
            <v>266037.80373446597</v>
          </cell>
          <cell r="AD106" t="str">
            <v>N/A</v>
          </cell>
          <cell r="AE106">
            <v>545436</v>
          </cell>
          <cell r="AF106">
            <v>545435</v>
          </cell>
          <cell r="AG106">
            <v>545435</v>
          </cell>
          <cell r="AH106">
            <v>545435</v>
          </cell>
          <cell r="AI106">
            <v>539947</v>
          </cell>
          <cell r="AJ106">
            <v>0</v>
          </cell>
          <cell r="AK106">
            <v>2721688</v>
          </cell>
          <cell r="AL106">
            <v>13486049</v>
          </cell>
          <cell r="AM106">
            <v>1549889.4581219263</v>
          </cell>
          <cell r="AN106">
            <v>-418219.78</v>
          </cell>
          <cell r="AO106">
            <v>2891886.0922480379</v>
          </cell>
          <cell r="AP106">
            <v>0</v>
          </cell>
          <cell r="AQ106">
            <v>-170198.21999999997</v>
          </cell>
          <cell r="AR106">
            <v>0</v>
          </cell>
          <cell r="AS106">
            <v>0</v>
          </cell>
          <cell r="AT106">
            <v>17339406.550369967</v>
          </cell>
          <cell r="AU106">
            <v>4.067638508859306E-4</v>
          </cell>
          <cell r="AV106">
            <v>0</v>
          </cell>
          <cell r="AW106">
            <v>0</v>
          </cell>
          <cell r="AY106">
            <v>0</v>
          </cell>
          <cell r="AZ106">
            <v>0</v>
          </cell>
          <cell r="BA106">
            <v>0</v>
          </cell>
          <cell r="BB106">
            <v>0</v>
          </cell>
          <cell r="BC106">
            <v>0</v>
          </cell>
          <cell r="BD106">
            <v>0</v>
          </cell>
          <cell r="BE106">
            <v>0</v>
          </cell>
          <cell r="BF106">
            <v>0</v>
          </cell>
          <cell r="BG106">
            <v>0</v>
          </cell>
          <cell r="BH106">
            <v>0</v>
          </cell>
          <cell r="BJ106">
            <v>0</v>
          </cell>
          <cell r="BL106">
            <v>0</v>
          </cell>
          <cell r="BM106">
            <v>0</v>
          </cell>
          <cell r="BN106">
            <v>0</v>
          </cell>
          <cell r="BO106">
            <v>0</v>
          </cell>
          <cell r="BQ106">
            <v>0</v>
          </cell>
          <cell r="BR106">
            <v>0</v>
          </cell>
          <cell r="BS106">
            <v>0</v>
          </cell>
          <cell r="BT106">
            <v>0</v>
          </cell>
          <cell r="CB106">
            <v>0</v>
          </cell>
          <cell r="CC106">
            <v>0</v>
          </cell>
          <cell r="CD106">
            <v>0</v>
          </cell>
          <cell r="CE106">
            <v>0</v>
          </cell>
          <cell r="CF106">
            <v>0</v>
          </cell>
          <cell r="CI106">
            <v>0</v>
          </cell>
          <cell r="CJ106">
            <v>0</v>
          </cell>
          <cell r="CK106">
            <v>0</v>
          </cell>
          <cell r="CV106">
            <v>3.9857591310894303E-4</v>
          </cell>
          <cell r="DG106">
            <v>17339407</v>
          </cell>
          <cell r="DR106">
            <v>7142382.8599999985</v>
          </cell>
          <cell r="EC106">
            <v>2.4276781768598727</v>
          </cell>
          <cell r="EN106">
            <v>2.4095909012463064E-2</v>
          </cell>
        </row>
        <row r="107">
          <cell r="B107">
            <v>31700</v>
          </cell>
          <cell r="C107" t="str">
            <v>Caswell County Schools</v>
          </cell>
          <cell r="D107">
            <v>8.4030413506430116E-4</v>
          </cell>
          <cell r="E107">
            <v>1453922.0865361099</v>
          </cell>
          <cell r="F107">
            <v>1133656.3941395937</v>
          </cell>
          <cell r="G107">
            <v>-145441</v>
          </cell>
          <cell r="H107">
            <v>-405695.9247907208</v>
          </cell>
          <cell r="I107">
            <v>-16788.462834097791</v>
          </cell>
          <cell r="J107">
            <v>1226906.8354081945</v>
          </cell>
          <cell r="K107">
            <v>0</v>
          </cell>
          <cell r="L107">
            <v>-64463.721903817612</v>
          </cell>
          <cell r="M107">
            <v>11568.476826636903</v>
          </cell>
          <cell r="N107">
            <v>436.101040015671</v>
          </cell>
          <cell r="O107">
            <v>-196.80763147340997</v>
          </cell>
          <cell r="P107">
            <v>0</v>
          </cell>
          <cell r="Q107">
            <v>0</v>
          </cell>
          <cell r="R107">
            <v>0</v>
          </cell>
          <cell r="S107">
            <v>3193903.9767904412</v>
          </cell>
          <cell r="T107">
            <v>59673.370000000112</v>
          </cell>
          <cell r="U107">
            <v>6134534.1770409727</v>
          </cell>
          <cell r="V107">
            <v>46273.907306547611</v>
          </cell>
          <cell r="W107">
            <v>0</v>
          </cell>
          <cell r="X107">
            <v>6240481.4543475201</v>
          </cell>
          <cell r="Y107">
            <v>786878</v>
          </cell>
          <cell r="Z107">
            <v>0</v>
          </cell>
          <cell r="AA107">
            <v>0</v>
          </cell>
          <cell r="AB107">
            <v>83942.314170488957</v>
          </cell>
          <cell r="AC107">
            <v>870820.31417048897</v>
          </cell>
          <cell r="AD107" t="str">
            <v>N/A</v>
          </cell>
          <cell r="AE107">
            <v>1076246</v>
          </cell>
          <cell r="AF107">
            <v>1076246</v>
          </cell>
          <cell r="AG107">
            <v>1076246</v>
          </cell>
          <cell r="AH107">
            <v>1076246</v>
          </cell>
          <cell r="AI107">
            <v>1064677</v>
          </cell>
          <cell r="AJ107">
            <v>0</v>
          </cell>
          <cell r="AK107">
            <v>5369661</v>
          </cell>
          <cell r="AL107">
            <v>28804112</v>
          </cell>
          <cell r="AM107">
            <v>3193903.9767904412</v>
          </cell>
          <cell r="AN107">
            <v>-811590.37000000011</v>
          </cell>
          <cell r="AO107">
            <v>6096865.7701770319</v>
          </cell>
          <cell r="AP107">
            <v>0</v>
          </cell>
          <cell r="AQ107">
            <v>-727204.62999999989</v>
          </cell>
          <cell r="AR107">
            <v>0</v>
          </cell>
          <cell r="AS107">
            <v>0</v>
          </cell>
          <cell r="AT107">
            <v>36556086.746967472</v>
          </cell>
          <cell r="AU107">
            <v>8.687845739421894E-4</v>
          </cell>
          <cell r="AV107">
            <v>0</v>
          </cell>
          <cell r="AW107">
            <v>0</v>
          </cell>
          <cell r="AY107">
            <v>0</v>
          </cell>
          <cell r="AZ107">
            <v>0</v>
          </cell>
          <cell r="BA107">
            <v>0</v>
          </cell>
          <cell r="BB107">
            <v>0</v>
          </cell>
          <cell r="BC107">
            <v>0</v>
          </cell>
          <cell r="BD107">
            <v>0</v>
          </cell>
          <cell r="BE107">
            <v>0</v>
          </cell>
          <cell r="BF107">
            <v>0</v>
          </cell>
          <cell r="BG107">
            <v>0</v>
          </cell>
          <cell r="BH107">
            <v>0</v>
          </cell>
          <cell r="BJ107">
            <v>0</v>
          </cell>
          <cell r="BL107">
            <v>0</v>
          </cell>
          <cell r="BM107">
            <v>0</v>
          </cell>
          <cell r="BN107">
            <v>0</v>
          </cell>
          <cell r="BO107">
            <v>0</v>
          </cell>
          <cell r="BQ107">
            <v>0</v>
          </cell>
          <cell r="BR107">
            <v>0</v>
          </cell>
          <cell r="BS107">
            <v>0</v>
          </cell>
          <cell r="BT107">
            <v>0</v>
          </cell>
          <cell r="CB107">
            <v>0</v>
          </cell>
          <cell r="CC107">
            <v>0</v>
          </cell>
          <cell r="CD107">
            <v>0</v>
          </cell>
          <cell r="CE107">
            <v>0</v>
          </cell>
          <cell r="CF107">
            <v>0</v>
          </cell>
          <cell r="CI107">
            <v>0</v>
          </cell>
          <cell r="CJ107">
            <v>0</v>
          </cell>
          <cell r="CK107">
            <v>0</v>
          </cell>
          <cell r="CV107">
            <v>8.4030413506430116E-4</v>
          </cell>
          <cell r="DG107">
            <v>36556086</v>
          </cell>
          <cell r="DR107">
            <v>13772995.999999993</v>
          </cell>
          <cell r="EC107">
            <v>2.6541854800509648</v>
          </cell>
          <cell r="EN107">
            <v>2.4095909012463064E-2</v>
          </cell>
        </row>
        <row r="108">
          <cell r="B108">
            <v>31800</v>
          </cell>
          <cell r="C108" t="str">
            <v>Catawba County Schools</v>
          </cell>
          <cell r="D108">
            <v>5.3273257682819267E-3</v>
          </cell>
          <cell r="E108">
            <v>9217515.7463497985</v>
          </cell>
          <cell r="F108">
            <v>7187108.4157110453</v>
          </cell>
          <cell r="G108">
            <v>-601939</v>
          </cell>
          <cell r="H108">
            <v>-2572014.4219678151</v>
          </cell>
          <cell r="I108">
            <v>-106434.8096526845</v>
          </cell>
          <cell r="J108">
            <v>7778293.7472408768</v>
          </cell>
          <cell r="K108">
            <v>0</v>
          </cell>
          <cell r="L108">
            <v>-408684.46612045856</v>
          </cell>
          <cell r="M108">
            <v>73341.355976546722</v>
          </cell>
          <cell r="N108">
            <v>2764.7755272229542</v>
          </cell>
          <cell r="O108">
            <v>-1247.71296818931</v>
          </cell>
          <cell r="P108">
            <v>0</v>
          </cell>
          <cell r="Q108">
            <v>0</v>
          </cell>
          <cell r="R108">
            <v>0</v>
          </cell>
          <cell r="S108">
            <v>20568703.630096346</v>
          </cell>
          <cell r="T108">
            <v>0</v>
          </cell>
          <cell r="U108">
            <v>38891468.736204386</v>
          </cell>
          <cell r="V108">
            <v>293365.42390618689</v>
          </cell>
          <cell r="W108">
            <v>0</v>
          </cell>
          <cell r="X108">
            <v>39184834.16011057</v>
          </cell>
          <cell r="Y108">
            <v>3009694.8499999996</v>
          </cell>
          <cell r="Z108">
            <v>0</v>
          </cell>
          <cell r="AA108">
            <v>0</v>
          </cell>
          <cell r="AB108">
            <v>532174.04826342256</v>
          </cell>
          <cell r="AC108">
            <v>3541868.8982634223</v>
          </cell>
          <cell r="AD108" t="str">
            <v>N/A</v>
          </cell>
          <cell r="AE108">
            <v>7143261</v>
          </cell>
          <cell r="AF108">
            <v>7143261</v>
          </cell>
          <cell r="AG108">
            <v>7143261</v>
          </cell>
          <cell r="AH108">
            <v>7143261</v>
          </cell>
          <cell r="AI108">
            <v>7069920</v>
          </cell>
          <cell r="AJ108">
            <v>0</v>
          </cell>
          <cell r="AK108">
            <v>35642964</v>
          </cell>
          <cell r="AL108">
            <v>180212050</v>
          </cell>
          <cell r="AM108">
            <v>20568703.630096346</v>
          </cell>
          <cell r="AN108">
            <v>-4666941.1500000004</v>
          </cell>
          <cell r="AO108">
            <v>38652660.111847155</v>
          </cell>
          <cell r="AP108">
            <v>0</v>
          </cell>
          <cell r="AQ108">
            <v>-3009694.8499999996</v>
          </cell>
          <cell r="AR108">
            <v>0</v>
          </cell>
          <cell r="AS108">
            <v>0</v>
          </cell>
          <cell r="AT108">
            <v>231756777.74194351</v>
          </cell>
          <cell r="AU108">
            <v>5.4355242125237579E-3</v>
          </cell>
          <cell r="AV108">
            <v>0</v>
          </cell>
          <cell r="AW108">
            <v>0</v>
          </cell>
          <cell r="AY108">
            <v>0</v>
          </cell>
          <cell r="AZ108">
            <v>0</v>
          </cell>
          <cell r="BA108">
            <v>0</v>
          </cell>
          <cell r="BB108">
            <v>0</v>
          </cell>
          <cell r="BC108">
            <v>0</v>
          </cell>
          <cell r="BD108">
            <v>0</v>
          </cell>
          <cell r="BE108">
            <v>0</v>
          </cell>
          <cell r="BF108">
            <v>0</v>
          </cell>
          <cell r="BG108">
            <v>0</v>
          </cell>
          <cell r="BH108">
            <v>0</v>
          </cell>
          <cell r="BJ108">
            <v>0</v>
          </cell>
          <cell r="BL108">
            <v>0</v>
          </cell>
          <cell r="BM108">
            <v>0</v>
          </cell>
          <cell r="BN108">
            <v>0</v>
          </cell>
          <cell r="BO108">
            <v>0</v>
          </cell>
          <cell r="BQ108">
            <v>0</v>
          </cell>
          <cell r="BR108">
            <v>0</v>
          </cell>
          <cell r="BS108">
            <v>0</v>
          </cell>
          <cell r="BT108">
            <v>0</v>
          </cell>
          <cell r="CB108">
            <v>0</v>
          </cell>
          <cell r="CC108">
            <v>0</v>
          </cell>
          <cell r="CD108">
            <v>0</v>
          </cell>
          <cell r="CE108">
            <v>0</v>
          </cell>
          <cell r="CF108">
            <v>0</v>
          </cell>
          <cell r="CI108">
            <v>0</v>
          </cell>
          <cell r="CJ108">
            <v>0</v>
          </cell>
          <cell r="CK108">
            <v>0</v>
          </cell>
          <cell r="CV108">
            <v>5.3273257682819267E-3</v>
          </cell>
          <cell r="DG108">
            <v>231756779</v>
          </cell>
          <cell r="DR108">
            <v>82414063.260000065</v>
          </cell>
          <cell r="EC108">
            <v>2.8121023261388438</v>
          </cell>
          <cell r="EN108">
            <v>2.4095909012463064E-2</v>
          </cell>
        </row>
        <row r="109">
          <cell r="B109">
            <v>31805</v>
          </cell>
          <cell r="C109" t="str">
            <v>Catawba Valley Community College</v>
          </cell>
          <cell r="D109">
            <v>9.9102628267439311E-4</v>
          </cell>
          <cell r="E109">
            <v>1714706.545634005</v>
          </cell>
          <cell r="F109">
            <v>1336996.017552916</v>
          </cell>
          <cell r="G109">
            <v>-204168</v>
          </cell>
          <cell r="H109">
            <v>-478464.05541099998</v>
          </cell>
          <cell r="I109">
            <v>-19799.745377927949</v>
          </cell>
          <cell r="J109">
            <v>1446972.4347951049</v>
          </cell>
          <cell r="K109">
            <v>0</v>
          </cell>
          <cell r="L109">
            <v>-76026.33382353597</v>
          </cell>
          <cell r="M109">
            <v>13643.470390431363</v>
          </cell>
          <cell r="N109">
            <v>514.32282018235651</v>
          </cell>
          <cell r="O109">
            <v>-232.1082656651696</v>
          </cell>
          <cell r="P109">
            <v>0</v>
          </cell>
          <cell r="Q109">
            <v>0</v>
          </cell>
          <cell r="R109">
            <v>0</v>
          </cell>
          <cell r="S109">
            <v>3734142.5483145108</v>
          </cell>
          <cell r="T109">
            <v>93127.410000000149</v>
          </cell>
          <cell r="U109">
            <v>7234862.1739755236</v>
          </cell>
          <cell r="V109">
            <v>54573.881561725451</v>
          </cell>
          <cell r="W109">
            <v>0</v>
          </cell>
          <cell r="X109">
            <v>7382563.4655372491</v>
          </cell>
          <cell r="Y109">
            <v>1113964</v>
          </cell>
          <cell r="Z109">
            <v>0</v>
          </cell>
          <cell r="AA109">
            <v>0</v>
          </cell>
          <cell r="AB109">
            <v>98998.726889639744</v>
          </cell>
          <cell r="AC109">
            <v>1212962.7268896396</v>
          </cell>
          <cell r="AD109" t="str">
            <v>N/A</v>
          </cell>
          <cell r="AE109">
            <v>1236648</v>
          </cell>
          <cell r="AF109">
            <v>1236649</v>
          </cell>
          <cell r="AG109">
            <v>1236649</v>
          </cell>
          <cell r="AH109">
            <v>1236649</v>
          </cell>
          <cell r="AI109">
            <v>1223006</v>
          </cell>
          <cell r="AJ109">
            <v>0</v>
          </cell>
          <cell r="AK109">
            <v>6169601</v>
          </cell>
          <cell r="AL109">
            <v>34193731</v>
          </cell>
          <cell r="AM109">
            <v>3734142.5483145108</v>
          </cell>
          <cell r="AN109">
            <v>-984462.41000000015</v>
          </cell>
          <cell r="AO109">
            <v>7190437.3286476098</v>
          </cell>
          <cell r="AP109">
            <v>0</v>
          </cell>
          <cell r="AQ109">
            <v>-1020836.5899999999</v>
          </cell>
          <cell r="AR109">
            <v>0</v>
          </cell>
          <cell r="AS109">
            <v>0</v>
          </cell>
          <cell r="AT109">
            <v>43113011.876962125</v>
          </cell>
          <cell r="AU109">
            <v>1.0313453086340505E-3</v>
          </cell>
          <cell r="AV109">
            <v>0</v>
          </cell>
          <cell r="AW109">
            <v>0</v>
          </cell>
          <cell r="AY109">
            <v>0</v>
          </cell>
          <cell r="AZ109">
            <v>0</v>
          </cell>
          <cell r="BA109">
            <v>0</v>
          </cell>
          <cell r="BB109">
            <v>0</v>
          </cell>
          <cell r="BC109">
            <v>0</v>
          </cell>
          <cell r="BD109">
            <v>0</v>
          </cell>
          <cell r="BE109">
            <v>0</v>
          </cell>
          <cell r="BF109">
            <v>0</v>
          </cell>
          <cell r="BG109">
            <v>0</v>
          </cell>
          <cell r="BH109">
            <v>0</v>
          </cell>
          <cell r="BJ109">
            <v>0</v>
          </cell>
          <cell r="BL109">
            <v>0</v>
          </cell>
          <cell r="BM109">
            <v>0</v>
          </cell>
          <cell r="BN109">
            <v>0</v>
          </cell>
          <cell r="BO109">
            <v>0</v>
          </cell>
          <cell r="BQ109">
            <v>0</v>
          </cell>
          <cell r="BR109">
            <v>0</v>
          </cell>
          <cell r="BS109">
            <v>0</v>
          </cell>
          <cell r="BT109">
            <v>0</v>
          </cell>
          <cell r="CB109">
            <v>0</v>
          </cell>
          <cell r="CC109">
            <v>0</v>
          </cell>
          <cell r="CD109">
            <v>0</v>
          </cell>
          <cell r="CE109">
            <v>0</v>
          </cell>
          <cell r="CF109">
            <v>0</v>
          </cell>
          <cell r="CI109">
            <v>0</v>
          </cell>
          <cell r="CJ109">
            <v>0</v>
          </cell>
          <cell r="CK109">
            <v>0</v>
          </cell>
          <cell r="CV109">
            <v>9.9102628267439311E-4</v>
          </cell>
          <cell r="DG109">
            <v>43113012</v>
          </cell>
          <cell r="DR109">
            <v>16926582.729999989</v>
          </cell>
          <cell r="EC109">
            <v>2.5470594205402279</v>
          </cell>
          <cell r="EN109">
            <v>2.4095909012463064E-2</v>
          </cell>
        </row>
        <row r="110">
          <cell r="B110">
            <v>31810</v>
          </cell>
          <cell r="C110" t="str">
            <v>Hickory City Schools</v>
          </cell>
          <cell r="D110">
            <v>1.3237118370651817E-3</v>
          </cell>
          <cell r="E110">
            <v>2290330.1266881009</v>
          </cell>
          <cell r="F110">
            <v>1785822.9246633195</v>
          </cell>
          <cell r="G110">
            <v>31680</v>
          </cell>
          <cell r="H110">
            <v>-639083.4883294832</v>
          </cell>
          <cell r="I110">
            <v>-26446.480568518891</v>
          </cell>
          <cell r="J110">
            <v>1932718.2067023073</v>
          </cell>
          <cell r="K110">
            <v>0</v>
          </cell>
          <cell r="L110">
            <v>-101548.22305953753</v>
          </cell>
          <cell r="M110">
            <v>18223.55629734194</v>
          </cell>
          <cell r="N110">
            <v>686.97996920008802</v>
          </cell>
          <cell r="O110">
            <v>-310.02654935903621</v>
          </cell>
          <cell r="P110">
            <v>0</v>
          </cell>
          <cell r="Q110">
            <v>0</v>
          </cell>
          <cell r="R110">
            <v>0</v>
          </cell>
          <cell r="S110">
            <v>5292073.5758133708</v>
          </cell>
          <cell r="T110">
            <v>159567</v>
          </cell>
          <cell r="U110">
            <v>9663591.0335115362</v>
          </cell>
          <cell r="V110">
            <v>72894.22518936776</v>
          </cell>
          <cell r="W110">
            <v>0</v>
          </cell>
          <cell r="X110">
            <v>9896052.2587009035</v>
          </cell>
          <cell r="Y110">
            <v>1165.6000000000931</v>
          </cell>
          <cell r="Z110">
            <v>0</v>
          </cell>
          <cell r="AA110">
            <v>0</v>
          </cell>
          <cell r="AB110">
            <v>132232.40284259446</v>
          </cell>
          <cell r="AC110">
            <v>133398.00284259455</v>
          </cell>
          <cell r="AD110" t="str">
            <v>N/A</v>
          </cell>
          <cell r="AE110">
            <v>1956175</v>
          </cell>
          <cell r="AF110">
            <v>1956176</v>
          </cell>
          <cell r="AG110">
            <v>1956176</v>
          </cell>
          <cell r="AH110">
            <v>1956176</v>
          </cell>
          <cell r="AI110">
            <v>1937953</v>
          </cell>
          <cell r="AJ110">
            <v>0</v>
          </cell>
          <cell r="AK110">
            <v>9762656</v>
          </cell>
          <cell r="AL110">
            <v>43695515</v>
          </cell>
          <cell r="AM110">
            <v>5292073.5758133708</v>
          </cell>
          <cell r="AN110">
            <v>-1164278.3999999999</v>
          </cell>
          <cell r="AO110">
            <v>9604252.8558583111</v>
          </cell>
          <cell r="AP110">
            <v>0</v>
          </cell>
          <cell r="AQ110">
            <v>158401.39999999991</v>
          </cell>
          <cell r="AR110">
            <v>0</v>
          </cell>
          <cell r="AS110">
            <v>0</v>
          </cell>
          <cell r="AT110">
            <v>57585964.431671679</v>
          </cell>
          <cell r="AU110">
            <v>1.3179364552008059E-3</v>
          </cell>
          <cell r="AV110">
            <v>0</v>
          </cell>
          <cell r="AW110">
            <v>0</v>
          </cell>
          <cell r="AY110">
            <v>0</v>
          </cell>
          <cell r="AZ110">
            <v>0</v>
          </cell>
          <cell r="BA110">
            <v>0</v>
          </cell>
          <cell r="BB110">
            <v>0</v>
          </cell>
          <cell r="BC110">
            <v>0</v>
          </cell>
          <cell r="BD110">
            <v>0</v>
          </cell>
          <cell r="BE110">
            <v>0</v>
          </cell>
          <cell r="BF110">
            <v>0</v>
          </cell>
          <cell r="BG110">
            <v>0</v>
          </cell>
          <cell r="BH110">
            <v>0</v>
          </cell>
          <cell r="BJ110">
            <v>0</v>
          </cell>
          <cell r="BL110">
            <v>0</v>
          </cell>
          <cell r="BM110">
            <v>0</v>
          </cell>
          <cell r="BN110">
            <v>0</v>
          </cell>
          <cell r="BO110">
            <v>0</v>
          </cell>
          <cell r="BQ110">
            <v>0</v>
          </cell>
          <cell r="BR110">
            <v>0</v>
          </cell>
          <cell r="BS110">
            <v>0</v>
          </cell>
          <cell r="BT110">
            <v>0</v>
          </cell>
          <cell r="CB110">
            <v>0</v>
          </cell>
          <cell r="CC110">
            <v>0</v>
          </cell>
          <cell r="CD110">
            <v>0</v>
          </cell>
          <cell r="CE110">
            <v>0</v>
          </cell>
          <cell r="CF110">
            <v>0</v>
          </cell>
          <cell r="CI110">
            <v>0</v>
          </cell>
          <cell r="CJ110">
            <v>0</v>
          </cell>
          <cell r="CK110">
            <v>0</v>
          </cell>
          <cell r="CV110">
            <v>1.3237118370651817E-3</v>
          </cell>
          <cell r="DG110">
            <v>57585964</v>
          </cell>
          <cell r="DR110">
            <v>20050932.22000001</v>
          </cell>
          <cell r="EC110">
            <v>2.8719843730038788</v>
          </cell>
          <cell r="EN110">
            <v>2.4095909012463064E-2</v>
          </cell>
        </row>
        <row r="111">
          <cell r="B111">
            <v>31820</v>
          </cell>
          <cell r="C111" t="str">
            <v>Newton-Conover City Schools</v>
          </cell>
          <cell r="D111">
            <v>1.1810036712035577E-3</v>
          </cell>
          <cell r="E111">
            <v>2043411.7246271656</v>
          </cell>
          <cell r="F111">
            <v>1593294.9839165041</v>
          </cell>
          <cell r="G111">
            <v>168497</v>
          </cell>
          <cell r="H111">
            <v>-570184.48032925627</v>
          </cell>
          <cell r="I111">
            <v>-23595.309618959294</v>
          </cell>
          <cell r="J111">
            <v>1724353.6195748209</v>
          </cell>
          <cell r="K111">
            <v>0</v>
          </cell>
          <cell r="L111">
            <v>-90600.401748621749</v>
          </cell>
          <cell r="M111">
            <v>16258.891313733688</v>
          </cell>
          <cell r="N111">
            <v>612.91728528122235</v>
          </cell>
          <cell r="O111">
            <v>-276.60286983258527</v>
          </cell>
          <cell r="P111">
            <v>0</v>
          </cell>
          <cell r="Q111">
            <v>0</v>
          </cell>
          <cell r="R111">
            <v>0</v>
          </cell>
          <cell r="S111">
            <v>4861772.3421508344</v>
          </cell>
          <cell r="T111">
            <v>903566</v>
          </cell>
          <cell r="U111">
            <v>8621768.097874105</v>
          </cell>
          <cell r="V111">
            <v>65035.565254934751</v>
          </cell>
          <cell r="W111">
            <v>0</v>
          </cell>
          <cell r="X111">
            <v>9590369.6631290391</v>
          </cell>
          <cell r="Y111">
            <v>61077.710000000196</v>
          </cell>
          <cell r="Z111">
            <v>0</v>
          </cell>
          <cell r="AA111">
            <v>0</v>
          </cell>
          <cell r="AB111">
            <v>117976.54809479647</v>
          </cell>
          <cell r="AC111">
            <v>179054.25809479668</v>
          </cell>
          <cell r="AD111" t="str">
            <v>N/A</v>
          </cell>
          <cell r="AE111">
            <v>1885514</v>
          </cell>
          <cell r="AF111">
            <v>1885515</v>
          </cell>
          <cell r="AG111">
            <v>1885515</v>
          </cell>
          <cell r="AH111">
            <v>1885515</v>
          </cell>
          <cell r="AI111">
            <v>1869256</v>
          </cell>
          <cell r="AJ111">
            <v>0</v>
          </cell>
          <cell r="AK111">
            <v>9411315</v>
          </cell>
          <cell r="AL111">
            <v>38071299</v>
          </cell>
          <cell r="AM111">
            <v>4861772.3421508344</v>
          </cell>
          <cell r="AN111">
            <v>-966713.2899999998</v>
          </cell>
          <cell r="AO111">
            <v>8568827.1150342431</v>
          </cell>
          <cell r="AP111">
            <v>0</v>
          </cell>
          <cell r="AQ111">
            <v>842488.2899999998</v>
          </cell>
          <cell r="AR111">
            <v>0</v>
          </cell>
          <cell r="AS111">
            <v>0</v>
          </cell>
          <cell r="AT111">
            <v>51377673.457185082</v>
          </cell>
          <cell r="AU111">
            <v>1.1482998345797451E-3</v>
          </cell>
          <cell r="AV111">
            <v>0</v>
          </cell>
          <cell r="AW111">
            <v>0</v>
          </cell>
          <cell r="AY111">
            <v>0</v>
          </cell>
          <cell r="AZ111">
            <v>0</v>
          </cell>
          <cell r="BA111">
            <v>0</v>
          </cell>
          <cell r="BB111">
            <v>0</v>
          </cell>
          <cell r="BC111">
            <v>0</v>
          </cell>
          <cell r="BD111">
            <v>0</v>
          </cell>
          <cell r="BE111">
            <v>0</v>
          </cell>
          <cell r="BF111">
            <v>0</v>
          </cell>
          <cell r="BG111">
            <v>0</v>
          </cell>
          <cell r="BH111">
            <v>0</v>
          </cell>
          <cell r="BJ111">
            <v>0</v>
          </cell>
          <cell r="BL111">
            <v>0</v>
          </cell>
          <cell r="BM111">
            <v>0</v>
          </cell>
          <cell r="BN111">
            <v>0</v>
          </cell>
          <cell r="BO111">
            <v>0</v>
          </cell>
          <cell r="BQ111">
            <v>0</v>
          </cell>
          <cell r="BR111">
            <v>0</v>
          </cell>
          <cell r="BS111">
            <v>0</v>
          </cell>
          <cell r="BT111">
            <v>0</v>
          </cell>
          <cell r="CB111">
            <v>0</v>
          </cell>
          <cell r="CC111">
            <v>0</v>
          </cell>
          <cell r="CD111">
            <v>0</v>
          </cell>
          <cell r="CE111">
            <v>0</v>
          </cell>
          <cell r="CF111">
            <v>0</v>
          </cell>
          <cell r="CI111">
            <v>0</v>
          </cell>
          <cell r="CJ111">
            <v>0</v>
          </cell>
          <cell r="CK111">
            <v>0</v>
          </cell>
          <cell r="CV111">
            <v>1.1810036712035577E-3</v>
          </cell>
          <cell r="DG111">
            <v>51377674</v>
          </cell>
          <cell r="DR111">
            <v>16854643.890000008</v>
          </cell>
          <cell r="EC111">
            <v>3.0482800072971448</v>
          </cell>
          <cell r="EN111">
            <v>2.4095909012463064E-2</v>
          </cell>
        </row>
        <row r="112">
          <cell r="B112">
            <v>31900</v>
          </cell>
          <cell r="C112" t="str">
            <v>Chatham County Schools</v>
          </cell>
          <cell r="D112">
            <v>3.1102419442671095E-3</v>
          </cell>
          <cell r="E112">
            <v>5381443.7755860025</v>
          </cell>
          <cell r="F112">
            <v>4196035.1262221988</v>
          </cell>
          <cell r="G112">
            <v>-242153</v>
          </cell>
          <cell r="H112">
            <v>-1501614.0338352362</v>
          </cell>
          <cell r="I112">
            <v>-62139.621962451456</v>
          </cell>
          <cell r="J112">
            <v>4541185.6754728286</v>
          </cell>
          <cell r="K112">
            <v>0</v>
          </cell>
          <cell r="L112">
            <v>-238601.4341503646</v>
          </cell>
          <cell r="M112">
            <v>42818.737116811724</v>
          </cell>
          <cell r="N112">
            <v>1614.1533642357444</v>
          </cell>
          <cell r="O112">
            <v>-728.44976576679971</v>
          </cell>
          <cell r="P112">
            <v>0</v>
          </cell>
          <cell r="Q112">
            <v>0</v>
          </cell>
          <cell r="R112">
            <v>0</v>
          </cell>
          <cell r="S112">
            <v>12117860.928048261</v>
          </cell>
          <cell r="T112">
            <v>0</v>
          </cell>
          <cell r="U112">
            <v>22705928.377364144</v>
          </cell>
          <cell r="V112">
            <v>171274.9484672469</v>
          </cell>
          <cell r="W112">
            <v>0</v>
          </cell>
          <cell r="X112">
            <v>22877203.325831391</v>
          </cell>
          <cell r="Y112">
            <v>1210768.4999999995</v>
          </cell>
          <cell r="Z112">
            <v>0</v>
          </cell>
          <cell r="AA112">
            <v>0</v>
          </cell>
          <cell r="AB112">
            <v>310698.10981225729</v>
          </cell>
          <cell r="AC112">
            <v>1521466.6098122569</v>
          </cell>
          <cell r="AD112" t="str">
            <v>N/A</v>
          </cell>
          <cell r="AE112">
            <v>4279712</v>
          </cell>
          <cell r="AF112">
            <v>4279711</v>
          </cell>
          <cell r="AG112">
            <v>4279711</v>
          </cell>
          <cell r="AH112">
            <v>4279711</v>
          </cell>
          <cell r="AI112">
            <v>4236892</v>
          </cell>
          <cell r="AJ112">
            <v>0</v>
          </cell>
          <cell r="AK112">
            <v>21355737</v>
          </cell>
          <cell r="AL112">
            <v>104488969</v>
          </cell>
          <cell r="AM112">
            <v>12117860.928048261</v>
          </cell>
          <cell r="AN112">
            <v>-2656470.5000000005</v>
          </cell>
          <cell r="AO112">
            <v>22566505.216019135</v>
          </cell>
          <cell r="AP112">
            <v>0</v>
          </cell>
          <cell r="AQ112">
            <v>-1210768.4999999995</v>
          </cell>
          <cell r="AR112">
            <v>0</v>
          </cell>
          <cell r="AS112">
            <v>0</v>
          </cell>
          <cell r="AT112">
            <v>135306096.14406738</v>
          </cell>
          <cell r="AU112">
            <v>3.1515779398981767E-3</v>
          </cell>
          <cell r="AV112">
            <v>0</v>
          </cell>
          <cell r="AW112">
            <v>0</v>
          </cell>
          <cell r="AY112">
            <v>0</v>
          </cell>
          <cell r="AZ112">
            <v>0</v>
          </cell>
          <cell r="BA112">
            <v>0</v>
          </cell>
          <cell r="BB112">
            <v>0</v>
          </cell>
          <cell r="BC112">
            <v>0</v>
          </cell>
          <cell r="BD112">
            <v>0</v>
          </cell>
          <cell r="BE112">
            <v>0</v>
          </cell>
          <cell r="BF112">
            <v>0</v>
          </cell>
          <cell r="BG112">
            <v>0</v>
          </cell>
          <cell r="BH112">
            <v>0</v>
          </cell>
          <cell r="BJ112">
            <v>0</v>
          </cell>
          <cell r="BL112">
            <v>0</v>
          </cell>
          <cell r="BM112">
            <v>0</v>
          </cell>
          <cell r="BN112">
            <v>0</v>
          </cell>
          <cell r="BO112">
            <v>0</v>
          </cell>
          <cell r="BQ112">
            <v>0</v>
          </cell>
          <cell r="BR112">
            <v>0</v>
          </cell>
          <cell r="BS112">
            <v>0</v>
          </cell>
          <cell r="BT112">
            <v>0</v>
          </cell>
          <cell r="CB112">
            <v>0</v>
          </cell>
          <cell r="CC112">
            <v>0</v>
          </cell>
          <cell r="CD112">
            <v>0</v>
          </cell>
          <cell r="CE112">
            <v>0</v>
          </cell>
          <cell r="CF112">
            <v>0</v>
          </cell>
          <cell r="CI112">
            <v>0</v>
          </cell>
          <cell r="CJ112">
            <v>0</v>
          </cell>
          <cell r="CK112">
            <v>0</v>
          </cell>
          <cell r="CV112">
            <v>3.1102419442671095E-3</v>
          </cell>
          <cell r="DG112">
            <v>135306096</v>
          </cell>
          <cell r="DR112">
            <v>45846473.449999966</v>
          </cell>
          <cell r="EC112">
            <v>2.951286889002803</v>
          </cell>
          <cell r="EN112">
            <v>2.4095909012463064E-2</v>
          </cell>
        </row>
        <row r="113">
          <cell r="B113">
            <v>32000</v>
          </cell>
          <cell r="C113" t="str">
            <v>Cherokee County Schools</v>
          </cell>
          <cell r="D113">
            <v>1.2502836665452377E-3</v>
          </cell>
          <cell r="E113">
            <v>2163282.2705155057</v>
          </cell>
          <cell r="F113">
            <v>1686760.7975758011</v>
          </cell>
          <cell r="G113">
            <v>280865</v>
          </cell>
          <cell r="H113">
            <v>-603632.62202796258</v>
          </cell>
          <cell r="I113">
            <v>-24979.456832338485</v>
          </cell>
          <cell r="J113">
            <v>1825507.5902562225</v>
          </cell>
          <cell r="K113">
            <v>0</v>
          </cell>
          <cell r="L113">
            <v>-95915.199292563484</v>
          </cell>
          <cell r="M113">
            <v>17212.669817511261</v>
          </cell>
          <cell r="N113">
            <v>648.87221726364749</v>
          </cell>
          <cell r="O113">
            <v>-292.82893754156009</v>
          </cell>
          <cell r="P113">
            <v>0</v>
          </cell>
          <cell r="Q113">
            <v>0</v>
          </cell>
          <cell r="R113">
            <v>0</v>
          </cell>
          <cell r="S113">
            <v>5249457.0932918983</v>
          </cell>
          <cell r="T113">
            <v>1414852</v>
          </cell>
          <cell r="U113">
            <v>9127537.9512811136</v>
          </cell>
          <cell r="V113">
            <v>68850.679270045046</v>
          </cell>
          <cell r="W113">
            <v>0</v>
          </cell>
          <cell r="X113">
            <v>10611240.630551159</v>
          </cell>
          <cell r="Y113">
            <v>10528.949999999953</v>
          </cell>
          <cell r="Z113">
            <v>0</v>
          </cell>
          <cell r="AA113">
            <v>0</v>
          </cell>
          <cell r="AB113">
            <v>124897.28416169241</v>
          </cell>
          <cell r="AC113">
            <v>135426.23416169238</v>
          </cell>
          <cell r="AD113" t="str">
            <v>N/A</v>
          </cell>
          <cell r="AE113">
            <v>2098605</v>
          </cell>
          <cell r="AF113">
            <v>2098606</v>
          </cell>
          <cell r="AG113">
            <v>2098606</v>
          </cell>
          <cell r="AH113">
            <v>2098606</v>
          </cell>
          <cell r="AI113">
            <v>2081393</v>
          </cell>
          <cell r="AJ113">
            <v>0</v>
          </cell>
          <cell r="AK113">
            <v>10475816</v>
          </cell>
          <cell r="AL113">
            <v>39754698</v>
          </cell>
          <cell r="AM113">
            <v>5249457.0932918983</v>
          </cell>
          <cell r="AN113">
            <v>-1088380.05</v>
          </cell>
          <cell r="AO113">
            <v>9071491.3463894669</v>
          </cell>
          <cell r="AP113">
            <v>0</v>
          </cell>
          <cell r="AQ113">
            <v>1404323.05</v>
          </cell>
          <cell r="AR113">
            <v>0</v>
          </cell>
          <cell r="AS113">
            <v>0</v>
          </cell>
          <cell r="AT113">
            <v>54391589.439681366</v>
          </cell>
          <cell r="AU113">
            <v>1.199074213095507E-3</v>
          </cell>
          <cell r="AV113">
            <v>0</v>
          </cell>
          <cell r="AW113">
            <v>0</v>
          </cell>
          <cell r="AY113">
            <v>0</v>
          </cell>
          <cell r="AZ113">
            <v>0</v>
          </cell>
          <cell r="BA113">
            <v>0</v>
          </cell>
          <cell r="BB113">
            <v>0</v>
          </cell>
          <cell r="BC113">
            <v>0</v>
          </cell>
          <cell r="BD113">
            <v>0</v>
          </cell>
          <cell r="BE113">
            <v>0</v>
          </cell>
          <cell r="BF113">
            <v>0</v>
          </cell>
          <cell r="BG113">
            <v>0</v>
          </cell>
          <cell r="BH113">
            <v>0</v>
          </cell>
          <cell r="BJ113">
            <v>0</v>
          </cell>
          <cell r="BL113">
            <v>0</v>
          </cell>
          <cell r="BM113">
            <v>0</v>
          </cell>
          <cell r="BN113">
            <v>0</v>
          </cell>
          <cell r="BO113">
            <v>0</v>
          </cell>
          <cell r="BQ113">
            <v>0</v>
          </cell>
          <cell r="BR113">
            <v>0</v>
          </cell>
          <cell r="BS113">
            <v>0</v>
          </cell>
          <cell r="BT113">
            <v>0</v>
          </cell>
          <cell r="CB113">
            <v>0</v>
          </cell>
          <cell r="CC113">
            <v>0</v>
          </cell>
          <cell r="CD113">
            <v>0</v>
          </cell>
          <cell r="CE113">
            <v>0</v>
          </cell>
          <cell r="CF113">
            <v>0</v>
          </cell>
          <cell r="CI113">
            <v>0</v>
          </cell>
          <cell r="CJ113">
            <v>0</v>
          </cell>
          <cell r="CK113">
            <v>0</v>
          </cell>
          <cell r="CV113">
            <v>1.2502836665452377E-3</v>
          </cell>
          <cell r="DG113">
            <v>54391589</v>
          </cell>
          <cell r="DR113">
            <v>18666686.109999992</v>
          </cell>
          <cell r="EC113">
            <v>2.9138320899316832</v>
          </cell>
          <cell r="EN113">
            <v>2.4095909012463064E-2</v>
          </cell>
        </row>
        <row r="114">
          <cell r="B114">
            <v>32005</v>
          </cell>
          <cell r="C114" t="str">
            <v>Tri-County Community College</v>
          </cell>
          <cell r="D114">
            <v>2.8196215099069024E-4</v>
          </cell>
          <cell r="E114">
            <v>487860.26604667847</v>
          </cell>
          <cell r="F114">
            <v>380395.83769451483</v>
          </cell>
          <cell r="G114">
            <v>90512</v>
          </cell>
          <cell r="H114">
            <v>-136130.34951136541</v>
          </cell>
          <cell r="I114">
            <v>-5633.3307132509153</v>
          </cell>
          <cell r="J114">
            <v>411685.81224511453</v>
          </cell>
          <cell r="K114">
            <v>0</v>
          </cell>
          <cell r="L114">
            <v>-21630.656009416412</v>
          </cell>
          <cell r="M114">
            <v>3881.7762207904557</v>
          </cell>
          <cell r="N114">
            <v>146.33271712114842</v>
          </cell>
          <cell r="O114">
            <v>-66.038355383529563</v>
          </cell>
          <cell r="P114">
            <v>0</v>
          </cell>
          <cell r="Q114">
            <v>0</v>
          </cell>
          <cell r="R114">
            <v>0</v>
          </cell>
          <cell r="S114">
            <v>1211021.6503348032</v>
          </cell>
          <cell r="T114">
            <v>452557.93000000005</v>
          </cell>
          <cell r="U114">
            <v>2058429.0612255728</v>
          </cell>
          <cell r="V114">
            <v>15527.104883161823</v>
          </cell>
          <cell r="W114">
            <v>0</v>
          </cell>
          <cell r="X114">
            <v>2526514.0961087346</v>
          </cell>
          <cell r="Y114">
            <v>0</v>
          </cell>
          <cell r="Z114">
            <v>0</v>
          </cell>
          <cell r="AA114">
            <v>0</v>
          </cell>
          <cell r="AB114">
            <v>28166.653566254572</v>
          </cell>
          <cell r="AC114">
            <v>28166.653566254572</v>
          </cell>
          <cell r="AD114" t="str">
            <v>N/A</v>
          </cell>
          <cell r="AE114">
            <v>500445</v>
          </cell>
          <cell r="AF114">
            <v>500446</v>
          </cell>
          <cell r="AG114">
            <v>500446</v>
          </cell>
          <cell r="AH114">
            <v>500446</v>
          </cell>
          <cell r="AI114">
            <v>496564</v>
          </cell>
          <cell r="AJ114">
            <v>0</v>
          </cell>
          <cell r="AK114">
            <v>2498347</v>
          </cell>
          <cell r="AL114">
            <v>8830263</v>
          </cell>
          <cell r="AM114">
            <v>1211021.6503348032</v>
          </cell>
          <cell r="AN114">
            <v>-273319.93000000005</v>
          </cell>
          <cell r="AO114">
            <v>2045789.5125424801</v>
          </cell>
          <cell r="AP114">
            <v>0</v>
          </cell>
          <cell r="AQ114">
            <v>452557.93000000005</v>
          </cell>
          <cell r="AR114">
            <v>0</v>
          </cell>
          <cell r="AS114">
            <v>0</v>
          </cell>
          <cell r="AT114">
            <v>12266312.162877284</v>
          </cell>
          <cell r="AU114">
            <v>2.6633683280864024E-4</v>
          </cell>
          <cell r="AV114">
            <v>0</v>
          </cell>
          <cell r="AW114">
            <v>0</v>
          </cell>
          <cell r="AY114">
            <v>0</v>
          </cell>
          <cell r="AZ114">
            <v>0</v>
          </cell>
          <cell r="BA114">
            <v>0</v>
          </cell>
          <cell r="BB114">
            <v>0</v>
          </cell>
          <cell r="BC114">
            <v>0</v>
          </cell>
          <cell r="BD114">
            <v>0</v>
          </cell>
          <cell r="BE114">
            <v>0</v>
          </cell>
          <cell r="BF114">
            <v>0</v>
          </cell>
          <cell r="BG114">
            <v>0</v>
          </cell>
          <cell r="BH114">
            <v>0</v>
          </cell>
          <cell r="BJ114">
            <v>0</v>
          </cell>
          <cell r="BL114">
            <v>0</v>
          </cell>
          <cell r="BM114">
            <v>0</v>
          </cell>
          <cell r="BN114">
            <v>0</v>
          </cell>
          <cell r="BO114">
            <v>0</v>
          </cell>
          <cell r="BQ114">
            <v>0</v>
          </cell>
          <cell r="BR114">
            <v>0</v>
          </cell>
          <cell r="BS114">
            <v>0</v>
          </cell>
          <cell r="BT114">
            <v>0</v>
          </cell>
          <cell r="CB114">
            <v>0</v>
          </cell>
          <cell r="CC114">
            <v>0</v>
          </cell>
          <cell r="CD114">
            <v>0</v>
          </cell>
          <cell r="CE114">
            <v>0</v>
          </cell>
          <cell r="CF114">
            <v>0</v>
          </cell>
          <cell r="CI114">
            <v>0</v>
          </cell>
          <cell r="CJ114">
            <v>0</v>
          </cell>
          <cell r="CK114">
            <v>0</v>
          </cell>
          <cell r="CV114">
            <v>2.8196215099069024E-4</v>
          </cell>
          <cell r="DG114">
            <v>12266312</v>
          </cell>
          <cell r="DR114">
            <v>4742534.0500000007</v>
          </cell>
          <cell r="EC114">
            <v>2.586446796307134</v>
          </cell>
          <cell r="EN114">
            <v>2.4095909012463064E-2</v>
          </cell>
        </row>
        <row r="115">
          <cell r="B115">
            <v>32100</v>
          </cell>
          <cell r="C115" t="str">
            <v>Edenton-Chowan County Schools</v>
          </cell>
          <cell r="D115">
            <v>7.7965061302360617E-4</v>
          </cell>
          <cell r="E115">
            <v>1348977.3508846269</v>
          </cell>
          <cell r="F115">
            <v>1051828.5770204277</v>
          </cell>
          <cell r="G115">
            <v>-215686</v>
          </cell>
          <cell r="H115">
            <v>-376412.61451136443</v>
          </cell>
          <cell r="I115">
            <v>-15576.664203046881</v>
          </cell>
          <cell r="J115">
            <v>1138348.1604260514</v>
          </cell>
          <cell r="K115">
            <v>0</v>
          </cell>
          <cell r="L115">
            <v>-59810.702105195247</v>
          </cell>
          <cell r="M115">
            <v>10733.459081391607</v>
          </cell>
          <cell r="N115">
            <v>404.62307514699114</v>
          </cell>
          <cell r="O115">
            <v>-182.60197007625879</v>
          </cell>
          <cell r="P115">
            <v>0</v>
          </cell>
          <cell r="Q115">
            <v>0</v>
          </cell>
          <cell r="R115">
            <v>0</v>
          </cell>
          <cell r="S115">
            <v>2882623.5876979628</v>
          </cell>
          <cell r="T115">
            <v>12292.670000000042</v>
          </cell>
          <cell r="U115">
            <v>5691740.8021302568</v>
          </cell>
          <cell r="V115">
            <v>42933.83632556643</v>
          </cell>
          <cell r="W115">
            <v>0</v>
          </cell>
          <cell r="X115">
            <v>5746967.308455823</v>
          </cell>
          <cell r="Y115">
            <v>1090723</v>
          </cell>
          <cell r="Z115">
            <v>0</v>
          </cell>
          <cell r="AA115">
            <v>0</v>
          </cell>
          <cell r="AB115">
            <v>77883.321015234396</v>
          </cell>
          <cell r="AC115">
            <v>1168606.3210152343</v>
          </cell>
          <cell r="AD115" t="str">
            <v>N/A</v>
          </cell>
          <cell r="AE115">
            <v>917819</v>
          </cell>
          <cell r="AF115">
            <v>917818</v>
          </cell>
          <cell r="AG115">
            <v>917818</v>
          </cell>
          <cell r="AH115">
            <v>917818</v>
          </cell>
          <cell r="AI115">
            <v>907084</v>
          </cell>
          <cell r="AJ115">
            <v>0</v>
          </cell>
          <cell r="AK115">
            <v>4578357</v>
          </cell>
          <cell r="AL115">
            <v>27157789</v>
          </cell>
          <cell r="AM115">
            <v>2882623.5876979628</v>
          </cell>
          <cell r="AN115">
            <v>-701321.67</v>
          </cell>
          <cell r="AO115">
            <v>5656791.3174405899</v>
          </cell>
          <cell r="AP115">
            <v>0</v>
          </cell>
          <cell r="AQ115">
            <v>-1078430.33</v>
          </cell>
          <cell r="AR115">
            <v>0</v>
          </cell>
          <cell r="AS115">
            <v>0</v>
          </cell>
          <cell r="AT115">
            <v>33917451.905138552</v>
          </cell>
          <cell r="AU115">
            <v>8.1912845509370526E-4</v>
          </cell>
          <cell r="AV115">
            <v>0</v>
          </cell>
          <cell r="AW115">
            <v>0</v>
          </cell>
          <cell r="AY115">
            <v>0</v>
          </cell>
          <cell r="AZ115">
            <v>0</v>
          </cell>
          <cell r="BA115">
            <v>0</v>
          </cell>
          <cell r="BB115">
            <v>0</v>
          </cell>
          <cell r="BC115">
            <v>0</v>
          </cell>
          <cell r="BD115">
            <v>0</v>
          </cell>
          <cell r="BE115">
            <v>0</v>
          </cell>
          <cell r="BF115">
            <v>0</v>
          </cell>
          <cell r="BG115">
            <v>0</v>
          </cell>
          <cell r="BH115">
            <v>0</v>
          </cell>
          <cell r="BJ115">
            <v>0</v>
          </cell>
          <cell r="BL115">
            <v>0</v>
          </cell>
          <cell r="BM115">
            <v>0</v>
          </cell>
          <cell r="BN115">
            <v>0</v>
          </cell>
          <cell r="BO115">
            <v>0</v>
          </cell>
          <cell r="BQ115">
            <v>0</v>
          </cell>
          <cell r="BR115">
            <v>0</v>
          </cell>
          <cell r="BS115">
            <v>0</v>
          </cell>
          <cell r="BT115">
            <v>0</v>
          </cell>
          <cell r="CB115">
            <v>0</v>
          </cell>
          <cell r="CC115">
            <v>0</v>
          </cell>
          <cell r="CD115">
            <v>0</v>
          </cell>
          <cell r="CE115">
            <v>0</v>
          </cell>
          <cell r="CF115">
            <v>0</v>
          </cell>
          <cell r="CI115">
            <v>0</v>
          </cell>
          <cell r="CJ115">
            <v>0</v>
          </cell>
          <cell r="CK115">
            <v>0</v>
          </cell>
          <cell r="CV115">
            <v>7.7965061302360617E-4</v>
          </cell>
          <cell r="DG115">
            <v>33917452</v>
          </cell>
          <cell r="DR115">
            <v>12404863.179999989</v>
          </cell>
          <cell r="EC115">
            <v>2.7342060535326302</v>
          </cell>
          <cell r="EN115">
            <v>2.4095909012463064E-2</v>
          </cell>
        </row>
        <row r="116">
          <cell r="B116">
            <v>32200</v>
          </cell>
          <cell r="C116" t="str">
            <v>Clay County Schools</v>
          </cell>
          <cell r="D116">
            <v>4.7996602982330541E-4</v>
          </cell>
          <cell r="E116">
            <v>830453.14479352627</v>
          </cell>
          <cell r="F116">
            <v>647523.36204718135</v>
          </cell>
          <cell r="G116">
            <v>109985</v>
          </cell>
          <cell r="H116">
            <v>-231725.93613667783</v>
          </cell>
          <cell r="I116">
            <v>-9589.2564573675863</v>
          </cell>
          <cell r="J116">
            <v>700786.27270932728</v>
          </cell>
          <cell r="K116">
            <v>0</v>
          </cell>
          <cell r="L116">
            <v>-36820.474133976968</v>
          </cell>
          <cell r="M116">
            <v>6607.6979297013013</v>
          </cell>
          <cell r="N116">
            <v>249.09277015769905</v>
          </cell>
          <cell r="O116">
            <v>-112.41284384491637</v>
          </cell>
          <cell r="P116">
            <v>0</v>
          </cell>
          <cell r="Q116">
            <v>0</v>
          </cell>
          <cell r="R116">
            <v>0</v>
          </cell>
          <cell r="S116">
            <v>2017356.4906780266</v>
          </cell>
          <cell r="T116">
            <v>549922.92999999993</v>
          </cell>
          <cell r="U116">
            <v>3503931.3635466364</v>
          </cell>
          <cell r="V116">
            <v>26430.791718805205</v>
          </cell>
          <cell r="W116">
            <v>0</v>
          </cell>
          <cell r="X116">
            <v>4080285.0852654418</v>
          </cell>
          <cell r="Y116">
            <v>0</v>
          </cell>
          <cell r="Z116">
            <v>0</v>
          </cell>
          <cell r="AA116">
            <v>0</v>
          </cell>
          <cell r="AB116">
            <v>47946.282286837937</v>
          </cell>
          <cell r="AC116">
            <v>47946.282286837937</v>
          </cell>
          <cell r="AD116" t="str">
            <v>N/A</v>
          </cell>
          <cell r="AE116">
            <v>807790</v>
          </cell>
          <cell r="AF116">
            <v>807790</v>
          </cell>
          <cell r="AG116">
            <v>807790</v>
          </cell>
          <cell r="AH116">
            <v>807790</v>
          </cell>
          <cell r="AI116">
            <v>801182</v>
          </cell>
          <cell r="AJ116">
            <v>0</v>
          </cell>
          <cell r="AK116">
            <v>4032342</v>
          </cell>
          <cell r="AL116">
            <v>15253619</v>
          </cell>
          <cell r="AM116">
            <v>2017356.4906780266</v>
          </cell>
          <cell r="AN116">
            <v>-423160.93</v>
          </cell>
          <cell r="AO116">
            <v>3482415.8729786039</v>
          </cell>
          <cell r="AP116">
            <v>0</v>
          </cell>
          <cell r="AQ116">
            <v>549922.92999999993</v>
          </cell>
          <cell r="AR116">
            <v>0</v>
          </cell>
          <cell r="AS116">
            <v>0</v>
          </cell>
          <cell r="AT116">
            <v>20880153.363656633</v>
          </cell>
          <cell r="AU116">
            <v>4.6007697330434149E-4</v>
          </cell>
          <cell r="AV116">
            <v>0</v>
          </cell>
          <cell r="AW116">
            <v>0</v>
          </cell>
          <cell r="AY116">
            <v>0</v>
          </cell>
          <cell r="AZ116">
            <v>0</v>
          </cell>
          <cell r="BA116">
            <v>0</v>
          </cell>
          <cell r="BB116">
            <v>0</v>
          </cell>
          <cell r="BC116">
            <v>0</v>
          </cell>
          <cell r="BD116">
            <v>0</v>
          </cell>
          <cell r="BE116">
            <v>0</v>
          </cell>
          <cell r="BF116">
            <v>0</v>
          </cell>
          <cell r="BG116">
            <v>0</v>
          </cell>
          <cell r="BH116">
            <v>0</v>
          </cell>
          <cell r="BJ116">
            <v>0</v>
          </cell>
          <cell r="BL116">
            <v>0</v>
          </cell>
          <cell r="BM116">
            <v>0</v>
          </cell>
          <cell r="BN116">
            <v>0</v>
          </cell>
          <cell r="BO116">
            <v>0</v>
          </cell>
          <cell r="BQ116">
            <v>0</v>
          </cell>
          <cell r="BR116">
            <v>0</v>
          </cell>
          <cell r="BS116">
            <v>0</v>
          </cell>
          <cell r="BT116">
            <v>0</v>
          </cell>
          <cell r="CB116">
            <v>0</v>
          </cell>
          <cell r="CC116">
            <v>0</v>
          </cell>
          <cell r="CD116">
            <v>0</v>
          </cell>
          <cell r="CE116">
            <v>0</v>
          </cell>
          <cell r="CF116">
            <v>0</v>
          </cell>
          <cell r="CI116">
            <v>0</v>
          </cell>
          <cell r="CJ116">
            <v>0</v>
          </cell>
          <cell r="CK116">
            <v>0</v>
          </cell>
          <cell r="CV116">
            <v>4.7996602982330541E-4</v>
          </cell>
          <cell r="DG116">
            <v>20880154</v>
          </cell>
          <cell r="DR116">
            <v>7296762.5800000038</v>
          </cell>
          <cell r="EC116">
            <v>2.8615641212215497</v>
          </cell>
          <cell r="EN116">
            <v>2.4095909012463064E-2</v>
          </cell>
        </row>
        <row r="117">
          <cell r="B117">
            <v>32300</v>
          </cell>
          <cell r="C117" t="str">
            <v>Cleveland County Schools</v>
          </cell>
          <cell r="D117">
            <v>5.4555043298767552E-3</v>
          </cell>
          <cell r="E117">
            <v>9439294.5451758802</v>
          </cell>
          <cell r="F117">
            <v>7360034.4312809603</v>
          </cell>
          <cell r="G117">
            <v>-193350</v>
          </cell>
          <cell r="H117">
            <v>-2633898.5873724981</v>
          </cell>
          <cell r="I117">
            <v>-108995.69318004954</v>
          </cell>
          <cell r="J117">
            <v>7965444.0263019828</v>
          </cell>
          <cell r="K117">
            <v>0</v>
          </cell>
          <cell r="L117">
            <v>-418517.65246798034</v>
          </cell>
          <cell r="M117">
            <v>75105.991728777022</v>
          </cell>
          <cell r="N117">
            <v>2831.2976371194386</v>
          </cell>
          <cell r="O117">
            <v>-1277.7336691004348</v>
          </cell>
          <cell r="P117">
            <v>0</v>
          </cell>
          <cell r="Q117">
            <v>0</v>
          </cell>
          <cell r="R117">
            <v>0</v>
          </cell>
          <cell r="S117">
            <v>21486670.625435088</v>
          </cell>
          <cell r="T117">
            <v>0</v>
          </cell>
          <cell r="U117">
            <v>39827220.131509915</v>
          </cell>
          <cell r="V117">
            <v>300423.96691510809</v>
          </cell>
          <cell r="W117">
            <v>0</v>
          </cell>
          <cell r="X117">
            <v>40127644.098425023</v>
          </cell>
          <cell r="Y117">
            <v>966750.41999999993</v>
          </cell>
          <cell r="Z117">
            <v>0</v>
          </cell>
          <cell r="AA117">
            <v>0</v>
          </cell>
          <cell r="AB117">
            <v>544978.46590024768</v>
          </cell>
          <cell r="AC117">
            <v>1511728.8859002476</v>
          </cell>
          <cell r="AD117" t="str">
            <v>N/A</v>
          </cell>
          <cell r="AE117">
            <v>7738204</v>
          </cell>
          <cell r="AF117">
            <v>7738203</v>
          </cell>
          <cell r="AG117">
            <v>7738203</v>
          </cell>
          <cell r="AH117">
            <v>7738203</v>
          </cell>
          <cell r="AI117">
            <v>7663097</v>
          </cell>
          <cell r="AJ117">
            <v>0</v>
          </cell>
          <cell r="AK117">
            <v>38615910</v>
          </cell>
          <cell r="AL117">
            <v>181830555</v>
          </cell>
          <cell r="AM117">
            <v>21486670.625435088</v>
          </cell>
          <cell r="AN117">
            <v>-4600158.58</v>
          </cell>
          <cell r="AO117">
            <v>39582665.632524781</v>
          </cell>
          <cell r="AP117">
            <v>0</v>
          </cell>
          <cell r="AQ117">
            <v>-966750.41999999993</v>
          </cell>
          <cell r="AR117">
            <v>0</v>
          </cell>
          <cell r="AS117">
            <v>0</v>
          </cell>
          <cell r="AT117">
            <v>237332982.25795987</v>
          </cell>
          <cell r="AU117">
            <v>5.4843412859807497E-3</v>
          </cell>
          <cell r="AV117">
            <v>0</v>
          </cell>
          <cell r="AW117">
            <v>0</v>
          </cell>
          <cell r="AY117">
            <v>0</v>
          </cell>
          <cell r="AZ117">
            <v>0</v>
          </cell>
          <cell r="BA117">
            <v>0</v>
          </cell>
          <cell r="BB117">
            <v>0</v>
          </cell>
          <cell r="BC117">
            <v>0</v>
          </cell>
          <cell r="BD117">
            <v>0</v>
          </cell>
          <cell r="BE117">
            <v>0</v>
          </cell>
          <cell r="BF117">
            <v>0</v>
          </cell>
          <cell r="BG117">
            <v>0</v>
          </cell>
          <cell r="BH117">
            <v>0</v>
          </cell>
          <cell r="BJ117">
            <v>0</v>
          </cell>
          <cell r="BL117">
            <v>0</v>
          </cell>
          <cell r="BM117">
            <v>0</v>
          </cell>
          <cell r="BN117">
            <v>0</v>
          </cell>
          <cell r="BO117">
            <v>0</v>
          </cell>
          <cell r="BQ117">
            <v>0</v>
          </cell>
          <cell r="BR117">
            <v>0</v>
          </cell>
          <cell r="BS117">
            <v>0</v>
          </cell>
          <cell r="BT117">
            <v>0</v>
          </cell>
          <cell r="CB117">
            <v>0</v>
          </cell>
          <cell r="CC117">
            <v>0</v>
          </cell>
          <cell r="CD117">
            <v>0</v>
          </cell>
          <cell r="CE117">
            <v>0</v>
          </cell>
          <cell r="CF117">
            <v>0</v>
          </cell>
          <cell r="CI117">
            <v>0</v>
          </cell>
          <cell r="CJ117">
            <v>0</v>
          </cell>
          <cell r="CK117">
            <v>0</v>
          </cell>
          <cell r="CV117">
            <v>5.4555043298767552E-3</v>
          </cell>
          <cell r="DG117">
            <v>237332982</v>
          </cell>
          <cell r="DR117">
            <v>80257674.519999996</v>
          </cell>
          <cell r="EC117">
            <v>2.9571375375554552</v>
          </cell>
          <cell r="EN117">
            <v>2.4095909012463064E-2</v>
          </cell>
        </row>
        <row r="118">
          <cell r="B118">
            <v>32305</v>
          </cell>
          <cell r="C118" t="str">
            <v>Cleveland Technical College</v>
          </cell>
          <cell r="D118">
            <v>5.6059646284835048E-4</v>
          </cell>
          <cell r="E118">
            <v>969962.59444429225</v>
          </cell>
          <cell r="F118">
            <v>756302.07935539982</v>
          </cell>
          <cell r="G118">
            <v>-53300</v>
          </cell>
          <cell r="H118">
            <v>-270654.02982012596</v>
          </cell>
          <cell r="I118">
            <v>-11200.174423437807</v>
          </cell>
          <cell r="J118">
            <v>818512.73065753246</v>
          </cell>
          <cell r="K118">
            <v>0</v>
          </cell>
          <cell r="L118">
            <v>-43006.017670678899</v>
          </cell>
          <cell r="M118">
            <v>7717.7380414288909</v>
          </cell>
          <cell r="N118">
            <v>290.93835228903691</v>
          </cell>
          <cell r="O118">
            <v>-131.29729756371216</v>
          </cell>
          <cell r="P118">
            <v>0</v>
          </cell>
          <cell r="Q118">
            <v>0</v>
          </cell>
          <cell r="R118">
            <v>0</v>
          </cell>
          <cell r="S118">
            <v>2174494.5616391362</v>
          </cell>
          <cell r="T118">
            <v>57607.459999999963</v>
          </cell>
          <cell r="U118">
            <v>4092563.6532876627</v>
          </cell>
          <cell r="V118">
            <v>30870.952165715564</v>
          </cell>
          <cell r="W118">
            <v>0</v>
          </cell>
          <cell r="X118">
            <v>4181042.065453378</v>
          </cell>
          <cell r="Y118">
            <v>324103</v>
          </cell>
          <cell r="Z118">
            <v>0</v>
          </cell>
          <cell r="AA118">
            <v>0</v>
          </cell>
          <cell r="AB118">
            <v>56000.872117189036</v>
          </cell>
          <cell r="AC118">
            <v>380103.87211718905</v>
          </cell>
          <cell r="AD118" t="str">
            <v>N/A</v>
          </cell>
          <cell r="AE118">
            <v>761730</v>
          </cell>
          <cell r="AF118">
            <v>761731</v>
          </cell>
          <cell r="AG118">
            <v>761731</v>
          </cell>
          <cell r="AH118">
            <v>761731</v>
          </cell>
          <cell r="AI118">
            <v>754014</v>
          </cell>
          <cell r="AJ118">
            <v>0</v>
          </cell>
          <cell r="AK118">
            <v>3800937</v>
          </cell>
          <cell r="AL118">
            <v>18975216</v>
          </cell>
          <cell r="AM118">
            <v>2174494.5616391362</v>
          </cell>
          <cell r="AN118">
            <v>-562796.46</v>
          </cell>
          <cell r="AO118">
            <v>4067433.7333361893</v>
          </cell>
          <cell r="AP118">
            <v>0</v>
          </cell>
          <cell r="AQ118">
            <v>-266495.54000000004</v>
          </cell>
          <cell r="AR118">
            <v>0</v>
          </cell>
          <cell r="AS118">
            <v>0</v>
          </cell>
          <cell r="AT118">
            <v>24387852.294975325</v>
          </cell>
          <cell r="AU118">
            <v>5.7232713659562172E-4</v>
          </cell>
          <cell r="AV118">
            <v>0</v>
          </cell>
          <cell r="AW118">
            <v>0</v>
          </cell>
          <cell r="AY118">
            <v>0</v>
          </cell>
          <cell r="AZ118">
            <v>0</v>
          </cell>
          <cell r="BA118">
            <v>0</v>
          </cell>
          <cell r="BB118">
            <v>0</v>
          </cell>
          <cell r="BC118">
            <v>0</v>
          </cell>
          <cell r="BD118">
            <v>0</v>
          </cell>
          <cell r="BE118">
            <v>0</v>
          </cell>
          <cell r="BF118">
            <v>0</v>
          </cell>
          <cell r="BG118">
            <v>0</v>
          </cell>
          <cell r="BH118">
            <v>0</v>
          </cell>
          <cell r="BJ118">
            <v>0</v>
          </cell>
          <cell r="BL118">
            <v>0</v>
          </cell>
          <cell r="BM118">
            <v>0</v>
          </cell>
          <cell r="BN118">
            <v>0</v>
          </cell>
          <cell r="BO118">
            <v>0</v>
          </cell>
          <cell r="BQ118">
            <v>0</v>
          </cell>
          <cell r="BR118">
            <v>0</v>
          </cell>
          <cell r="BS118">
            <v>0</v>
          </cell>
          <cell r="BT118">
            <v>0</v>
          </cell>
          <cell r="CB118">
            <v>0</v>
          </cell>
          <cell r="CC118">
            <v>0</v>
          </cell>
          <cell r="CD118">
            <v>0</v>
          </cell>
          <cell r="CE118">
            <v>0</v>
          </cell>
          <cell r="CF118">
            <v>0</v>
          </cell>
          <cell r="CI118">
            <v>0</v>
          </cell>
          <cell r="CJ118">
            <v>0</v>
          </cell>
          <cell r="CK118">
            <v>0</v>
          </cell>
          <cell r="CV118">
            <v>5.6059646284835048E-4</v>
          </cell>
          <cell r="DG118">
            <v>24387852</v>
          </cell>
          <cell r="DR118">
            <v>9632273.0300000012</v>
          </cell>
          <cell r="EC118">
            <v>2.5318896094455909</v>
          </cell>
          <cell r="EN118">
            <v>2.4095909012463064E-2</v>
          </cell>
        </row>
        <row r="119">
          <cell r="B119">
            <v>32400</v>
          </cell>
          <cell r="C119" t="str">
            <v>Columbus County Schools</v>
          </cell>
          <cell r="D119">
            <v>1.9323558965699554E-3</v>
          </cell>
          <cell r="E119">
            <v>3343426.2665580702</v>
          </cell>
          <cell r="F119">
            <v>2606946.1359157152</v>
          </cell>
          <cell r="G119">
            <v>127379</v>
          </cell>
          <cell r="H119">
            <v>-932934.73133243795</v>
          </cell>
          <cell r="I119">
            <v>-38606.599441917497</v>
          </cell>
          <cell r="J119">
            <v>2821384.019205844</v>
          </cell>
          <cell r="K119">
            <v>0</v>
          </cell>
          <cell r="L119">
            <v>-148240.20011058942</v>
          </cell>
          <cell r="M119">
            <v>26602.766162246859</v>
          </cell>
          <cell r="N119">
            <v>1002.8540632018754</v>
          </cell>
          <cell r="O119">
            <v>-452.57707453564927</v>
          </cell>
          <cell r="P119">
            <v>0</v>
          </cell>
          <cell r="Q119">
            <v>0</v>
          </cell>
          <cell r="R119">
            <v>0</v>
          </cell>
          <cell r="S119">
            <v>7806506.9339455971</v>
          </cell>
          <cell r="T119">
            <v>636893.70000000019</v>
          </cell>
          <cell r="U119">
            <v>14106920.09602922</v>
          </cell>
          <cell r="V119">
            <v>106411.06464898743</v>
          </cell>
          <cell r="W119">
            <v>0</v>
          </cell>
          <cell r="X119">
            <v>14850224.860678209</v>
          </cell>
          <cell r="Y119">
            <v>0</v>
          </cell>
          <cell r="Z119">
            <v>0</v>
          </cell>
          <cell r="AA119">
            <v>0</v>
          </cell>
          <cell r="AB119">
            <v>193032.99720958745</v>
          </cell>
          <cell r="AC119">
            <v>193032.99720958745</v>
          </cell>
          <cell r="AD119" t="str">
            <v>N/A</v>
          </cell>
          <cell r="AE119">
            <v>2936758</v>
          </cell>
          <cell r="AF119">
            <v>2936759</v>
          </cell>
          <cell r="AG119">
            <v>2936759</v>
          </cell>
          <cell r="AH119">
            <v>2936759</v>
          </cell>
          <cell r="AI119">
            <v>2910156</v>
          </cell>
          <cell r="AJ119">
            <v>0</v>
          </cell>
          <cell r="AK119">
            <v>14657191</v>
          </cell>
          <cell r="AL119">
            <v>63403607</v>
          </cell>
          <cell r="AM119">
            <v>7806506.9339455971</v>
          </cell>
          <cell r="AN119">
            <v>-1803256.7000000002</v>
          </cell>
          <cell r="AO119">
            <v>14020298.16346862</v>
          </cell>
          <cell r="AP119">
            <v>0</v>
          </cell>
          <cell r="AQ119">
            <v>636893.70000000019</v>
          </cell>
          <cell r="AR119">
            <v>0</v>
          </cell>
          <cell r="AS119">
            <v>0</v>
          </cell>
          <cell r="AT119">
            <v>84064049.09741421</v>
          </cell>
          <cell r="AU119">
            <v>1.9123684743540695E-3</v>
          </cell>
          <cell r="AV119">
            <v>0</v>
          </cell>
          <cell r="AW119">
            <v>0</v>
          </cell>
          <cell r="AY119">
            <v>0</v>
          </cell>
          <cell r="AZ119">
            <v>0</v>
          </cell>
          <cell r="BA119">
            <v>0</v>
          </cell>
          <cell r="BB119">
            <v>0</v>
          </cell>
          <cell r="BC119">
            <v>0</v>
          </cell>
          <cell r="BD119">
            <v>0</v>
          </cell>
          <cell r="BE119">
            <v>0</v>
          </cell>
          <cell r="BF119">
            <v>0</v>
          </cell>
          <cell r="BG119">
            <v>0</v>
          </cell>
          <cell r="BH119">
            <v>0</v>
          </cell>
          <cell r="BJ119">
            <v>0</v>
          </cell>
          <cell r="BL119">
            <v>0</v>
          </cell>
          <cell r="BM119">
            <v>0</v>
          </cell>
          <cell r="BN119">
            <v>0</v>
          </cell>
          <cell r="BO119">
            <v>0</v>
          </cell>
          <cell r="BQ119">
            <v>0</v>
          </cell>
          <cell r="BR119">
            <v>0</v>
          </cell>
          <cell r="BS119">
            <v>0</v>
          </cell>
          <cell r="BT119">
            <v>0</v>
          </cell>
          <cell r="CB119">
            <v>0</v>
          </cell>
          <cell r="CC119">
            <v>0</v>
          </cell>
          <cell r="CD119">
            <v>0</v>
          </cell>
          <cell r="CE119">
            <v>0</v>
          </cell>
          <cell r="CF119">
            <v>0</v>
          </cell>
          <cell r="CI119">
            <v>0</v>
          </cell>
          <cell r="CJ119">
            <v>0</v>
          </cell>
          <cell r="CK119">
            <v>0</v>
          </cell>
          <cell r="CV119">
            <v>1.9323558965699554E-3</v>
          </cell>
          <cell r="DG119">
            <v>84064050</v>
          </cell>
          <cell r="DR119">
            <v>31292810.310000047</v>
          </cell>
          <cell r="EC119">
            <v>2.6863694620976939</v>
          </cell>
          <cell r="EN119">
            <v>2.4095909012463064E-2</v>
          </cell>
        </row>
        <row r="120">
          <cell r="B120">
            <v>32405</v>
          </cell>
          <cell r="C120" t="str">
            <v>Southeastern Community College</v>
          </cell>
          <cell r="D120">
            <v>4.8297413324923321E-4</v>
          </cell>
          <cell r="E120">
            <v>835657.86511684908</v>
          </cell>
          <cell r="F120">
            <v>651581.60184481763</v>
          </cell>
          <cell r="G120">
            <v>-202811</v>
          </cell>
          <cell r="H120">
            <v>-233178.23804776452</v>
          </cell>
          <cell r="I120">
            <v>-9649.3554506486889</v>
          </cell>
          <cell r="J120">
            <v>705178.32851493533</v>
          </cell>
          <cell r="K120">
            <v>0</v>
          </cell>
          <cell r="L120">
            <v>-37051.240037196156</v>
          </cell>
          <cell r="M120">
            <v>6649.110524645047</v>
          </cell>
          <cell r="N120">
            <v>250.65391567368704</v>
          </cell>
          <cell r="O120">
            <v>-113.11737174830292</v>
          </cell>
          <cell r="P120">
            <v>0</v>
          </cell>
          <cell r="Q120">
            <v>0</v>
          </cell>
          <cell r="R120">
            <v>0</v>
          </cell>
          <cell r="S120">
            <v>1716514.6090095635</v>
          </cell>
          <cell r="T120">
            <v>52597.27999999997</v>
          </cell>
          <cell r="U120">
            <v>3525891.6425746768</v>
          </cell>
          <cell r="V120">
            <v>26596.442098580188</v>
          </cell>
          <cell r="W120">
            <v>0</v>
          </cell>
          <cell r="X120">
            <v>3605085.3646732569</v>
          </cell>
          <cell r="Y120">
            <v>1066649</v>
          </cell>
          <cell r="Z120">
            <v>0</v>
          </cell>
          <cell r="AA120">
            <v>0</v>
          </cell>
          <cell r="AB120">
            <v>48246.777253243439</v>
          </cell>
          <cell r="AC120">
            <v>1114895.7772532434</v>
          </cell>
          <cell r="AD120" t="str">
            <v>N/A</v>
          </cell>
          <cell r="AE120">
            <v>499367</v>
          </cell>
          <cell r="AF120">
            <v>499368</v>
          </cell>
          <cell r="AG120">
            <v>499368</v>
          </cell>
          <cell r="AH120">
            <v>499368</v>
          </cell>
          <cell r="AI120">
            <v>492719</v>
          </cell>
          <cell r="AJ120">
            <v>0</v>
          </cell>
          <cell r="AK120">
            <v>2490190</v>
          </cell>
          <cell r="AL120">
            <v>17292742</v>
          </cell>
          <cell r="AM120">
            <v>1716514.6090095635</v>
          </cell>
          <cell r="AN120">
            <v>-488429.27999999997</v>
          </cell>
          <cell r="AO120">
            <v>3504241.3074200135</v>
          </cell>
          <cell r="AP120">
            <v>0</v>
          </cell>
          <cell r="AQ120">
            <v>-1014051.72</v>
          </cell>
          <cell r="AR120">
            <v>0</v>
          </cell>
          <cell r="AS120">
            <v>0</v>
          </cell>
          <cell r="AT120">
            <v>21011016.916429579</v>
          </cell>
          <cell r="AU120">
            <v>5.2158064660007709E-4</v>
          </cell>
          <cell r="AV120">
            <v>0</v>
          </cell>
          <cell r="AW120">
            <v>0</v>
          </cell>
          <cell r="AY120">
            <v>0</v>
          </cell>
          <cell r="AZ120">
            <v>0</v>
          </cell>
          <cell r="BA120">
            <v>0</v>
          </cell>
          <cell r="BB120">
            <v>0</v>
          </cell>
          <cell r="BC120">
            <v>0</v>
          </cell>
          <cell r="BD120">
            <v>0</v>
          </cell>
          <cell r="BE120">
            <v>0</v>
          </cell>
          <cell r="BF120">
            <v>0</v>
          </cell>
          <cell r="BG120">
            <v>0</v>
          </cell>
          <cell r="BH120">
            <v>0</v>
          </cell>
          <cell r="BJ120">
            <v>0</v>
          </cell>
          <cell r="BL120">
            <v>0</v>
          </cell>
          <cell r="BM120">
            <v>0</v>
          </cell>
          <cell r="BN120">
            <v>0</v>
          </cell>
          <cell r="BO120">
            <v>0</v>
          </cell>
          <cell r="BQ120">
            <v>0</v>
          </cell>
          <cell r="BR120">
            <v>0</v>
          </cell>
          <cell r="BS120">
            <v>0</v>
          </cell>
          <cell r="BT120">
            <v>0</v>
          </cell>
          <cell r="CB120">
            <v>0</v>
          </cell>
          <cell r="CC120">
            <v>0</v>
          </cell>
          <cell r="CD120">
            <v>0</v>
          </cell>
          <cell r="CE120">
            <v>0</v>
          </cell>
          <cell r="CF120">
            <v>0</v>
          </cell>
          <cell r="CI120">
            <v>0</v>
          </cell>
          <cell r="CJ120">
            <v>0</v>
          </cell>
          <cell r="CK120">
            <v>0</v>
          </cell>
          <cell r="CV120">
            <v>4.8297413324923321E-4</v>
          </cell>
          <cell r="DG120">
            <v>21011016</v>
          </cell>
          <cell r="DR120">
            <v>8446599.3999999985</v>
          </cell>
          <cell r="EC120">
            <v>2.4875118381960917</v>
          </cell>
          <cell r="EN120">
            <v>2.4095909012463064E-2</v>
          </cell>
        </row>
        <row r="121">
          <cell r="B121">
            <v>32410</v>
          </cell>
          <cell r="C121" t="str">
            <v>Whiteville City Schools</v>
          </cell>
          <cell r="D121">
            <v>7.6961629253301256E-4</v>
          </cell>
          <cell r="E121">
            <v>1331615.6367434254</v>
          </cell>
          <cell r="F121">
            <v>1038291.250342704</v>
          </cell>
          <cell r="G121">
            <v>-125748</v>
          </cell>
          <cell r="H121">
            <v>-371568.07934700232</v>
          </cell>
          <cell r="I121">
            <v>-15376.188197286341</v>
          </cell>
          <cell r="J121">
            <v>1123697.3026177131</v>
          </cell>
          <cell r="K121">
            <v>0</v>
          </cell>
          <cell r="L121">
            <v>-59040.921714253927</v>
          </cell>
          <cell r="M121">
            <v>10595.316474182377</v>
          </cell>
          <cell r="N121">
            <v>399.41546349878286</v>
          </cell>
          <cell r="O121">
            <v>-180.25183187415686</v>
          </cell>
          <cell r="P121">
            <v>0</v>
          </cell>
          <cell r="Q121">
            <v>0</v>
          </cell>
          <cell r="R121">
            <v>0</v>
          </cell>
          <cell r="S121">
            <v>2932685.4805511069</v>
          </cell>
          <cell r="T121">
            <v>38754.969999999972</v>
          </cell>
          <cell r="U121">
            <v>5618486.5130885653</v>
          </cell>
          <cell r="V121">
            <v>42381.265896729506</v>
          </cell>
          <cell r="W121">
            <v>0</v>
          </cell>
          <cell r="X121">
            <v>5699622.7489852943</v>
          </cell>
          <cell r="Y121">
            <v>667493</v>
          </cell>
          <cell r="Z121">
            <v>0</v>
          </cell>
          <cell r="AA121">
            <v>0</v>
          </cell>
          <cell r="AB121">
            <v>76880.940986431699</v>
          </cell>
          <cell r="AC121">
            <v>744373.94098643167</v>
          </cell>
          <cell r="AD121" t="str">
            <v>N/A</v>
          </cell>
          <cell r="AE121">
            <v>993168</v>
          </cell>
          <cell r="AF121">
            <v>993168</v>
          </cell>
          <cell r="AG121">
            <v>993168</v>
          </cell>
          <cell r="AH121">
            <v>993168</v>
          </cell>
          <cell r="AI121">
            <v>982573</v>
          </cell>
          <cell r="AJ121">
            <v>0</v>
          </cell>
          <cell r="AK121">
            <v>4955245</v>
          </cell>
          <cell r="AL121">
            <v>26317230</v>
          </cell>
          <cell r="AM121">
            <v>2932685.4805511069</v>
          </cell>
          <cell r="AN121">
            <v>-724239.97</v>
          </cell>
          <cell r="AO121">
            <v>5583986.8379988633</v>
          </cell>
          <cell r="AP121">
            <v>0</v>
          </cell>
          <cell r="AQ121">
            <v>-628738.03</v>
          </cell>
          <cell r="AR121">
            <v>0</v>
          </cell>
          <cell r="AS121">
            <v>0</v>
          </cell>
          <cell r="AT121">
            <v>33480924.318549976</v>
          </cell>
          <cell r="AU121">
            <v>7.9377567437313972E-4</v>
          </cell>
          <cell r="AV121">
            <v>0</v>
          </cell>
          <cell r="AW121">
            <v>0</v>
          </cell>
          <cell r="AY121">
            <v>0</v>
          </cell>
          <cell r="AZ121">
            <v>0</v>
          </cell>
          <cell r="BA121">
            <v>0</v>
          </cell>
          <cell r="BB121">
            <v>0</v>
          </cell>
          <cell r="BC121">
            <v>0</v>
          </cell>
          <cell r="BD121">
            <v>0</v>
          </cell>
          <cell r="BE121">
            <v>0</v>
          </cell>
          <cell r="BF121">
            <v>0</v>
          </cell>
          <cell r="BG121">
            <v>0</v>
          </cell>
          <cell r="BH121">
            <v>0</v>
          </cell>
          <cell r="BJ121">
            <v>0</v>
          </cell>
          <cell r="BL121">
            <v>0</v>
          </cell>
          <cell r="BM121">
            <v>0</v>
          </cell>
          <cell r="BN121">
            <v>0</v>
          </cell>
          <cell r="BO121">
            <v>0</v>
          </cell>
          <cell r="BQ121">
            <v>0</v>
          </cell>
          <cell r="BR121">
            <v>0</v>
          </cell>
          <cell r="BS121">
            <v>0</v>
          </cell>
          <cell r="BT121">
            <v>0</v>
          </cell>
          <cell r="CB121">
            <v>0</v>
          </cell>
          <cell r="CC121">
            <v>0</v>
          </cell>
          <cell r="CD121">
            <v>0</v>
          </cell>
          <cell r="CE121">
            <v>0</v>
          </cell>
          <cell r="CF121">
            <v>0</v>
          </cell>
          <cell r="CI121">
            <v>0</v>
          </cell>
          <cell r="CJ121">
            <v>0</v>
          </cell>
          <cell r="CK121">
            <v>0</v>
          </cell>
          <cell r="CV121">
            <v>7.6961629253301256E-4</v>
          </cell>
          <cell r="DG121">
            <v>33480925</v>
          </cell>
          <cell r="DR121">
            <v>12612983.220000003</v>
          </cell>
          <cell r="EC121">
            <v>2.6544810546414088</v>
          </cell>
          <cell r="EN121">
            <v>2.4095909012463064E-2</v>
          </cell>
        </row>
        <row r="122">
          <cell r="B122">
            <v>32500</v>
          </cell>
          <cell r="C122" t="str">
            <v>New Bern/Craven County Board Of Education</v>
          </cell>
          <cell r="D122">
            <v>4.4128118097172247E-3</v>
          </cell>
          <cell r="E122">
            <v>7635193.3617276587</v>
          </cell>
          <cell r="F122">
            <v>5953335.3645080393</v>
          </cell>
          <cell r="G122">
            <v>203123</v>
          </cell>
          <cell r="H122">
            <v>-2130490.2515250039</v>
          </cell>
          <cell r="I122">
            <v>-88163.706412841129</v>
          </cell>
          <cell r="J122">
            <v>6443035.0236200765</v>
          </cell>
          <cell r="K122">
            <v>0</v>
          </cell>
          <cell r="L122">
            <v>-338527.75613644405</v>
          </cell>
          <cell r="M122">
            <v>60751.231644381944</v>
          </cell>
          <cell r="N122">
            <v>2290.1610730070452</v>
          </cell>
          <cell r="O122">
            <v>-1033.5246539538712</v>
          </cell>
          <cell r="P122">
            <v>0</v>
          </cell>
          <cell r="Q122">
            <v>0</v>
          </cell>
          <cell r="R122">
            <v>0</v>
          </cell>
          <cell r="S122">
            <v>17739512.903844923</v>
          </cell>
          <cell r="T122">
            <v>1038383</v>
          </cell>
          <cell r="U122">
            <v>32215175.118100382</v>
          </cell>
          <cell r="V122">
            <v>243004.92657752777</v>
          </cell>
          <cell r="W122">
            <v>0</v>
          </cell>
          <cell r="X122">
            <v>33496563.044677909</v>
          </cell>
          <cell r="Y122">
            <v>22772.470000000205</v>
          </cell>
          <cell r="Z122">
            <v>0</v>
          </cell>
          <cell r="AA122">
            <v>0</v>
          </cell>
          <cell r="AB122">
            <v>440818.53206420562</v>
          </cell>
          <cell r="AC122">
            <v>463591.00206420582</v>
          </cell>
          <cell r="AD122" t="str">
            <v>N/A</v>
          </cell>
          <cell r="AE122">
            <v>6618746</v>
          </cell>
          <cell r="AF122">
            <v>6618745</v>
          </cell>
          <cell r="AG122">
            <v>6618745</v>
          </cell>
          <cell r="AH122">
            <v>6618745</v>
          </cell>
          <cell r="AI122">
            <v>6557993</v>
          </cell>
          <cell r="AJ122">
            <v>0</v>
          </cell>
          <cell r="AK122">
            <v>33032974</v>
          </cell>
          <cell r="AL122">
            <v>145058479</v>
          </cell>
          <cell r="AM122">
            <v>17739512.903844923</v>
          </cell>
          <cell r="AN122">
            <v>-3858650.53</v>
          </cell>
          <cell r="AO122">
            <v>32017361.51261371</v>
          </cell>
          <cell r="AP122">
            <v>0</v>
          </cell>
          <cell r="AQ122">
            <v>1015610.5299999998</v>
          </cell>
          <cell r="AR122">
            <v>0</v>
          </cell>
          <cell r="AS122">
            <v>0</v>
          </cell>
          <cell r="AT122">
            <v>191972313.41645864</v>
          </cell>
          <cell r="AU122">
            <v>4.3752283820829383E-3</v>
          </cell>
          <cell r="AV122">
            <v>0</v>
          </cell>
          <cell r="AW122">
            <v>0</v>
          </cell>
          <cell r="AY122">
            <v>0</v>
          </cell>
          <cell r="AZ122">
            <v>0</v>
          </cell>
          <cell r="BA122">
            <v>0</v>
          </cell>
          <cell r="BB122">
            <v>0</v>
          </cell>
          <cell r="BC122">
            <v>0</v>
          </cell>
          <cell r="BD122">
            <v>0</v>
          </cell>
          <cell r="BE122">
            <v>0</v>
          </cell>
          <cell r="BF122">
            <v>0</v>
          </cell>
          <cell r="BG122">
            <v>0</v>
          </cell>
          <cell r="BH122">
            <v>0</v>
          </cell>
          <cell r="BJ122">
            <v>0</v>
          </cell>
          <cell r="BL122">
            <v>0</v>
          </cell>
          <cell r="BM122">
            <v>0</v>
          </cell>
          <cell r="BN122">
            <v>0</v>
          </cell>
          <cell r="BO122">
            <v>0</v>
          </cell>
          <cell r="BQ122">
            <v>0</v>
          </cell>
          <cell r="BR122">
            <v>0</v>
          </cell>
          <cell r="BS122">
            <v>0</v>
          </cell>
          <cell r="BT122">
            <v>0</v>
          </cell>
          <cell r="CB122">
            <v>0</v>
          </cell>
          <cell r="CC122">
            <v>0</v>
          </cell>
          <cell r="CD122">
            <v>0</v>
          </cell>
          <cell r="CE122">
            <v>0</v>
          </cell>
          <cell r="CF122">
            <v>0</v>
          </cell>
          <cell r="CI122">
            <v>0</v>
          </cell>
          <cell r="CJ122">
            <v>0</v>
          </cell>
          <cell r="CK122">
            <v>0</v>
          </cell>
          <cell r="CV122">
            <v>4.4128118097172247E-3</v>
          </cell>
          <cell r="DG122">
            <v>191972313</v>
          </cell>
          <cell r="DR122">
            <v>66814500.440000139</v>
          </cell>
          <cell r="EC122">
            <v>2.8732133254875176</v>
          </cell>
          <cell r="EN122">
            <v>2.4095909012463064E-2</v>
          </cell>
        </row>
        <row r="123">
          <cell r="B123">
            <v>32505</v>
          </cell>
          <cell r="C123" t="str">
            <v>Craven Community College</v>
          </cell>
          <cell r="D123">
            <v>6.4352270126326599E-4</v>
          </cell>
          <cell r="E123">
            <v>1113444.322730181</v>
          </cell>
          <cell r="F123">
            <v>868178.07341297949</v>
          </cell>
          <cell r="G123">
            <v>-29195</v>
          </cell>
          <cell r="H123">
            <v>-310690.53039093479</v>
          </cell>
          <cell r="I123">
            <v>-12856.96035784691</v>
          </cell>
          <cell r="J123">
            <v>939591.23604673182</v>
          </cell>
          <cell r="K123">
            <v>0</v>
          </cell>
          <cell r="L123">
            <v>-49367.683344619356</v>
          </cell>
          <cell r="M123">
            <v>8859.3845327313629</v>
          </cell>
          <cell r="N123">
            <v>333.97541150160976</v>
          </cell>
          <cell r="O123">
            <v>-150.71945186286953</v>
          </cell>
          <cell r="P123">
            <v>0</v>
          </cell>
          <cell r="Q123">
            <v>0</v>
          </cell>
          <cell r="R123">
            <v>0</v>
          </cell>
          <cell r="S123">
            <v>2528146.0985888615</v>
          </cell>
          <cell r="T123">
            <v>6751.8899999998976</v>
          </cell>
          <cell r="U123">
            <v>4697956.1802336592</v>
          </cell>
          <cell r="V123">
            <v>35437.538130925452</v>
          </cell>
          <cell r="W123">
            <v>0</v>
          </cell>
          <cell r="X123">
            <v>4740145.6083645839</v>
          </cell>
          <cell r="Y123">
            <v>152725</v>
          </cell>
          <cell r="Z123">
            <v>0</v>
          </cell>
          <cell r="AA123">
            <v>0</v>
          </cell>
          <cell r="AB123">
            <v>64284.801789234552</v>
          </cell>
          <cell r="AC123">
            <v>217009.80178923457</v>
          </cell>
          <cell r="AD123" t="str">
            <v>N/A</v>
          </cell>
          <cell r="AE123">
            <v>906399</v>
          </cell>
          <cell r="AF123">
            <v>906399</v>
          </cell>
          <cell r="AG123">
            <v>906399</v>
          </cell>
          <cell r="AH123">
            <v>906399</v>
          </cell>
          <cell r="AI123">
            <v>897539</v>
          </cell>
          <cell r="AJ123">
            <v>0</v>
          </cell>
          <cell r="AK123">
            <v>4523135</v>
          </cell>
          <cell r="AL123">
            <v>21518939</v>
          </cell>
          <cell r="AM123">
            <v>2528146.0985888615</v>
          </cell>
          <cell r="AN123">
            <v>-574795.8899999999</v>
          </cell>
          <cell r="AO123">
            <v>4669108.9165753499</v>
          </cell>
          <cell r="AP123">
            <v>0</v>
          </cell>
          <cell r="AQ123">
            <v>-145973.1100000001</v>
          </cell>
          <cell r="AR123">
            <v>0</v>
          </cell>
          <cell r="AS123">
            <v>0</v>
          </cell>
          <cell r="AT123">
            <v>27995425.015164211</v>
          </cell>
          <cell r="AU123">
            <v>6.4905044886177563E-4</v>
          </cell>
          <cell r="AV123">
            <v>0</v>
          </cell>
          <cell r="AW123">
            <v>0</v>
          </cell>
          <cell r="AY123">
            <v>0</v>
          </cell>
          <cell r="AZ123">
            <v>0</v>
          </cell>
          <cell r="BA123">
            <v>0</v>
          </cell>
          <cell r="BB123">
            <v>0</v>
          </cell>
          <cell r="BC123">
            <v>0</v>
          </cell>
          <cell r="BD123">
            <v>0</v>
          </cell>
          <cell r="BE123">
            <v>0</v>
          </cell>
          <cell r="BF123">
            <v>0</v>
          </cell>
          <cell r="BG123">
            <v>0</v>
          </cell>
          <cell r="BH123">
            <v>0</v>
          </cell>
          <cell r="BJ123">
            <v>0</v>
          </cell>
          <cell r="BL123">
            <v>0</v>
          </cell>
          <cell r="BM123">
            <v>0</v>
          </cell>
          <cell r="BN123">
            <v>0</v>
          </cell>
          <cell r="BO123">
            <v>0</v>
          </cell>
          <cell r="BQ123">
            <v>0</v>
          </cell>
          <cell r="BR123">
            <v>0</v>
          </cell>
          <cell r="BS123">
            <v>0</v>
          </cell>
          <cell r="BT123">
            <v>0</v>
          </cell>
          <cell r="CB123">
            <v>0</v>
          </cell>
          <cell r="CC123">
            <v>0</v>
          </cell>
          <cell r="CD123">
            <v>0</v>
          </cell>
          <cell r="CE123">
            <v>0</v>
          </cell>
          <cell r="CF123">
            <v>0</v>
          </cell>
          <cell r="CI123">
            <v>0</v>
          </cell>
          <cell r="CJ123">
            <v>0</v>
          </cell>
          <cell r="CK123">
            <v>0</v>
          </cell>
          <cell r="CV123">
            <v>6.4352270126326599E-4</v>
          </cell>
          <cell r="DG123">
            <v>27995425</v>
          </cell>
          <cell r="DR123">
            <v>10117872.079999996</v>
          </cell>
          <cell r="EC123">
            <v>2.7669281424637275</v>
          </cell>
          <cell r="EN123">
            <v>2.4095909012463064E-2</v>
          </cell>
        </row>
        <row r="124">
          <cell r="B124">
            <v>32600</v>
          </cell>
          <cell r="C124" t="str">
            <v>Cumberland County Schools</v>
          </cell>
          <cell r="D124">
            <v>1.5847388067665232E-2</v>
          </cell>
          <cell r="E124">
            <v>27419676.476689201</v>
          </cell>
          <cell r="F124">
            <v>21379750.573220074</v>
          </cell>
          <cell r="G124">
            <v>-3646100</v>
          </cell>
          <cell r="H124">
            <v>-7651064.048538697</v>
          </cell>
          <cell r="I124">
            <v>-316615.46634084312</v>
          </cell>
          <cell r="J124">
            <v>23138370.897219144</v>
          </cell>
          <cell r="K124">
            <v>0</v>
          </cell>
          <cell r="L124">
            <v>-1215728.418636993</v>
          </cell>
          <cell r="M124">
            <v>218171.17633186316</v>
          </cell>
          <cell r="N124">
            <v>8224.4774593569018</v>
          </cell>
          <cell r="O124">
            <v>-3711.6167593278738</v>
          </cell>
          <cell r="P124">
            <v>0</v>
          </cell>
          <cell r="Q124">
            <v>0</v>
          </cell>
          <cell r="R124">
            <v>0</v>
          </cell>
          <cell r="S124">
            <v>59330974.050643779</v>
          </cell>
          <cell r="T124">
            <v>0</v>
          </cell>
          <cell r="U124">
            <v>115691854.48609573</v>
          </cell>
          <cell r="V124">
            <v>872684.70532745263</v>
          </cell>
          <cell r="W124">
            <v>0</v>
          </cell>
          <cell r="X124">
            <v>116564539.19142318</v>
          </cell>
          <cell r="Y124">
            <v>18230496.579999998</v>
          </cell>
          <cell r="Z124">
            <v>0</v>
          </cell>
          <cell r="AA124">
            <v>0</v>
          </cell>
          <cell r="AB124">
            <v>1583077.3317042156</v>
          </cell>
          <cell r="AC124">
            <v>19813573.911704212</v>
          </cell>
          <cell r="AD124" t="str">
            <v>N/A</v>
          </cell>
          <cell r="AE124">
            <v>19393827</v>
          </cell>
          <cell r="AF124">
            <v>19393828</v>
          </cell>
          <cell r="AG124">
            <v>19393828</v>
          </cell>
          <cell r="AH124">
            <v>19393828</v>
          </cell>
          <cell r="AI124">
            <v>19175656</v>
          </cell>
          <cell r="AJ124">
            <v>0</v>
          </cell>
          <cell r="AK124">
            <v>96750967</v>
          </cell>
          <cell r="AL124">
            <v>546859441</v>
          </cell>
          <cell r="AM124">
            <v>59330974.050643779</v>
          </cell>
          <cell r="AN124">
            <v>-13526134.420000002</v>
          </cell>
          <cell r="AO124">
            <v>114981461.85971896</v>
          </cell>
          <cell r="AP124">
            <v>0</v>
          </cell>
          <cell r="AQ124">
            <v>-18230496.579999998</v>
          </cell>
          <cell r="AR124">
            <v>0</v>
          </cell>
          <cell r="AS124">
            <v>0</v>
          </cell>
          <cell r="AT124">
            <v>689415245.91036272</v>
          </cell>
          <cell r="AU124">
            <v>1.6494278452513444E-2</v>
          </cell>
          <cell r="AV124">
            <v>0</v>
          </cell>
          <cell r="AW124">
            <v>0</v>
          </cell>
          <cell r="AY124">
            <v>0</v>
          </cell>
          <cell r="AZ124">
            <v>0</v>
          </cell>
          <cell r="BA124">
            <v>0</v>
          </cell>
          <cell r="BB124">
            <v>0</v>
          </cell>
          <cell r="BC124">
            <v>0</v>
          </cell>
          <cell r="BD124">
            <v>0</v>
          </cell>
          <cell r="BE124">
            <v>0</v>
          </cell>
          <cell r="BF124">
            <v>0</v>
          </cell>
          <cell r="BG124">
            <v>0</v>
          </cell>
          <cell r="BH124">
            <v>0</v>
          </cell>
          <cell r="BJ124">
            <v>0</v>
          </cell>
          <cell r="BL124">
            <v>0</v>
          </cell>
          <cell r="BM124">
            <v>0</v>
          </cell>
          <cell r="BN124">
            <v>0</v>
          </cell>
          <cell r="BO124">
            <v>0</v>
          </cell>
          <cell r="BQ124">
            <v>0</v>
          </cell>
          <cell r="BR124">
            <v>0</v>
          </cell>
          <cell r="BS124">
            <v>0</v>
          </cell>
          <cell r="BT124">
            <v>0</v>
          </cell>
          <cell r="CB124">
            <v>0</v>
          </cell>
          <cell r="CC124">
            <v>0</v>
          </cell>
          <cell r="CD124">
            <v>0</v>
          </cell>
          <cell r="CE124">
            <v>0</v>
          </cell>
          <cell r="CF124">
            <v>0</v>
          </cell>
          <cell r="CI124">
            <v>0</v>
          </cell>
          <cell r="CJ124">
            <v>0</v>
          </cell>
          <cell r="CK124">
            <v>0</v>
          </cell>
          <cell r="CV124">
            <v>1.5847388067665232E-2</v>
          </cell>
          <cell r="DG124">
            <v>689415246</v>
          </cell>
          <cell r="DR124">
            <v>236983812.70999849</v>
          </cell>
          <cell r="EC124">
            <v>2.9091237840942759</v>
          </cell>
          <cell r="EN124">
            <v>2.4095909012463064E-2</v>
          </cell>
        </row>
        <row r="125">
          <cell r="B125">
            <v>32605</v>
          </cell>
          <cell r="C125" t="str">
            <v>Fayetteville Technical Community College</v>
          </cell>
          <cell r="D125">
            <v>2.2536259926727435E-3</v>
          </cell>
          <cell r="E125">
            <v>3899298.4430429316</v>
          </cell>
          <cell r="F125">
            <v>3040372.4199181115</v>
          </cell>
          <cell r="G125">
            <v>178428</v>
          </cell>
          <cell r="H125">
            <v>-1088042.8205435553</v>
          </cell>
          <cell r="I125">
            <v>-45025.264831105371</v>
          </cell>
          <cell r="J125">
            <v>3290462.3689043089</v>
          </cell>
          <cell r="K125">
            <v>0</v>
          </cell>
          <cell r="L125">
            <v>-172886.3553143813</v>
          </cell>
          <cell r="M125">
            <v>31025.695321785166</v>
          </cell>
          <cell r="N125">
            <v>1169.5868176773004</v>
          </cell>
          <cell r="O125">
            <v>-527.8217437438833</v>
          </cell>
          <cell r="P125">
            <v>0</v>
          </cell>
          <cell r="Q125">
            <v>0</v>
          </cell>
          <cell r="R125">
            <v>0</v>
          </cell>
          <cell r="S125">
            <v>9134274.2515720297</v>
          </cell>
          <cell r="T125">
            <v>892140.70000000019</v>
          </cell>
          <cell r="U125">
            <v>16452311.844521543</v>
          </cell>
          <cell r="V125">
            <v>124102.78128714066</v>
          </cell>
          <cell r="W125">
            <v>0</v>
          </cell>
          <cell r="X125">
            <v>17468555.325808685</v>
          </cell>
          <cell r="Y125">
            <v>0</v>
          </cell>
          <cell r="Z125">
            <v>0</v>
          </cell>
          <cell r="AA125">
            <v>0</v>
          </cell>
          <cell r="AB125">
            <v>225126.32415552685</v>
          </cell>
          <cell r="AC125">
            <v>225126.32415552685</v>
          </cell>
          <cell r="AD125" t="str">
            <v>N/A</v>
          </cell>
          <cell r="AE125">
            <v>3454891</v>
          </cell>
          <cell r="AF125">
            <v>3454891</v>
          </cell>
          <cell r="AG125">
            <v>3454891</v>
          </cell>
          <cell r="AH125">
            <v>3454891</v>
          </cell>
          <cell r="AI125">
            <v>3423865</v>
          </cell>
          <cell r="AJ125">
            <v>0</v>
          </cell>
          <cell r="AK125">
            <v>17243429</v>
          </cell>
          <cell r="AL125">
            <v>73794870</v>
          </cell>
          <cell r="AM125">
            <v>9134274.2515720297</v>
          </cell>
          <cell r="AN125">
            <v>-2132182.7000000002</v>
          </cell>
          <cell r="AO125">
            <v>16351288.301653158</v>
          </cell>
          <cell r="AP125">
            <v>0</v>
          </cell>
          <cell r="AQ125">
            <v>892140.70000000019</v>
          </cell>
          <cell r="AR125">
            <v>0</v>
          </cell>
          <cell r="AS125">
            <v>0</v>
          </cell>
          <cell r="AT125">
            <v>98040390.553225189</v>
          </cell>
          <cell r="AU125">
            <v>2.2257879065669993E-3</v>
          </cell>
          <cell r="AV125">
            <v>0</v>
          </cell>
          <cell r="AW125">
            <v>0</v>
          </cell>
          <cell r="AY125">
            <v>0</v>
          </cell>
          <cell r="AZ125">
            <v>0</v>
          </cell>
          <cell r="BA125">
            <v>0</v>
          </cell>
          <cell r="BB125">
            <v>0</v>
          </cell>
          <cell r="BC125">
            <v>0</v>
          </cell>
          <cell r="BD125">
            <v>0</v>
          </cell>
          <cell r="BE125">
            <v>0</v>
          </cell>
          <cell r="BF125">
            <v>0</v>
          </cell>
          <cell r="BG125">
            <v>0</v>
          </cell>
          <cell r="BH125">
            <v>0</v>
          </cell>
          <cell r="BJ125">
            <v>0</v>
          </cell>
          <cell r="BL125">
            <v>0</v>
          </cell>
          <cell r="BM125">
            <v>0</v>
          </cell>
          <cell r="BN125">
            <v>0</v>
          </cell>
          <cell r="BO125">
            <v>0</v>
          </cell>
          <cell r="BQ125">
            <v>0</v>
          </cell>
          <cell r="BR125">
            <v>0</v>
          </cell>
          <cell r="BS125">
            <v>0</v>
          </cell>
          <cell r="BT125">
            <v>0</v>
          </cell>
          <cell r="CB125">
            <v>0</v>
          </cell>
          <cell r="CC125">
            <v>0</v>
          </cell>
          <cell r="CD125">
            <v>0</v>
          </cell>
          <cell r="CE125">
            <v>0</v>
          </cell>
          <cell r="CF125">
            <v>0</v>
          </cell>
          <cell r="CI125">
            <v>0</v>
          </cell>
          <cell r="CJ125">
            <v>0</v>
          </cell>
          <cell r="CK125">
            <v>0</v>
          </cell>
          <cell r="CV125">
            <v>2.2536259926727435E-3</v>
          </cell>
          <cell r="DG125">
            <v>98040391</v>
          </cell>
          <cell r="DR125">
            <v>37431550.5</v>
          </cell>
          <cell r="EC125">
            <v>2.6191912889101401</v>
          </cell>
          <cell r="EN125">
            <v>2.4095909012463064E-2</v>
          </cell>
        </row>
        <row r="126">
          <cell r="B126">
            <v>32700</v>
          </cell>
          <cell r="C126" t="str">
            <v>Currituck County Schools</v>
          </cell>
          <cell r="D126">
            <v>1.3479360943731201E-3</v>
          </cell>
          <cell r="E126">
            <v>2332243.7401766866</v>
          </cell>
          <cell r="F126">
            <v>1818503.9303188797</v>
          </cell>
          <cell r="G126">
            <v>53234</v>
          </cell>
          <cell r="H126">
            <v>-650778.87582172779</v>
          </cell>
          <cell r="I126">
            <v>-26930.457769781653</v>
          </cell>
          <cell r="J126">
            <v>1968087.4327165554</v>
          </cell>
          <cell r="K126">
            <v>0</v>
          </cell>
          <cell r="L126">
            <v>-103406.58091030065</v>
          </cell>
          <cell r="M126">
            <v>18557.051930191505</v>
          </cell>
          <cell r="N126">
            <v>699.55187425776182</v>
          </cell>
          <cell r="O126">
            <v>-315.70011266312844</v>
          </cell>
          <cell r="P126">
            <v>0</v>
          </cell>
          <cell r="Q126">
            <v>0</v>
          </cell>
          <cell r="R126">
            <v>0</v>
          </cell>
          <cell r="S126">
            <v>5409894.0924020978</v>
          </cell>
          <cell r="T126">
            <v>266165.64999999991</v>
          </cell>
          <cell r="U126">
            <v>9840437.1635827776</v>
          </cell>
          <cell r="V126">
            <v>74228.207720766019</v>
          </cell>
          <cell r="W126">
            <v>0</v>
          </cell>
          <cell r="X126">
            <v>10180831.021303544</v>
          </cell>
          <cell r="Y126">
            <v>0</v>
          </cell>
          <cell r="Z126">
            <v>0</v>
          </cell>
          <cell r="AA126">
            <v>0</v>
          </cell>
          <cell r="AB126">
            <v>134652.28884890824</v>
          </cell>
          <cell r="AC126">
            <v>134652.28884890824</v>
          </cell>
          <cell r="AD126" t="str">
            <v>N/A</v>
          </cell>
          <cell r="AE126">
            <v>2012947</v>
          </cell>
          <cell r="AF126">
            <v>2012948</v>
          </cell>
          <cell r="AG126">
            <v>2012948</v>
          </cell>
          <cell r="AH126">
            <v>2012948</v>
          </cell>
          <cell r="AI126">
            <v>1994391</v>
          </cell>
          <cell r="AJ126">
            <v>0</v>
          </cell>
          <cell r="AK126">
            <v>10046182</v>
          </cell>
          <cell r="AL126">
            <v>44391503</v>
          </cell>
          <cell r="AM126">
            <v>5409894.0924020978</v>
          </cell>
          <cell r="AN126">
            <v>-1207773.6499999999</v>
          </cell>
          <cell r="AO126">
            <v>9780013.0824546367</v>
          </cell>
          <cell r="AP126">
            <v>0</v>
          </cell>
          <cell r="AQ126">
            <v>266165.64999999991</v>
          </cell>
          <cell r="AR126">
            <v>0</v>
          </cell>
          <cell r="AS126">
            <v>0</v>
          </cell>
          <cell r="AT126">
            <v>58639802.174856737</v>
          </cell>
          <cell r="AU126">
            <v>1.3389287312515854E-3</v>
          </cell>
          <cell r="AV126">
            <v>0</v>
          </cell>
          <cell r="AW126">
            <v>0</v>
          </cell>
          <cell r="AY126">
            <v>0</v>
          </cell>
          <cell r="AZ126">
            <v>0</v>
          </cell>
          <cell r="BA126">
            <v>0</v>
          </cell>
          <cell r="BB126">
            <v>0</v>
          </cell>
          <cell r="BC126">
            <v>0</v>
          </cell>
          <cell r="BD126">
            <v>0</v>
          </cell>
          <cell r="BE126">
            <v>0</v>
          </cell>
          <cell r="BF126">
            <v>0</v>
          </cell>
          <cell r="BG126">
            <v>0</v>
          </cell>
          <cell r="BH126">
            <v>0</v>
          </cell>
          <cell r="BJ126">
            <v>0</v>
          </cell>
          <cell r="BL126">
            <v>0</v>
          </cell>
          <cell r="BM126">
            <v>0</v>
          </cell>
          <cell r="BN126">
            <v>0</v>
          </cell>
          <cell r="BO126">
            <v>0</v>
          </cell>
          <cell r="BQ126">
            <v>0</v>
          </cell>
          <cell r="BR126">
            <v>0</v>
          </cell>
          <cell r="BS126">
            <v>0</v>
          </cell>
          <cell r="BT126">
            <v>0</v>
          </cell>
          <cell r="CB126">
            <v>0</v>
          </cell>
          <cell r="CC126">
            <v>0</v>
          </cell>
          <cell r="CD126">
            <v>0</v>
          </cell>
          <cell r="CE126">
            <v>0</v>
          </cell>
          <cell r="CF126">
            <v>0</v>
          </cell>
          <cell r="CI126">
            <v>0</v>
          </cell>
          <cell r="CJ126">
            <v>0</v>
          </cell>
          <cell r="CK126">
            <v>0</v>
          </cell>
          <cell r="CV126">
            <v>1.3479360943731201E-3</v>
          </cell>
          <cell r="DG126">
            <v>58639802</v>
          </cell>
          <cell r="DR126">
            <v>20714552.539999999</v>
          </cell>
          <cell r="EC126">
            <v>2.8308505282344854</v>
          </cell>
          <cell r="EN126">
            <v>2.4095909012463064E-2</v>
          </cell>
        </row>
        <row r="127">
          <cell r="B127">
            <v>32800</v>
          </cell>
          <cell r="C127" t="str">
            <v>Dare County Schools</v>
          </cell>
          <cell r="D127">
            <v>1.8069744625663399E-3</v>
          </cell>
          <cell r="E127">
            <v>3126487.1506682299</v>
          </cell>
          <cell r="F127">
            <v>2437793.7321212087</v>
          </cell>
          <cell r="G127">
            <v>-99826</v>
          </cell>
          <cell r="H127">
            <v>-872401.00943686359</v>
          </cell>
          <cell r="I127">
            <v>-36101.599814973481</v>
          </cell>
          <cell r="J127">
            <v>2638317.755464864</v>
          </cell>
          <cell r="K127">
            <v>0</v>
          </cell>
          <cell r="L127">
            <v>-138621.59470780575</v>
          </cell>
          <cell r="M127">
            <v>24876.638498183493</v>
          </cell>
          <cell r="N127">
            <v>937.78360658267911</v>
          </cell>
          <cell r="O127">
            <v>-423.21148887766248</v>
          </cell>
          <cell r="P127">
            <v>0</v>
          </cell>
          <cell r="Q127">
            <v>0</v>
          </cell>
          <cell r="R127">
            <v>0</v>
          </cell>
          <cell r="S127">
            <v>7081039.6449105479</v>
          </cell>
          <cell r="T127">
            <v>184499.01</v>
          </cell>
          <cell r="U127">
            <v>13191588.777324321</v>
          </cell>
          <cell r="V127">
            <v>99506.553992733971</v>
          </cell>
          <cell r="W127">
            <v>0</v>
          </cell>
          <cell r="X127">
            <v>13475594.341317054</v>
          </cell>
          <cell r="Y127">
            <v>683630</v>
          </cell>
          <cell r="Z127">
            <v>0</v>
          </cell>
          <cell r="AA127">
            <v>0</v>
          </cell>
          <cell r="AB127">
            <v>180507.9990748674</v>
          </cell>
          <cell r="AC127">
            <v>864137.99907486746</v>
          </cell>
          <cell r="AD127" t="str">
            <v>N/A</v>
          </cell>
          <cell r="AE127">
            <v>2527267</v>
          </cell>
          <cell r="AF127">
            <v>2527267</v>
          </cell>
          <cell r="AG127">
            <v>2527267</v>
          </cell>
          <cell r="AH127">
            <v>2527267</v>
          </cell>
          <cell r="AI127">
            <v>2502390</v>
          </cell>
          <cell r="AJ127">
            <v>0</v>
          </cell>
          <cell r="AK127">
            <v>12611458</v>
          </cell>
          <cell r="AL127">
            <v>60729678</v>
          </cell>
          <cell r="AM127">
            <v>7081039.6449105479</v>
          </cell>
          <cell r="AN127">
            <v>-1812643.01</v>
          </cell>
          <cell r="AO127">
            <v>13110587.332242187</v>
          </cell>
          <cell r="AP127">
            <v>0</v>
          </cell>
          <cell r="AQ127">
            <v>-499130.99</v>
          </cell>
          <cell r="AR127">
            <v>0</v>
          </cell>
          <cell r="AS127">
            <v>0</v>
          </cell>
          <cell r="AT127">
            <v>78609530.977152735</v>
          </cell>
          <cell r="AU127">
            <v>1.8317178800786238E-3</v>
          </cell>
          <cell r="AV127">
            <v>0</v>
          </cell>
          <cell r="AW127">
            <v>0</v>
          </cell>
          <cell r="AY127">
            <v>0</v>
          </cell>
          <cell r="AZ127">
            <v>0</v>
          </cell>
          <cell r="BA127">
            <v>0</v>
          </cell>
          <cell r="BB127">
            <v>0</v>
          </cell>
          <cell r="BC127">
            <v>0</v>
          </cell>
          <cell r="BD127">
            <v>0</v>
          </cell>
          <cell r="BE127">
            <v>0</v>
          </cell>
          <cell r="BF127">
            <v>0</v>
          </cell>
          <cell r="BG127">
            <v>0</v>
          </cell>
          <cell r="BH127">
            <v>0</v>
          </cell>
          <cell r="BJ127">
            <v>0</v>
          </cell>
          <cell r="BL127">
            <v>0</v>
          </cell>
          <cell r="BM127">
            <v>0</v>
          </cell>
          <cell r="BN127">
            <v>0</v>
          </cell>
          <cell r="BO127">
            <v>0</v>
          </cell>
          <cell r="BQ127">
            <v>0</v>
          </cell>
          <cell r="BR127">
            <v>0</v>
          </cell>
          <cell r="BS127">
            <v>0</v>
          </cell>
          <cell r="BT127">
            <v>0</v>
          </cell>
          <cell r="CB127">
            <v>0</v>
          </cell>
          <cell r="CC127">
            <v>0</v>
          </cell>
          <cell r="CD127">
            <v>0</v>
          </cell>
          <cell r="CE127">
            <v>0</v>
          </cell>
          <cell r="CF127">
            <v>0</v>
          </cell>
          <cell r="CI127">
            <v>0</v>
          </cell>
          <cell r="CJ127">
            <v>0</v>
          </cell>
          <cell r="CK127">
            <v>0</v>
          </cell>
          <cell r="CV127">
            <v>1.8069744625663399E-3</v>
          </cell>
          <cell r="DG127">
            <v>78609531</v>
          </cell>
          <cell r="DR127">
            <v>31559927.679999985</v>
          </cell>
          <cell r="EC127">
            <v>2.4908020004689706</v>
          </cell>
          <cell r="EN127">
            <v>2.4095909012463064E-2</v>
          </cell>
        </row>
        <row r="128">
          <cell r="B128">
            <v>32900</v>
          </cell>
          <cell r="C128" t="str">
            <v>Davidson County Schools</v>
          </cell>
          <cell r="D128">
            <v>5.7509570539636679E-3</v>
          </cell>
          <cell r="E128">
            <v>9950496.6482624616</v>
          </cell>
          <cell r="F128">
            <v>7758630.434621417</v>
          </cell>
          <cell r="G128">
            <v>-221218</v>
          </cell>
          <cell r="H128">
            <v>-2776542.1388304541</v>
          </cell>
          <cell r="I128">
            <v>-114898.55247894675</v>
          </cell>
          <cell r="J128">
            <v>8396827.0834548157</v>
          </cell>
          <cell r="K128">
            <v>0</v>
          </cell>
          <cell r="L128">
            <v>-441183.23442397855</v>
          </cell>
          <cell r="M128">
            <v>79173.492826703485</v>
          </cell>
          <cell r="N128">
            <v>2984.6316918660646</v>
          </cell>
          <cell r="O128">
            <v>-1346.9316516088306</v>
          </cell>
          <cell r="P128">
            <v>0</v>
          </cell>
          <cell r="Q128">
            <v>0</v>
          </cell>
          <cell r="R128">
            <v>0</v>
          </cell>
          <cell r="S128">
            <v>22632923.433472279</v>
          </cell>
          <cell r="T128">
            <v>0</v>
          </cell>
          <cell r="U128">
            <v>41984135.417274073</v>
          </cell>
          <cell r="V128">
            <v>316693.97130681394</v>
          </cell>
          <cell r="W128">
            <v>0</v>
          </cell>
          <cell r="X128">
            <v>42300829.388580889</v>
          </cell>
          <cell r="Y128">
            <v>1106094.79</v>
          </cell>
          <cell r="Z128">
            <v>0</v>
          </cell>
          <cell r="AA128">
            <v>0</v>
          </cell>
          <cell r="AB128">
            <v>574492.76239473373</v>
          </cell>
          <cell r="AC128">
            <v>1680587.5523947338</v>
          </cell>
          <cell r="AD128" t="str">
            <v>N/A</v>
          </cell>
          <cell r="AE128">
            <v>8139883</v>
          </cell>
          <cell r="AF128">
            <v>8139883</v>
          </cell>
          <cell r="AG128">
            <v>8139883</v>
          </cell>
          <cell r="AH128">
            <v>8139883</v>
          </cell>
          <cell r="AI128">
            <v>8060710</v>
          </cell>
          <cell r="AJ128">
            <v>0</v>
          </cell>
          <cell r="AK128">
            <v>40620242</v>
          </cell>
          <cell r="AL128">
            <v>191900254</v>
          </cell>
          <cell r="AM128">
            <v>22632923.433472279</v>
          </cell>
          <cell r="AN128">
            <v>-4967240.21</v>
          </cell>
          <cell r="AO128">
            <v>41726336.626186155</v>
          </cell>
          <cell r="AP128">
            <v>0</v>
          </cell>
          <cell r="AQ128">
            <v>-1106094.79</v>
          </cell>
          <cell r="AR128">
            <v>0</v>
          </cell>
          <cell r="AS128">
            <v>0</v>
          </cell>
          <cell r="AT128">
            <v>250186179.05965844</v>
          </cell>
          <cell r="AU128">
            <v>5.7880617574740442E-3</v>
          </cell>
          <cell r="AV128">
            <v>0</v>
          </cell>
          <cell r="AW128">
            <v>0</v>
          </cell>
          <cell r="AY128">
            <v>0</v>
          </cell>
          <cell r="AZ128">
            <v>0</v>
          </cell>
          <cell r="BA128">
            <v>0</v>
          </cell>
          <cell r="BB128">
            <v>0</v>
          </cell>
          <cell r="BC128">
            <v>0</v>
          </cell>
          <cell r="BD128">
            <v>0</v>
          </cell>
          <cell r="BE128">
            <v>0</v>
          </cell>
          <cell r="BF128">
            <v>0</v>
          </cell>
          <cell r="BG128">
            <v>0</v>
          </cell>
          <cell r="BH128">
            <v>0</v>
          </cell>
          <cell r="BJ128">
            <v>0</v>
          </cell>
          <cell r="BL128">
            <v>0</v>
          </cell>
          <cell r="BM128">
            <v>0</v>
          </cell>
          <cell r="BN128">
            <v>0</v>
          </cell>
          <cell r="BO128">
            <v>0</v>
          </cell>
          <cell r="BQ128">
            <v>0</v>
          </cell>
          <cell r="BR128">
            <v>0</v>
          </cell>
          <cell r="BS128">
            <v>0</v>
          </cell>
          <cell r="BT128">
            <v>0</v>
          </cell>
          <cell r="CB128">
            <v>0</v>
          </cell>
          <cell r="CC128">
            <v>0</v>
          </cell>
          <cell r="CD128">
            <v>0</v>
          </cell>
          <cell r="CE128">
            <v>0</v>
          </cell>
          <cell r="CF128">
            <v>0</v>
          </cell>
          <cell r="CI128">
            <v>0</v>
          </cell>
          <cell r="CJ128">
            <v>0</v>
          </cell>
          <cell r="CK128">
            <v>0</v>
          </cell>
          <cell r="CV128">
            <v>5.7509570539636679E-3</v>
          </cell>
          <cell r="DG128">
            <v>250186179</v>
          </cell>
          <cell r="DR128">
            <v>86770011.830000177</v>
          </cell>
          <cell r="EC128">
            <v>2.8833253992193155</v>
          </cell>
          <cell r="EN128">
            <v>2.4095909012463064E-2</v>
          </cell>
        </row>
        <row r="129">
          <cell r="B129">
            <v>32901</v>
          </cell>
          <cell r="C129" t="str">
            <v>Invest Collegiate Charter School</v>
          </cell>
          <cell r="D129">
            <v>1.9763566281025743E-4</v>
          </cell>
          <cell r="E129">
            <v>341955.77917160717</v>
          </cell>
          <cell r="F129">
            <v>266630.76320304</v>
          </cell>
          <cell r="G129">
            <v>479680</v>
          </cell>
          <cell r="H129">
            <v>-95417.813205571074</v>
          </cell>
          <cell r="I129">
            <v>-3948.5691445852426</v>
          </cell>
          <cell r="J129">
            <v>288562.83755378524</v>
          </cell>
          <cell r="K129">
            <v>0</v>
          </cell>
          <cell r="L129">
            <v>-15161.57052434616</v>
          </cell>
          <cell r="M129">
            <v>2720.8524746370954</v>
          </cell>
          <cell r="N129">
            <v>102.5689562852674</v>
          </cell>
          <cell r="O129">
            <v>-46.288248586790395</v>
          </cell>
          <cell r="P129">
            <v>0</v>
          </cell>
          <cell r="Q129">
            <v>0</v>
          </cell>
          <cell r="R129">
            <v>0</v>
          </cell>
          <cell r="S129">
            <v>1265078.5602362657</v>
          </cell>
          <cell r="T129">
            <v>2440401</v>
          </cell>
          <cell r="U129">
            <v>1442814.1877689261</v>
          </cell>
          <cell r="V129">
            <v>10883.409898548382</v>
          </cell>
          <cell r="W129">
            <v>0</v>
          </cell>
          <cell r="X129">
            <v>3894098.5976674743</v>
          </cell>
          <cell r="Y129">
            <v>42002.640000000029</v>
          </cell>
          <cell r="Z129">
            <v>0</v>
          </cell>
          <cell r="AA129">
            <v>0</v>
          </cell>
          <cell r="AB129">
            <v>19742.845722926213</v>
          </cell>
          <cell r="AC129">
            <v>61745.485722926242</v>
          </cell>
          <cell r="AD129" t="str">
            <v>N/A</v>
          </cell>
          <cell r="AE129">
            <v>767014</v>
          </cell>
          <cell r="AF129">
            <v>767015</v>
          </cell>
          <cell r="AG129">
            <v>767015</v>
          </cell>
          <cell r="AH129">
            <v>767015</v>
          </cell>
          <cell r="AI129">
            <v>764294</v>
          </cell>
          <cell r="AJ129">
            <v>0</v>
          </cell>
          <cell r="AK129">
            <v>3832353</v>
          </cell>
          <cell r="AL129">
            <v>3624029</v>
          </cell>
          <cell r="AM129">
            <v>1265078.5602362657</v>
          </cell>
          <cell r="AN129">
            <v>-123637.35999999997</v>
          </cell>
          <cell r="AO129">
            <v>1433954.7519445485</v>
          </cell>
          <cell r="AP129">
            <v>0</v>
          </cell>
          <cell r="AQ129">
            <v>2398398.36</v>
          </cell>
          <cell r="AR129">
            <v>0</v>
          </cell>
          <cell r="AS129">
            <v>0</v>
          </cell>
          <cell r="AT129">
            <v>8597823.3121808134</v>
          </cell>
          <cell r="AU129">
            <v>1.0930731873870581E-4</v>
          </cell>
          <cell r="AV129">
            <v>0</v>
          </cell>
          <cell r="AW129">
            <v>0</v>
          </cell>
          <cell r="AY129">
            <v>0</v>
          </cell>
          <cell r="AZ129">
            <v>0</v>
          </cell>
          <cell r="BA129">
            <v>0</v>
          </cell>
          <cell r="BB129">
            <v>0</v>
          </cell>
          <cell r="BC129">
            <v>0</v>
          </cell>
          <cell r="BD129">
            <v>0</v>
          </cell>
          <cell r="BE129">
            <v>0</v>
          </cell>
          <cell r="BF129">
            <v>0</v>
          </cell>
          <cell r="BG129">
            <v>0</v>
          </cell>
          <cell r="BH129">
            <v>0</v>
          </cell>
          <cell r="BJ129">
            <v>0</v>
          </cell>
          <cell r="BL129">
            <v>0</v>
          </cell>
          <cell r="BM129">
            <v>0</v>
          </cell>
          <cell r="BN129">
            <v>0</v>
          </cell>
          <cell r="BO129">
            <v>0</v>
          </cell>
          <cell r="BQ129">
            <v>0</v>
          </cell>
          <cell r="BR129">
            <v>0</v>
          </cell>
          <cell r="BS129">
            <v>0</v>
          </cell>
          <cell r="BT129">
            <v>0</v>
          </cell>
          <cell r="CB129">
            <v>0</v>
          </cell>
          <cell r="CC129">
            <v>0</v>
          </cell>
          <cell r="CD129">
            <v>0</v>
          </cell>
          <cell r="CE129">
            <v>0</v>
          </cell>
          <cell r="CF129">
            <v>0</v>
          </cell>
          <cell r="CI129">
            <v>0</v>
          </cell>
          <cell r="CJ129">
            <v>0</v>
          </cell>
          <cell r="CK129">
            <v>0</v>
          </cell>
          <cell r="CV129">
            <v>1.9763566281025743E-4</v>
          </cell>
          <cell r="DG129">
            <v>8597823</v>
          </cell>
          <cell r="DR129">
            <v>2206162.0200000005</v>
          </cell>
          <cell r="EC129">
            <v>3.8971856654480881</v>
          </cell>
          <cell r="EN129">
            <v>2.4095909012463064E-2</v>
          </cell>
        </row>
        <row r="130">
          <cell r="B130">
            <v>32905</v>
          </cell>
          <cell r="C130" t="str">
            <v>Davidson County Community College</v>
          </cell>
          <cell r="D130">
            <v>8.3108550435342281E-4</v>
          </cell>
          <cell r="E130">
            <v>1437971.705907386</v>
          </cell>
          <cell r="F130">
            <v>1121219.5165681187</v>
          </cell>
          <cell r="G130">
            <v>-159193</v>
          </cell>
          <cell r="H130">
            <v>-401245.20182567462</v>
          </cell>
          <cell r="I130">
            <v>-16604.283520189012</v>
          </cell>
          <cell r="J130">
            <v>1213446.945636957</v>
          </cell>
          <cell r="K130">
            <v>0</v>
          </cell>
          <cell r="L130">
            <v>-63756.516950655525</v>
          </cell>
          <cell r="M130">
            <v>11441.563830137178</v>
          </cell>
          <cell r="N130">
            <v>431.31675504933935</v>
          </cell>
          <cell r="O130">
            <v>-194.64853597461516</v>
          </cell>
          <cell r="P130">
            <v>0</v>
          </cell>
          <cell r="Q130">
            <v>0</v>
          </cell>
          <cell r="R130">
            <v>0</v>
          </cell>
          <cell r="S130">
            <v>3143517.3978651538</v>
          </cell>
          <cell r="T130">
            <v>30669.230000000098</v>
          </cell>
          <cell r="U130">
            <v>6067234.7281847848</v>
          </cell>
          <cell r="V130">
            <v>45766.255320548713</v>
          </cell>
          <cell r="W130">
            <v>0</v>
          </cell>
          <cell r="X130">
            <v>6143670.2135053342</v>
          </cell>
          <cell r="Y130">
            <v>826635</v>
          </cell>
          <cell r="Z130">
            <v>0</v>
          </cell>
          <cell r="AA130">
            <v>0</v>
          </cell>
          <cell r="AB130">
            <v>83021.41760094506</v>
          </cell>
          <cell r="AC130">
            <v>909656.4176009451</v>
          </cell>
          <cell r="AD130" t="str">
            <v>N/A</v>
          </cell>
          <cell r="AE130">
            <v>1049091</v>
          </cell>
          <cell r="AF130">
            <v>1049091</v>
          </cell>
          <cell r="AG130">
            <v>1049091</v>
          </cell>
          <cell r="AH130">
            <v>1049091</v>
          </cell>
          <cell r="AI130">
            <v>1037650</v>
          </cell>
          <cell r="AJ130">
            <v>0</v>
          </cell>
          <cell r="AK130">
            <v>5234014</v>
          </cell>
          <cell r="AL130">
            <v>28546181</v>
          </cell>
          <cell r="AM130">
            <v>3143517.3978651538</v>
          </cell>
          <cell r="AN130">
            <v>-768667.2300000001</v>
          </cell>
          <cell r="AO130">
            <v>6029979.5659043891</v>
          </cell>
          <cell r="AP130">
            <v>0</v>
          </cell>
          <cell r="AQ130">
            <v>-795965.7699999999</v>
          </cell>
          <cell r="AR130">
            <v>0</v>
          </cell>
          <cell r="AS130">
            <v>0</v>
          </cell>
          <cell r="AT130">
            <v>36155044.96376954</v>
          </cell>
          <cell r="AU130">
            <v>8.6100491293295814E-4</v>
          </cell>
          <cell r="AV130">
            <v>0</v>
          </cell>
          <cell r="AW130">
            <v>0</v>
          </cell>
          <cell r="AY130">
            <v>0</v>
          </cell>
          <cell r="AZ130">
            <v>0</v>
          </cell>
          <cell r="BA130">
            <v>0</v>
          </cell>
          <cell r="BB130">
            <v>0</v>
          </cell>
          <cell r="BC130">
            <v>0</v>
          </cell>
          <cell r="BD130">
            <v>0</v>
          </cell>
          <cell r="BE130">
            <v>0</v>
          </cell>
          <cell r="BF130">
            <v>0</v>
          </cell>
          <cell r="BG130">
            <v>0</v>
          </cell>
          <cell r="BH130">
            <v>0</v>
          </cell>
          <cell r="BJ130">
            <v>0</v>
          </cell>
          <cell r="BL130">
            <v>0</v>
          </cell>
          <cell r="BM130">
            <v>0</v>
          </cell>
          <cell r="BN130">
            <v>0</v>
          </cell>
          <cell r="BO130">
            <v>0</v>
          </cell>
          <cell r="BQ130">
            <v>0</v>
          </cell>
          <cell r="BR130">
            <v>0</v>
          </cell>
          <cell r="BS130">
            <v>0</v>
          </cell>
          <cell r="BT130">
            <v>0</v>
          </cell>
          <cell r="CB130">
            <v>0</v>
          </cell>
          <cell r="CC130">
            <v>0</v>
          </cell>
          <cell r="CD130">
            <v>0</v>
          </cell>
          <cell r="CE130">
            <v>0</v>
          </cell>
          <cell r="CF130">
            <v>0</v>
          </cell>
          <cell r="CI130">
            <v>0</v>
          </cell>
          <cell r="CJ130">
            <v>0</v>
          </cell>
          <cell r="CK130">
            <v>0</v>
          </cell>
          <cell r="CV130">
            <v>8.3108550435342281E-4</v>
          </cell>
          <cell r="DG130">
            <v>36155044</v>
          </cell>
          <cell r="DR130">
            <v>13363003.759999996</v>
          </cell>
          <cell r="EC130">
            <v>2.70560756019723</v>
          </cell>
          <cell r="EN130">
            <v>2.4095909012463064E-2</v>
          </cell>
        </row>
        <row r="131">
          <cell r="B131">
            <v>32910</v>
          </cell>
          <cell r="C131" t="str">
            <v>Lexington City Schools</v>
          </cell>
          <cell r="D131">
            <v>1.0467233667264405E-3</v>
          </cell>
          <cell r="E131">
            <v>1811075.4878774383</v>
          </cell>
          <cell r="F131">
            <v>1412137.0918803702</v>
          </cell>
          <cell r="G131">
            <v>-122411</v>
          </cell>
          <cell r="H131">
            <v>-505354.41460328549</v>
          </cell>
          <cell r="I131">
            <v>-20912.519177980554</v>
          </cell>
          <cell r="J131">
            <v>1528294.339905726</v>
          </cell>
          <cell r="K131">
            <v>0</v>
          </cell>
          <cell r="L131">
            <v>-80299.121719444622</v>
          </cell>
          <cell r="M131">
            <v>14410.252796087445</v>
          </cell>
          <cell r="N131">
            <v>543.22849286368807</v>
          </cell>
          <cell r="O131">
            <v>-245.15307972099964</v>
          </cell>
          <cell r="P131">
            <v>0</v>
          </cell>
          <cell r="Q131">
            <v>0</v>
          </cell>
          <cell r="R131">
            <v>0</v>
          </cell>
          <cell r="S131">
            <v>4037238.1923720534</v>
          </cell>
          <cell r="T131">
            <v>30062.839999999967</v>
          </cell>
          <cell r="U131">
            <v>7641471.6995286299</v>
          </cell>
          <cell r="V131">
            <v>57641.01118434978</v>
          </cell>
          <cell r="W131">
            <v>0</v>
          </cell>
          <cell r="X131">
            <v>7729175.5507129794</v>
          </cell>
          <cell r="Y131">
            <v>642117</v>
          </cell>
          <cell r="Z131">
            <v>0</v>
          </cell>
          <cell r="AA131">
            <v>0</v>
          </cell>
          <cell r="AB131">
            <v>104562.59588990276</v>
          </cell>
          <cell r="AC131">
            <v>746679.59588990279</v>
          </cell>
          <cell r="AD131" t="str">
            <v>N/A</v>
          </cell>
          <cell r="AE131">
            <v>1399382</v>
          </cell>
          <cell r="AF131">
            <v>1399380</v>
          </cell>
          <cell r="AG131">
            <v>1399380</v>
          </cell>
          <cell r="AH131">
            <v>1399380</v>
          </cell>
          <cell r="AI131">
            <v>1384970</v>
          </cell>
          <cell r="AJ131">
            <v>0</v>
          </cell>
          <cell r="AK131">
            <v>6982492</v>
          </cell>
          <cell r="AL131">
            <v>35474123</v>
          </cell>
          <cell r="AM131">
            <v>4037238.1923720534</v>
          </cell>
          <cell r="AN131">
            <v>-957832.84</v>
          </cell>
          <cell r="AO131">
            <v>7594550.1148230778</v>
          </cell>
          <cell r="AP131">
            <v>0</v>
          </cell>
          <cell r="AQ131">
            <v>-612054.16</v>
          </cell>
          <cell r="AR131">
            <v>0</v>
          </cell>
          <cell r="AS131">
            <v>0</v>
          </cell>
          <cell r="AT131">
            <v>45536024.307195134</v>
          </cell>
          <cell r="AU131">
            <v>1.0699642547046229E-3</v>
          </cell>
          <cell r="AV131">
            <v>0</v>
          </cell>
          <cell r="AW131">
            <v>0</v>
          </cell>
          <cell r="AY131">
            <v>0</v>
          </cell>
          <cell r="AZ131">
            <v>0</v>
          </cell>
          <cell r="BA131">
            <v>0</v>
          </cell>
          <cell r="BB131">
            <v>0</v>
          </cell>
          <cell r="BC131">
            <v>0</v>
          </cell>
          <cell r="BD131">
            <v>0</v>
          </cell>
          <cell r="BE131">
            <v>0</v>
          </cell>
          <cell r="BF131">
            <v>0</v>
          </cell>
          <cell r="BG131">
            <v>0</v>
          </cell>
          <cell r="BH131">
            <v>0</v>
          </cell>
          <cell r="BJ131">
            <v>0</v>
          </cell>
          <cell r="BL131">
            <v>0</v>
          </cell>
          <cell r="BM131">
            <v>0</v>
          </cell>
          <cell r="BN131">
            <v>0</v>
          </cell>
          <cell r="BO131">
            <v>0</v>
          </cell>
          <cell r="BQ131">
            <v>0</v>
          </cell>
          <cell r="BR131">
            <v>0</v>
          </cell>
          <cell r="BS131">
            <v>0</v>
          </cell>
          <cell r="BT131">
            <v>0</v>
          </cell>
          <cell r="CB131">
            <v>0</v>
          </cell>
          <cell r="CC131">
            <v>0</v>
          </cell>
          <cell r="CD131">
            <v>0</v>
          </cell>
          <cell r="CE131">
            <v>0</v>
          </cell>
          <cell r="CF131">
            <v>0</v>
          </cell>
          <cell r="CI131">
            <v>0</v>
          </cell>
          <cell r="CJ131">
            <v>0</v>
          </cell>
          <cell r="CK131">
            <v>0</v>
          </cell>
          <cell r="CV131">
            <v>1.0467233667264405E-3</v>
          </cell>
          <cell r="DG131">
            <v>45536024</v>
          </cell>
          <cell r="DR131">
            <v>16502634.739999995</v>
          </cell>
          <cell r="EC131">
            <v>2.7593184189932578</v>
          </cell>
          <cell r="EN131">
            <v>2.4095909012463064E-2</v>
          </cell>
        </row>
        <row r="132">
          <cell r="B132">
            <v>32920</v>
          </cell>
          <cell r="C132" t="str">
            <v>Thomasville City Schools</v>
          </cell>
          <cell r="D132">
            <v>8.5878063645003586E-4</v>
          </cell>
          <cell r="E132">
            <v>1485890.7420807825</v>
          </cell>
          <cell r="F132">
            <v>1158583.0880153347</v>
          </cell>
          <cell r="G132">
            <v>-165225</v>
          </cell>
          <cell r="H132">
            <v>-414616.31563945685</v>
          </cell>
          <cell r="I132">
            <v>-17157.605438394065</v>
          </cell>
          <cell r="J132">
            <v>1253883.9082305867</v>
          </cell>
          <cell r="K132">
            <v>0</v>
          </cell>
          <cell r="L132">
            <v>-65881.142094180424</v>
          </cell>
          <cell r="M132">
            <v>11822.843036678034</v>
          </cell>
          <cell r="N132">
            <v>445.68997470483959</v>
          </cell>
          <cell r="O132">
            <v>-201.1350128629629</v>
          </cell>
          <cell r="P132">
            <v>0</v>
          </cell>
          <cell r="Q132">
            <v>0</v>
          </cell>
          <cell r="R132">
            <v>0</v>
          </cell>
          <cell r="S132">
            <v>3247545.0731531926</v>
          </cell>
          <cell r="T132">
            <v>8362.9300000000512</v>
          </cell>
          <cell r="U132">
            <v>6269419.5411529327</v>
          </cell>
          <cell r="V132">
            <v>47291.372146712136</v>
          </cell>
          <cell r="W132">
            <v>0</v>
          </cell>
          <cell r="X132">
            <v>6325073.8432996441</v>
          </cell>
          <cell r="Y132">
            <v>834489</v>
          </cell>
          <cell r="Z132">
            <v>0</v>
          </cell>
          <cell r="AA132">
            <v>0</v>
          </cell>
          <cell r="AB132">
            <v>85788.027191970323</v>
          </cell>
          <cell r="AC132">
            <v>920277.02719197026</v>
          </cell>
          <cell r="AD132" t="str">
            <v>N/A</v>
          </cell>
          <cell r="AE132">
            <v>1083324</v>
          </cell>
          <cell r="AF132">
            <v>1083323</v>
          </cell>
          <cell r="AG132">
            <v>1083323</v>
          </cell>
          <cell r="AH132">
            <v>1083323</v>
          </cell>
          <cell r="AI132">
            <v>1071500</v>
          </cell>
          <cell r="AJ132">
            <v>0</v>
          </cell>
          <cell r="AK132">
            <v>5404793</v>
          </cell>
          <cell r="AL132">
            <v>29473824</v>
          </cell>
          <cell r="AM132">
            <v>3247545.0731531926</v>
          </cell>
          <cell r="AN132">
            <v>-766288.93</v>
          </cell>
          <cell r="AO132">
            <v>6230922.8861076757</v>
          </cell>
          <cell r="AP132">
            <v>0</v>
          </cell>
          <cell r="AQ132">
            <v>-826126.07</v>
          </cell>
          <cell r="AR132">
            <v>0</v>
          </cell>
          <cell r="AS132">
            <v>0</v>
          </cell>
          <cell r="AT132">
            <v>37359876.959260873</v>
          </cell>
          <cell r="AU132">
            <v>8.8898430386855824E-4</v>
          </cell>
          <cell r="AV132">
            <v>0</v>
          </cell>
          <cell r="AW132">
            <v>0</v>
          </cell>
          <cell r="AY132">
            <v>0</v>
          </cell>
          <cell r="AZ132">
            <v>0</v>
          </cell>
          <cell r="BA132">
            <v>0</v>
          </cell>
          <cell r="BB132">
            <v>0</v>
          </cell>
          <cell r="BC132">
            <v>0</v>
          </cell>
          <cell r="BD132">
            <v>0</v>
          </cell>
          <cell r="BE132">
            <v>0</v>
          </cell>
          <cell r="BF132">
            <v>0</v>
          </cell>
          <cell r="BG132">
            <v>0</v>
          </cell>
          <cell r="BH132">
            <v>0</v>
          </cell>
          <cell r="BJ132">
            <v>0</v>
          </cell>
          <cell r="BL132">
            <v>0</v>
          </cell>
          <cell r="BM132">
            <v>0</v>
          </cell>
          <cell r="BN132">
            <v>0</v>
          </cell>
          <cell r="BO132">
            <v>0</v>
          </cell>
          <cell r="BQ132">
            <v>0</v>
          </cell>
          <cell r="BR132">
            <v>0</v>
          </cell>
          <cell r="BS132">
            <v>0</v>
          </cell>
          <cell r="BT132">
            <v>0</v>
          </cell>
          <cell r="CB132">
            <v>0</v>
          </cell>
          <cell r="CC132">
            <v>0</v>
          </cell>
          <cell r="CD132">
            <v>0</v>
          </cell>
          <cell r="CE132">
            <v>0</v>
          </cell>
          <cell r="CF132">
            <v>0</v>
          </cell>
          <cell r="CI132">
            <v>0</v>
          </cell>
          <cell r="CJ132">
            <v>0</v>
          </cell>
          <cell r="CK132">
            <v>0</v>
          </cell>
          <cell r="CV132">
            <v>8.5878063645003586E-4</v>
          </cell>
          <cell r="DG132">
            <v>37359877</v>
          </cell>
          <cell r="DR132">
            <v>12899764.759999992</v>
          </cell>
          <cell r="EC132">
            <v>2.8961673096432512</v>
          </cell>
          <cell r="EN132">
            <v>2.4095909012463064E-2</v>
          </cell>
        </row>
        <row r="133">
          <cell r="B133">
            <v>33000</v>
          </cell>
          <cell r="C133" t="str">
            <v>Davie County Schools</v>
          </cell>
          <cell r="D133">
            <v>2.2214001891298269E-3</v>
          </cell>
          <cell r="E133">
            <v>3843540.2888552998</v>
          </cell>
          <cell r="F133">
            <v>2996896.5083781565</v>
          </cell>
          <cell r="G133">
            <v>-235496</v>
          </cell>
          <cell r="H133">
            <v>-1072484.3142540827</v>
          </cell>
          <cell r="I133">
            <v>-44381.424485088515</v>
          </cell>
          <cell r="J133">
            <v>3243410.2874096716</v>
          </cell>
          <cell r="K133">
            <v>0</v>
          </cell>
          <cell r="L133">
            <v>-170414.16084212792</v>
          </cell>
          <cell r="M133">
            <v>30582.042308608627</v>
          </cell>
          <cell r="N133">
            <v>1152.8622701545976</v>
          </cell>
          <cell r="O133">
            <v>-520.27413829609679</v>
          </cell>
          <cell r="P133">
            <v>0</v>
          </cell>
          <cell r="Q133">
            <v>0</v>
          </cell>
          <cell r="R133">
            <v>0</v>
          </cell>
          <cell r="S133">
            <v>8592285.8155022953</v>
          </cell>
          <cell r="T133">
            <v>0</v>
          </cell>
          <cell r="U133">
            <v>16217051.437048359</v>
          </cell>
          <cell r="V133">
            <v>122328.16923443451</v>
          </cell>
          <cell r="W133">
            <v>0</v>
          </cell>
          <cell r="X133">
            <v>16339379.606282793</v>
          </cell>
          <cell r="Y133">
            <v>1177479.46</v>
          </cell>
          <cell r="Z133">
            <v>0</v>
          </cell>
          <cell r="AA133">
            <v>0</v>
          </cell>
          <cell r="AB133">
            <v>221907.12242544259</v>
          </cell>
          <cell r="AC133">
            <v>1399386.5824254425</v>
          </cell>
          <cell r="AD133" t="str">
            <v>N/A</v>
          </cell>
          <cell r="AE133">
            <v>2994115</v>
          </cell>
          <cell r="AF133">
            <v>2994115</v>
          </cell>
          <cell r="AG133">
            <v>2994115</v>
          </cell>
          <cell r="AH133">
            <v>2994115</v>
          </cell>
          <cell r="AI133">
            <v>2963533</v>
          </cell>
          <cell r="AJ133">
            <v>0</v>
          </cell>
          <cell r="AK133">
            <v>14939993</v>
          </cell>
          <cell r="AL133">
            <v>74967610</v>
          </cell>
          <cell r="AM133">
            <v>8592285.8155022953</v>
          </cell>
          <cell r="AN133">
            <v>-1861430.54</v>
          </cell>
          <cell r="AO133">
            <v>16117472.483857352</v>
          </cell>
          <cell r="AP133">
            <v>0</v>
          </cell>
          <cell r="AQ133">
            <v>-1177479.46</v>
          </cell>
          <cell r="AR133">
            <v>0</v>
          </cell>
          <cell r="AS133">
            <v>0</v>
          </cell>
          <cell r="AT133">
            <v>96638458.299359649</v>
          </cell>
          <cell r="AU133">
            <v>2.2611599054885461E-3</v>
          </cell>
          <cell r="AV133">
            <v>0</v>
          </cell>
          <cell r="AW133">
            <v>0</v>
          </cell>
          <cell r="AY133">
            <v>0</v>
          </cell>
          <cell r="AZ133">
            <v>0</v>
          </cell>
          <cell r="BA133">
            <v>0</v>
          </cell>
          <cell r="BB133">
            <v>0</v>
          </cell>
          <cell r="BC133">
            <v>0</v>
          </cell>
          <cell r="BD133">
            <v>0</v>
          </cell>
          <cell r="BE133">
            <v>0</v>
          </cell>
          <cell r="BF133">
            <v>0</v>
          </cell>
          <cell r="BG133">
            <v>0</v>
          </cell>
          <cell r="BH133">
            <v>0</v>
          </cell>
          <cell r="BJ133">
            <v>0</v>
          </cell>
          <cell r="BL133">
            <v>0</v>
          </cell>
          <cell r="BM133">
            <v>0</v>
          </cell>
          <cell r="BN133">
            <v>0</v>
          </cell>
          <cell r="BO133">
            <v>0</v>
          </cell>
          <cell r="BQ133">
            <v>0</v>
          </cell>
          <cell r="BR133">
            <v>0</v>
          </cell>
          <cell r="BS133">
            <v>0</v>
          </cell>
          <cell r="BT133">
            <v>0</v>
          </cell>
          <cell r="CB133">
            <v>0</v>
          </cell>
          <cell r="CC133">
            <v>0</v>
          </cell>
          <cell r="CD133">
            <v>0</v>
          </cell>
          <cell r="CE133">
            <v>0</v>
          </cell>
          <cell r="CF133">
            <v>0</v>
          </cell>
          <cell r="CI133">
            <v>0</v>
          </cell>
          <cell r="CJ133">
            <v>0</v>
          </cell>
          <cell r="CK133">
            <v>0</v>
          </cell>
          <cell r="CV133">
            <v>2.2214001891298269E-3</v>
          </cell>
          <cell r="DG133">
            <v>96638459</v>
          </cell>
          <cell r="DR133">
            <v>32554020.660000037</v>
          </cell>
          <cell r="EC133">
            <v>2.9685567877869588</v>
          </cell>
          <cell r="EN133">
            <v>2.4095909012463064E-2</v>
          </cell>
        </row>
        <row r="134">
          <cell r="B134">
            <v>33001</v>
          </cell>
          <cell r="C134" t="str">
            <v>N.E. Regional School For Biotechnology</v>
          </cell>
          <cell r="D134">
            <v>5.9114053478424925E-5</v>
          </cell>
          <cell r="E134">
            <v>102281.09608241063</v>
          </cell>
          <cell r="F134">
            <v>79750.916261049017</v>
          </cell>
          <cell r="G134">
            <v>57272</v>
          </cell>
          <cell r="H134">
            <v>-28540.060191685912</v>
          </cell>
          <cell r="I134">
            <v>-1181.0415400603304</v>
          </cell>
          <cell r="J134">
            <v>86310.935832554489</v>
          </cell>
          <cell r="K134">
            <v>0</v>
          </cell>
          <cell r="L134">
            <v>-4534.9198522615698</v>
          </cell>
          <cell r="M134">
            <v>813.82386359601048</v>
          </cell>
          <cell r="N134">
            <v>30.679011474232968</v>
          </cell>
          <cell r="O134">
            <v>-13.845102465181903</v>
          </cell>
          <cell r="P134">
            <v>0</v>
          </cell>
          <cell r="Q134">
            <v>0</v>
          </cell>
          <cell r="R134">
            <v>0</v>
          </cell>
          <cell r="S134">
            <v>292189.58436461142</v>
          </cell>
          <cell r="T134">
            <v>288321</v>
          </cell>
          <cell r="U134">
            <v>431554.67916277243</v>
          </cell>
          <cell r="V134">
            <v>3255.2954543840419</v>
          </cell>
          <cell r="W134">
            <v>0</v>
          </cell>
          <cell r="X134">
            <v>723130.97461715643</v>
          </cell>
          <cell r="Y134">
            <v>1961.1400000000067</v>
          </cell>
          <cell r="Z134">
            <v>0</v>
          </cell>
          <cell r="AA134">
            <v>0</v>
          </cell>
          <cell r="AB134">
            <v>5905.207700301652</v>
          </cell>
          <cell r="AC134">
            <v>7866.3477003016587</v>
          </cell>
          <cell r="AD134" t="str">
            <v>N/A</v>
          </cell>
          <cell r="AE134">
            <v>143216</v>
          </cell>
          <cell r="AF134">
            <v>143216</v>
          </cell>
          <cell r="AG134">
            <v>143216</v>
          </cell>
          <cell r="AH134">
            <v>143216</v>
          </cell>
          <cell r="AI134">
            <v>142402</v>
          </cell>
          <cell r="AJ134">
            <v>0</v>
          </cell>
          <cell r="AK134">
            <v>715266</v>
          </cell>
          <cell r="AL134">
            <v>1613911</v>
          </cell>
          <cell r="AM134">
            <v>292189.58436461142</v>
          </cell>
          <cell r="AN134">
            <v>-49703.859999999993</v>
          </cell>
          <cell r="AO134">
            <v>428904.76691685483</v>
          </cell>
          <cell r="AP134">
            <v>0</v>
          </cell>
          <cell r="AQ134">
            <v>286359.86</v>
          </cell>
          <cell r="AR134">
            <v>0</v>
          </cell>
          <cell r="AS134">
            <v>0</v>
          </cell>
          <cell r="AT134">
            <v>2571661.351281466</v>
          </cell>
          <cell r="AU134">
            <v>4.8678510169402041E-5</v>
          </cell>
          <cell r="AV134">
            <v>0</v>
          </cell>
          <cell r="AW134">
            <v>0</v>
          </cell>
          <cell r="AY134">
            <v>0</v>
          </cell>
          <cell r="AZ134">
            <v>0</v>
          </cell>
          <cell r="BA134">
            <v>0</v>
          </cell>
          <cell r="BB134">
            <v>0</v>
          </cell>
          <cell r="BC134">
            <v>0</v>
          </cell>
          <cell r="BD134">
            <v>0</v>
          </cell>
          <cell r="BE134">
            <v>0</v>
          </cell>
          <cell r="BF134">
            <v>0</v>
          </cell>
          <cell r="BG134">
            <v>0</v>
          </cell>
          <cell r="BH134">
            <v>0</v>
          </cell>
          <cell r="BJ134">
            <v>0</v>
          </cell>
          <cell r="BL134">
            <v>0</v>
          </cell>
          <cell r="BM134">
            <v>0</v>
          </cell>
          <cell r="BN134">
            <v>0</v>
          </cell>
          <cell r="BO134">
            <v>0</v>
          </cell>
          <cell r="BQ134">
            <v>0</v>
          </cell>
          <cell r="BR134">
            <v>0</v>
          </cell>
          <cell r="BS134">
            <v>0</v>
          </cell>
          <cell r="BT134">
            <v>0</v>
          </cell>
          <cell r="CB134">
            <v>0</v>
          </cell>
          <cell r="CC134">
            <v>0</v>
          </cell>
          <cell r="CD134">
            <v>0</v>
          </cell>
          <cell r="CE134">
            <v>0</v>
          </cell>
          <cell r="CF134">
            <v>0</v>
          </cell>
          <cell r="CI134">
            <v>0</v>
          </cell>
          <cell r="CJ134">
            <v>0</v>
          </cell>
          <cell r="CK134">
            <v>0</v>
          </cell>
          <cell r="CV134">
            <v>5.9114053478424925E-5</v>
          </cell>
          <cell r="DG134">
            <v>2571662</v>
          </cell>
          <cell r="DR134">
            <v>746290.78</v>
          </cell>
          <cell r="EC134">
            <v>3.4459249248664174</v>
          </cell>
          <cell r="EN134">
            <v>2.4095909012463064E-2</v>
          </cell>
        </row>
        <row r="135">
          <cell r="B135">
            <v>33027</v>
          </cell>
          <cell r="C135" t="str">
            <v>Cornerstone Academy</v>
          </cell>
          <cell r="D135">
            <v>2.2844448469440254E-4</v>
          </cell>
          <cell r="E135">
            <v>395262.22469336813</v>
          </cell>
          <cell r="F135">
            <v>308195.02127038408</v>
          </cell>
          <cell r="G135">
            <v>281683</v>
          </cell>
          <cell r="H135">
            <v>-110292.20565997022</v>
          </cell>
          <cell r="I135">
            <v>-4564.0995693221503</v>
          </cell>
          <cell r="J135">
            <v>333546.01993172121</v>
          </cell>
          <cell r="K135">
            <v>0</v>
          </cell>
          <cell r="L135">
            <v>-17525.061602456593</v>
          </cell>
          <cell r="M135">
            <v>3144.9978847931975</v>
          </cell>
          <cell r="N135">
            <v>118.55811866670103</v>
          </cell>
          <cell r="O135">
            <v>-53.503982760276017</v>
          </cell>
          <cell r="P135">
            <v>0</v>
          </cell>
          <cell r="Q135">
            <v>0</v>
          </cell>
          <cell r="R135">
            <v>0</v>
          </cell>
          <cell r="S135">
            <v>1189514.9510844243</v>
          </cell>
          <cell r="T135">
            <v>1448018</v>
          </cell>
          <cell r="U135">
            <v>1667730.0996586061</v>
          </cell>
          <cell r="V135">
            <v>12579.99153917279</v>
          </cell>
          <cell r="W135">
            <v>0</v>
          </cell>
          <cell r="X135">
            <v>3128328.0911977789</v>
          </cell>
          <cell r="Y135">
            <v>39606.349999999977</v>
          </cell>
          <cell r="Z135">
            <v>0</v>
          </cell>
          <cell r="AA135">
            <v>0</v>
          </cell>
          <cell r="AB135">
            <v>22820.49784661075</v>
          </cell>
          <cell r="AC135">
            <v>62426.847846610726</v>
          </cell>
          <cell r="AD135" t="str">
            <v>N/A</v>
          </cell>
          <cell r="AE135">
            <v>613810</v>
          </cell>
          <cell r="AF135">
            <v>613810</v>
          </cell>
          <cell r="AG135">
            <v>613810</v>
          </cell>
          <cell r="AH135">
            <v>613810</v>
          </cell>
          <cell r="AI135">
            <v>610665</v>
          </cell>
          <cell r="AJ135">
            <v>0</v>
          </cell>
          <cell r="AK135">
            <v>3065905</v>
          </cell>
          <cell r="AL135">
            <v>5836339</v>
          </cell>
          <cell r="AM135">
            <v>1189514.9510844243</v>
          </cell>
          <cell r="AN135">
            <v>-153643.65000000002</v>
          </cell>
          <cell r="AO135">
            <v>1657489.5933511681</v>
          </cell>
          <cell r="AP135">
            <v>0</v>
          </cell>
          <cell r="AQ135">
            <v>1408411.65</v>
          </cell>
          <cell r="AR135">
            <v>0</v>
          </cell>
          <cell r="AS135">
            <v>0</v>
          </cell>
          <cell r="AT135">
            <v>9938111.5444355924</v>
          </cell>
          <cell r="AU135">
            <v>1.7603461970201124E-4</v>
          </cell>
          <cell r="AV135">
            <v>0</v>
          </cell>
          <cell r="AW135">
            <v>0</v>
          </cell>
          <cell r="AY135">
            <v>0</v>
          </cell>
          <cell r="AZ135">
            <v>0</v>
          </cell>
          <cell r="BA135">
            <v>0</v>
          </cell>
          <cell r="BB135">
            <v>0</v>
          </cell>
          <cell r="BC135">
            <v>0</v>
          </cell>
          <cell r="BD135">
            <v>0</v>
          </cell>
          <cell r="BE135">
            <v>0</v>
          </cell>
          <cell r="BF135">
            <v>0</v>
          </cell>
          <cell r="BG135">
            <v>0</v>
          </cell>
          <cell r="BH135">
            <v>0</v>
          </cell>
          <cell r="BJ135">
            <v>0</v>
          </cell>
          <cell r="BL135">
            <v>0</v>
          </cell>
          <cell r="BM135">
            <v>0</v>
          </cell>
          <cell r="BN135">
            <v>0</v>
          </cell>
          <cell r="BO135">
            <v>0</v>
          </cell>
          <cell r="BQ135">
            <v>0</v>
          </cell>
          <cell r="BR135">
            <v>0</v>
          </cell>
          <cell r="BS135">
            <v>0</v>
          </cell>
          <cell r="BT135">
            <v>0</v>
          </cell>
          <cell r="CB135">
            <v>0</v>
          </cell>
          <cell r="CC135">
            <v>0</v>
          </cell>
          <cell r="CD135">
            <v>0</v>
          </cell>
          <cell r="CE135">
            <v>0</v>
          </cell>
          <cell r="CF135">
            <v>0</v>
          </cell>
          <cell r="CI135">
            <v>0</v>
          </cell>
          <cell r="CJ135">
            <v>0</v>
          </cell>
          <cell r="CK135">
            <v>0</v>
          </cell>
          <cell r="CV135">
            <v>2.2844448469440254E-4</v>
          </cell>
          <cell r="DG135">
            <v>9938112</v>
          </cell>
          <cell r="DR135">
            <v>2796774.3499999982</v>
          </cell>
          <cell r="EC135">
            <v>3.5534193167925778</v>
          </cell>
          <cell r="EN135">
            <v>2.4095909012463064E-2</v>
          </cell>
        </row>
        <row r="136">
          <cell r="B136">
            <v>33100</v>
          </cell>
          <cell r="C136" t="str">
            <v>Duplin County Schools</v>
          </cell>
          <cell r="D136">
            <v>3.1759199237567891E-3</v>
          </cell>
          <cell r="E136">
            <v>5495081.9941719472</v>
          </cell>
          <cell r="F136">
            <v>4284641.4513558326</v>
          </cell>
          <cell r="G136">
            <v>822968</v>
          </cell>
          <cell r="H136">
            <v>-1533323.1347614296</v>
          </cell>
          <cell r="I136">
            <v>-63451.804387445409</v>
          </cell>
          <cell r="J136">
            <v>4637080.4338218644</v>
          </cell>
          <cell r="K136">
            <v>0</v>
          </cell>
          <cell r="L136">
            <v>-243639.90394761649</v>
          </cell>
          <cell r="M136">
            <v>43722.926626349901</v>
          </cell>
          <cell r="N136">
            <v>1648.2389220312984</v>
          </cell>
          <cell r="O136">
            <v>-743.83220534307759</v>
          </cell>
          <cell r="P136">
            <v>0</v>
          </cell>
          <cell r="Q136">
            <v>0</v>
          </cell>
          <cell r="R136">
            <v>0</v>
          </cell>
          <cell r="S136">
            <v>13443984.369596193</v>
          </cell>
          <cell r="T136">
            <v>4114837.9</v>
          </cell>
          <cell r="U136">
            <v>23185402.169109322</v>
          </cell>
          <cell r="V136">
            <v>174891.7065053996</v>
          </cell>
          <cell r="W136">
            <v>0</v>
          </cell>
          <cell r="X136">
            <v>27475131.77561472</v>
          </cell>
          <cell r="Y136">
            <v>0</v>
          </cell>
          <cell r="Z136">
            <v>0</v>
          </cell>
          <cell r="AA136">
            <v>0</v>
          </cell>
          <cell r="AB136">
            <v>317259.02193722705</v>
          </cell>
          <cell r="AC136">
            <v>317259.02193722705</v>
          </cell>
          <cell r="AD136" t="str">
            <v>N/A</v>
          </cell>
          <cell r="AE136">
            <v>5440319</v>
          </cell>
          <cell r="AF136">
            <v>5440320</v>
          </cell>
          <cell r="AG136">
            <v>5440320</v>
          </cell>
          <cell r="AH136">
            <v>5440320</v>
          </cell>
          <cell r="AI136">
            <v>5396597</v>
          </cell>
          <cell r="AJ136">
            <v>0</v>
          </cell>
          <cell r="AK136">
            <v>27157876</v>
          </cell>
          <cell r="AL136">
            <v>100376612</v>
          </cell>
          <cell r="AM136">
            <v>13443984.369596193</v>
          </cell>
          <cell r="AN136">
            <v>-2815157.9</v>
          </cell>
          <cell r="AO136">
            <v>23043034.853677496</v>
          </cell>
          <cell r="AP136">
            <v>0</v>
          </cell>
          <cell r="AQ136">
            <v>4114837.9</v>
          </cell>
          <cell r="AR136">
            <v>0</v>
          </cell>
          <cell r="AS136">
            <v>0</v>
          </cell>
          <cell r="AT136">
            <v>138163311.22327369</v>
          </cell>
          <cell r="AU136">
            <v>3.0275417569832828E-3</v>
          </cell>
          <cell r="AV136">
            <v>0</v>
          </cell>
          <cell r="AW136">
            <v>0</v>
          </cell>
          <cell r="AY136">
            <v>0</v>
          </cell>
          <cell r="AZ136">
            <v>0</v>
          </cell>
          <cell r="BA136">
            <v>0</v>
          </cell>
          <cell r="BB136">
            <v>0</v>
          </cell>
          <cell r="BC136">
            <v>0</v>
          </cell>
          <cell r="BD136">
            <v>0</v>
          </cell>
          <cell r="BE136">
            <v>0</v>
          </cell>
          <cell r="BF136">
            <v>0</v>
          </cell>
          <cell r="BG136">
            <v>0</v>
          </cell>
          <cell r="BH136">
            <v>0</v>
          </cell>
          <cell r="BJ136">
            <v>0</v>
          </cell>
          <cell r="BL136">
            <v>0</v>
          </cell>
          <cell r="BM136">
            <v>0</v>
          </cell>
          <cell r="BN136">
            <v>0</v>
          </cell>
          <cell r="BO136">
            <v>0</v>
          </cell>
          <cell r="BQ136">
            <v>0</v>
          </cell>
          <cell r="BR136">
            <v>0</v>
          </cell>
          <cell r="BS136">
            <v>0</v>
          </cell>
          <cell r="BT136">
            <v>0</v>
          </cell>
          <cell r="CB136">
            <v>0</v>
          </cell>
          <cell r="CC136">
            <v>0</v>
          </cell>
          <cell r="CD136">
            <v>0</v>
          </cell>
          <cell r="CE136">
            <v>0</v>
          </cell>
          <cell r="CF136">
            <v>0</v>
          </cell>
          <cell r="CI136">
            <v>0</v>
          </cell>
          <cell r="CJ136">
            <v>0</v>
          </cell>
          <cell r="CK136">
            <v>0</v>
          </cell>
          <cell r="CV136">
            <v>3.1759199237567891E-3</v>
          </cell>
          <cell r="DG136">
            <v>138163312</v>
          </cell>
          <cell r="DR136">
            <v>48424353.820000038</v>
          </cell>
          <cell r="EC136">
            <v>2.8531782275004014</v>
          </cell>
          <cell r="EN136">
            <v>2.4095909012463064E-2</v>
          </cell>
        </row>
        <row r="137">
          <cell r="B137">
            <v>33105</v>
          </cell>
          <cell r="C137" t="str">
            <v>James Sprunt Technical College</v>
          </cell>
          <cell r="D137">
            <v>3.5701058323638399E-4</v>
          </cell>
          <cell r="E137">
            <v>617711.55279962695</v>
          </cell>
          <cell r="F137">
            <v>481643.8638975186</v>
          </cell>
          <cell r="G137">
            <v>-164000</v>
          </cell>
          <cell r="H137">
            <v>-172363.47255993955</v>
          </cell>
          <cell r="I137">
            <v>-7132.725709584859</v>
          </cell>
          <cell r="J137">
            <v>521262.13189736108</v>
          </cell>
          <cell r="K137">
            <v>0</v>
          </cell>
          <cell r="L137">
            <v>-27387.97775011414</v>
          </cell>
          <cell r="M137">
            <v>4914.9688626942143</v>
          </cell>
          <cell r="N137">
            <v>185.28135248801857</v>
          </cell>
          <cell r="O137">
            <v>-83.61544869979349</v>
          </cell>
          <cell r="P137">
            <v>0</v>
          </cell>
          <cell r="Q137">
            <v>0</v>
          </cell>
          <cell r="R137">
            <v>0</v>
          </cell>
          <cell r="S137">
            <v>1254750.0073413504</v>
          </cell>
          <cell r="T137">
            <v>9507.2199999999139</v>
          </cell>
          <cell r="U137">
            <v>2606310.6594868056</v>
          </cell>
          <cell r="V137">
            <v>19659.875450776857</v>
          </cell>
          <cell r="W137">
            <v>0</v>
          </cell>
          <cell r="X137">
            <v>2635477.7549375822</v>
          </cell>
          <cell r="Y137">
            <v>829512</v>
          </cell>
          <cell r="Z137">
            <v>0</v>
          </cell>
          <cell r="AA137">
            <v>0</v>
          </cell>
          <cell r="AB137">
            <v>35663.628547924294</v>
          </cell>
          <cell r="AC137">
            <v>865175.62854792434</v>
          </cell>
          <cell r="AD137" t="str">
            <v>N/A</v>
          </cell>
          <cell r="AE137">
            <v>355043</v>
          </cell>
          <cell r="AF137">
            <v>355043</v>
          </cell>
          <cell r="AG137">
            <v>355043</v>
          </cell>
          <cell r="AH137">
            <v>355043</v>
          </cell>
          <cell r="AI137">
            <v>350128</v>
          </cell>
          <cell r="AJ137">
            <v>0</v>
          </cell>
          <cell r="AK137">
            <v>1770300</v>
          </cell>
          <cell r="AL137">
            <v>12831919</v>
          </cell>
          <cell r="AM137">
            <v>1254750.0073413504</v>
          </cell>
          <cell r="AN137">
            <v>-325797.21999999991</v>
          </cell>
          <cell r="AO137">
            <v>2590306.9063896583</v>
          </cell>
          <cell r="AP137">
            <v>0</v>
          </cell>
          <cell r="AQ137">
            <v>-820004.78</v>
          </cell>
          <cell r="AR137">
            <v>0</v>
          </cell>
          <cell r="AS137">
            <v>0</v>
          </cell>
          <cell r="AT137">
            <v>15531173.913731011</v>
          </cell>
          <cell r="AU137">
            <v>3.8703409191319041E-4</v>
          </cell>
          <cell r="AV137">
            <v>0</v>
          </cell>
          <cell r="AW137">
            <v>0</v>
          </cell>
          <cell r="AY137">
            <v>0</v>
          </cell>
          <cell r="AZ137">
            <v>0</v>
          </cell>
          <cell r="BA137">
            <v>0</v>
          </cell>
          <cell r="BB137">
            <v>0</v>
          </cell>
          <cell r="BC137">
            <v>0</v>
          </cell>
          <cell r="BD137">
            <v>0</v>
          </cell>
          <cell r="BE137">
            <v>0</v>
          </cell>
          <cell r="BF137">
            <v>0</v>
          </cell>
          <cell r="BG137">
            <v>0</v>
          </cell>
          <cell r="BH137">
            <v>0</v>
          </cell>
          <cell r="BJ137">
            <v>0</v>
          </cell>
          <cell r="BL137">
            <v>0</v>
          </cell>
          <cell r="BM137">
            <v>0</v>
          </cell>
          <cell r="BN137">
            <v>0</v>
          </cell>
          <cell r="BO137">
            <v>0</v>
          </cell>
          <cell r="BQ137">
            <v>0</v>
          </cell>
          <cell r="BR137">
            <v>0</v>
          </cell>
          <cell r="BS137">
            <v>0</v>
          </cell>
          <cell r="BT137">
            <v>0</v>
          </cell>
          <cell r="CB137">
            <v>0</v>
          </cell>
          <cell r="CC137">
            <v>0</v>
          </cell>
          <cell r="CD137">
            <v>0</v>
          </cell>
          <cell r="CE137">
            <v>0</v>
          </cell>
          <cell r="CF137">
            <v>0</v>
          </cell>
          <cell r="CI137">
            <v>0</v>
          </cell>
          <cell r="CJ137">
            <v>0</v>
          </cell>
          <cell r="CK137">
            <v>0</v>
          </cell>
          <cell r="CV137">
            <v>3.5701058323638399E-4</v>
          </cell>
          <cell r="DG137">
            <v>15531174</v>
          </cell>
          <cell r="DR137">
            <v>5705826.6699999999</v>
          </cell>
          <cell r="EC137">
            <v>2.7219848933826798</v>
          </cell>
          <cell r="EN137">
            <v>2.4095909012463064E-2</v>
          </cell>
        </row>
        <row r="138">
          <cell r="B138">
            <v>33200</v>
          </cell>
          <cell r="C138" t="str">
            <v>Durham Public Schools</v>
          </cell>
          <cell r="D138">
            <v>1.3861030528488062E-2</v>
          </cell>
          <cell r="E138">
            <v>23982814.776911646</v>
          </cell>
          <cell r="F138">
            <v>18699950.687237989</v>
          </cell>
          <cell r="G138">
            <v>2001565</v>
          </cell>
          <cell r="H138">
            <v>-6692057.5112689054</v>
          </cell>
          <cell r="I138">
            <v>-276929.96637700679</v>
          </cell>
          <cell r="J138">
            <v>20238140.444117088</v>
          </cell>
          <cell r="K138">
            <v>0</v>
          </cell>
          <cell r="L138">
            <v>-1063345.4959975963</v>
          </cell>
          <cell r="M138">
            <v>190824.96892610262</v>
          </cell>
          <cell r="N138">
            <v>7193.5976236747347</v>
          </cell>
          <cell r="O138">
            <v>-3246.3919600771892</v>
          </cell>
          <cell r="P138">
            <v>0</v>
          </cell>
          <cell r="Q138">
            <v>0</v>
          </cell>
          <cell r="R138">
            <v>0</v>
          </cell>
          <cell r="S138">
            <v>57084910.109212928</v>
          </cell>
          <cell r="T138">
            <v>10564641</v>
          </cell>
          <cell r="U138">
            <v>101190702.22058544</v>
          </cell>
          <cell r="V138">
            <v>763299.87570441049</v>
          </cell>
          <cell r="W138">
            <v>0</v>
          </cell>
          <cell r="X138">
            <v>112518643.09628984</v>
          </cell>
          <cell r="Y138">
            <v>556814.71999999881</v>
          </cell>
          <cell r="Z138">
            <v>0</v>
          </cell>
          <cell r="AA138">
            <v>0</v>
          </cell>
          <cell r="AB138">
            <v>1384649.831885034</v>
          </cell>
          <cell r="AC138">
            <v>1941464.5518850328</v>
          </cell>
          <cell r="AD138" t="str">
            <v>N/A</v>
          </cell>
          <cell r="AE138">
            <v>22153600</v>
          </cell>
          <cell r="AF138">
            <v>22153600</v>
          </cell>
          <cell r="AG138">
            <v>22153600</v>
          </cell>
          <cell r="AH138">
            <v>22153600</v>
          </cell>
          <cell r="AI138">
            <v>21962775</v>
          </cell>
          <cell r="AJ138">
            <v>0</v>
          </cell>
          <cell r="AK138">
            <v>110577175</v>
          </cell>
          <cell r="AL138">
            <v>446877872</v>
          </cell>
          <cell r="AM138">
            <v>57084910.109212928</v>
          </cell>
          <cell r="AN138">
            <v>-11538019.280000001</v>
          </cell>
          <cell r="AO138">
            <v>100569352.26440483</v>
          </cell>
          <cell r="AP138">
            <v>0</v>
          </cell>
          <cell r="AQ138">
            <v>10007826.280000001</v>
          </cell>
          <cell r="AR138">
            <v>0</v>
          </cell>
          <cell r="AS138">
            <v>0</v>
          </cell>
          <cell r="AT138">
            <v>603001941.37361765</v>
          </cell>
          <cell r="AU138">
            <v>1.3478651924261592E-2</v>
          </cell>
          <cell r="AV138">
            <v>0</v>
          </cell>
          <cell r="AW138">
            <v>0</v>
          </cell>
          <cell r="AY138">
            <v>0</v>
          </cell>
          <cell r="AZ138">
            <v>0</v>
          </cell>
          <cell r="BA138">
            <v>0</v>
          </cell>
          <cell r="BB138">
            <v>0</v>
          </cell>
          <cell r="BC138">
            <v>0</v>
          </cell>
          <cell r="BD138">
            <v>0</v>
          </cell>
          <cell r="BE138">
            <v>0</v>
          </cell>
          <cell r="BF138">
            <v>0</v>
          </cell>
          <cell r="BG138">
            <v>0</v>
          </cell>
          <cell r="BH138">
            <v>0</v>
          </cell>
          <cell r="BJ138">
            <v>0</v>
          </cell>
          <cell r="BL138">
            <v>0</v>
          </cell>
          <cell r="BM138">
            <v>0</v>
          </cell>
          <cell r="BN138">
            <v>0</v>
          </cell>
          <cell r="BO138">
            <v>0</v>
          </cell>
          <cell r="BQ138">
            <v>0</v>
          </cell>
          <cell r="BR138">
            <v>0</v>
          </cell>
          <cell r="BS138">
            <v>0</v>
          </cell>
          <cell r="BT138">
            <v>0</v>
          </cell>
          <cell r="CB138">
            <v>0</v>
          </cell>
          <cell r="CC138">
            <v>0</v>
          </cell>
          <cell r="CD138">
            <v>0</v>
          </cell>
          <cell r="CE138">
            <v>0</v>
          </cell>
          <cell r="CF138">
            <v>0</v>
          </cell>
          <cell r="CI138">
            <v>0</v>
          </cell>
          <cell r="CJ138">
            <v>0</v>
          </cell>
          <cell r="CK138">
            <v>0</v>
          </cell>
          <cell r="CV138">
            <v>1.3861030528488062E-2</v>
          </cell>
          <cell r="DG138">
            <v>603001942</v>
          </cell>
          <cell r="DR138">
            <v>198407653.93000114</v>
          </cell>
          <cell r="EC138">
            <v>3.0392070570661605</v>
          </cell>
          <cell r="EN138">
            <v>2.4095909012463064E-2</v>
          </cell>
        </row>
        <row r="139">
          <cell r="B139">
            <v>33202</v>
          </cell>
          <cell r="C139" t="str">
            <v>Central Park School For Children</v>
          </cell>
          <cell r="D139">
            <v>1.6583970091368149E-4</v>
          </cell>
          <cell r="E139">
            <v>286941.35125789134</v>
          </cell>
          <cell r="F139">
            <v>223734.75209497384</v>
          </cell>
          <cell r="G139">
            <v>113924</v>
          </cell>
          <cell r="H139">
            <v>-80066.832973568744</v>
          </cell>
          <cell r="I139">
            <v>-3313.3166183862527</v>
          </cell>
          <cell r="J139">
            <v>242138.3569860413</v>
          </cell>
          <cell r="K139">
            <v>0</v>
          </cell>
          <cell r="L139">
            <v>-12722.351246663553</v>
          </cell>
          <cell r="M139">
            <v>2283.1170964183248</v>
          </cell>
          <cell r="N139">
            <v>86.06748798018242</v>
          </cell>
          <cell r="O139">
            <v>-38.841316350993338</v>
          </cell>
          <cell r="P139">
            <v>0</v>
          </cell>
          <cell r="Q139">
            <v>0</v>
          </cell>
          <cell r="R139">
            <v>0</v>
          </cell>
          <cell r="S139">
            <v>772966.30276833544</v>
          </cell>
          <cell r="T139">
            <v>583485</v>
          </cell>
          <cell r="U139">
            <v>1210691.7849302064</v>
          </cell>
          <cell r="V139">
            <v>9132.4683856732991</v>
          </cell>
          <cell r="W139">
            <v>0</v>
          </cell>
          <cell r="X139">
            <v>1803309.2533158797</v>
          </cell>
          <cell r="Y139">
            <v>13867.510000000009</v>
          </cell>
          <cell r="Z139">
            <v>0</v>
          </cell>
          <cell r="AA139">
            <v>0</v>
          </cell>
          <cell r="AB139">
            <v>16566.583091931261</v>
          </cell>
          <cell r="AC139">
            <v>30434.09309193127</v>
          </cell>
          <cell r="AD139" t="str">
            <v>N/A</v>
          </cell>
          <cell r="AE139">
            <v>355031</v>
          </cell>
          <cell r="AF139">
            <v>355032</v>
          </cell>
          <cell r="AG139">
            <v>355032</v>
          </cell>
          <cell r="AH139">
            <v>355032</v>
          </cell>
          <cell r="AI139">
            <v>352749</v>
          </cell>
          <cell r="AJ139">
            <v>0</v>
          </cell>
          <cell r="AK139">
            <v>1772876</v>
          </cell>
          <cell r="AL139">
            <v>4798149</v>
          </cell>
          <cell r="AM139">
            <v>772966.30276833544</v>
          </cell>
          <cell r="AN139">
            <v>-129400.48999999999</v>
          </cell>
          <cell r="AO139">
            <v>1203257.6702239485</v>
          </cell>
          <cell r="AP139">
            <v>0</v>
          </cell>
          <cell r="AQ139">
            <v>569617.49</v>
          </cell>
          <cell r="AR139">
            <v>0</v>
          </cell>
          <cell r="AS139">
            <v>0</v>
          </cell>
          <cell r="AT139">
            <v>7214589.9729922842</v>
          </cell>
          <cell r="AU139">
            <v>1.4472092777425487E-4</v>
          </cell>
          <cell r="AV139">
            <v>0</v>
          </cell>
          <cell r="AW139">
            <v>0</v>
          </cell>
          <cell r="AY139">
            <v>0</v>
          </cell>
          <cell r="AZ139">
            <v>0</v>
          </cell>
          <cell r="BA139">
            <v>0</v>
          </cell>
          <cell r="BB139">
            <v>0</v>
          </cell>
          <cell r="BC139">
            <v>0</v>
          </cell>
          <cell r="BD139">
            <v>0</v>
          </cell>
          <cell r="BE139">
            <v>0</v>
          </cell>
          <cell r="BF139">
            <v>0</v>
          </cell>
          <cell r="BG139">
            <v>0</v>
          </cell>
          <cell r="BH139">
            <v>0</v>
          </cell>
          <cell r="BJ139">
            <v>0</v>
          </cell>
          <cell r="BL139">
            <v>0</v>
          </cell>
          <cell r="BM139">
            <v>0</v>
          </cell>
          <cell r="BN139">
            <v>0</v>
          </cell>
          <cell r="BO139">
            <v>0</v>
          </cell>
          <cell r="BQ139">
            <v>0</v>
          </cell>
          <cell r="BR139">
            <v>0</v>
          </cell>
          <cell r="BS139">
            <v>0</v>
          </cell>
          <cell r="BT139">
            <v>0</v>
          </cell>
          <cell r="CB139">
            <v>0</v>
          </cell>
          <cell r="CC139">
            <v>0</v>
          </cell>
          <cell r="CD139">
            <v>0</v>
          </cell>
          <cell r="CE139">
            <v>0</v>
          </cell>
          <cell r="CF139">
            <v>0</v>
          </cell>
          <cell r="CI139">
            <v>0</v>
          </cell>
          <cell r="CJ139">
            <v>0</v>
          </cell>
          <cell r="CK139">
            <v>0</v>
          </cell>
          <cell r="CV139">
            <v>1.6583970091368149E-4</v>
          </cell>
          <cell r="DG139">
            <v>7214591</v>
          </cell>
          <cell r="DR139">
            <v>2083307.32</v>
          </cell>
          <cell r="EC139">
            <v>3.4630469209890742</v>
          </cell>
          <cell r="EN139">
            <v>2.4095909012463064E-2</v>
          </cell>
        </row>
        <row r="140">
          <cell r="B140">
            <v>33203</v>
          </cell>
          <cell r="C140" t="str">
            <v>Healthy Start Academy</v>
          </cell>
          <cell r="D140">
            <v>1.1475133798238069E-4</v>
          </cell>
          <cell r="E140">
            <v>198546.57116424461</v>
          </cell>
          <cell r="F140">
            <v>154811.31486975838</v>
          </cell>
          <cell r="G140">
            <v>75281</v>
          </cell>
          <cell r="H140">
            <v>-55401.548369355711</v>
          </cell>
          <cell r="I140">
            <v>-2292.6206030543622</v>
          </cell>
          <cell r="J140">
            <v>167545.52913397894</v>
          </cell>
          <cell r="K140">
            <v>0</v>
          </cell>
          <cell r="L140">
            <v>-8803.1202407698747</v>
          </cell>
          <cell r="M140">
            <v>1579.7830081761626</v>
          </cell>
          <cell r="N140">
            <v>59.553649386095927</v>
          </cell>
          <cell r="O140">
            <v>-26.875910868853381</v>
          </cell>
          <cell r="P140">
            <v>0</v>
          </cell>
          <cell r="Q140">
            <v>0</v>
          </cell>
          <cell r="R140">
            <v>0</v>
          </cell>
          <cell r="S140">
            <v>531299.58670149522</v>
          </cell>
          <cell r="T140">
            <v>394559</v>
          </cell>
          <cell r="U140">
            <v>837727.64566989464</v>
          </cell>
          <cell r="V140">
            <v>6319.1320327046506</v>
          </cell>
          <cell r="W140">
            <v>0</v>
          </cell>
          <cell r="X140">
            <v>1238605.7777025993</v>
          </cell>
          <cell r="Y140">
            <v>18155.159999999989</v>
          </cell>
          <cell r="Z140">
            <v>0</v>
          </cell>
          <cell r="AA140">
            <v>0</v>
          </cell>
          <cell r="AB140">
            <v>11463.10301527181</v>
          </cell>
          <cell r="AC140">
            <v>29618.263015271797</v>
          </cell>
          <cell r="AD140" t="str">
            <v>N/A</v>
          </cell>
          <cell r="AE140">
            <v>242114</v>
          </cell>
          <cell r="AF140">
            <v>242114</v>
          </cell>
          <cell r="AG140">
            <v>242114</v>
          </cell>
          <cell r="AH140">
            <v>242114</v>
          </cell>
          <cell r="AI140">
            <v>240534</v>
          </cell>
          <cell r="AJ140">
            <v>0</v>
          </cell>
          <cell r="AK140">
            <v>1208990</v>
          </cell>
          <cell r="AL140">
            <v>3331051</v>
          </cell>
          <cell r="AM140">
            <v>531299.58670149522</v>
          </cell>
          <cell r="AN140">
            <v>-79264.840000000011</v>
          </cell>
          <cell r="AO140">
            <v>832583.67468732758</v>
          </cell>
          <cell r="AP140">
            <v>0</v>
          </cell>
          <cell r="AQ140">
            <v>376403.84</v>
          </cell>
          <cell r="AR140">
            <v>0</v>
          </cell>
          <cell r="AS140">
            <v>0</v>
          </cell>
          <cell r="AT140">
            <v>4992073.2613888225</v>
          </cell>
          <cell r="AU140">
            <v>1.0047057826492E-4</v>
          </cell>
          <cell r="AV140">
            <v>0</v>
          </cell>
          <cell r="AW140">
            <v>0</v>
          </cell>
          <cell r="AY140">
            <v>0</v>
          </cell>
          <cell r="AZ140">
            <v>0</v>
          </cell>
          <cell r="BA140">
            <v>0</v>
          </cell>
          <cell r="BB140">
            <v>0</v>
          </cell>
          <cell r="BC140">
            <v>0</v>
          </cell>
          <cell r="BD140">
            <v>0</v>
          </cell>
          <cell r="BE140">
            <v>0</v>
          </cell>
          <cell r="BF140">
            <v>0</v>
          </cell>
          <cell r="BG140">
            <v>0</v>
          </cell>
          <cell r="BH140">
            <v>0</v>
          </cell>
          <cell r="BJ140">
            <v>0</v>
          </cell>
          <cell r="BL140">
            <v>0</v>
          </cell>
          <cell r="BM140">
            <v>0</v>
          </cell>
          <cell r="BN140">
            <v>0</v>
          </cell>
          <cell r="BO140">
            <v>0</v>
          </cell>
          <cell r="BQ140">
            <v>0</v>
          </cell>
          <cell r="BR140">
            <v>0</v>
          </cell>
          <cell r="BS140">
            <v>0</v>
          </cell>
          <cell r="BT140">
            <v>0</v>
          </cell>
          <cell r="CB140">
            <v>0</v>
          </cell>
          <cell r="CC140">
            <v>0</v>
          </cell>
          <cell r="CD140">
            <v>0</v>
          </cell>
          <cell r="CE140">
            <v>0</v>
          </cell>
          <cell r="CF140">
            <v>0</v>
          </cell>
          <cell r="CI140">
            <v>0</v>
          </cell>
          <cell r="CJ140">
            <v>0</v>
          </cell>
          <cell r="CK140">
            <v>0</v>
          </cell>
          <cell r="CV140">
            <v>1.1475133798238069E-4</v>
          </cell>
          <cell r="DG140">
            <v>4992073</v>
          </cell>
          <cell r="DR140">
            <v>1400711.38</v>
          </cell>
          <cell r="EC140">
            <v>3.5639554809642515</v>
          </cell>
          <cell r="EN140">
            <v>2.4095909012463064E-2</v>
          </cell>
        </row>
        <row r="141">
          <cell r="B141">
            <v>33204</v>
          </cell>
          <cell r="C141" t="str">
            <v>Voyager Academy</v>
          </cell>
          <cell r="D141">
            <v>4.0490674464265631E-4</v>
          </cell>
          <cell r="E141">
            <v>700583.07993253705</v>
          </cell>
          <cell r="F141">
            <v>546260.69412269385</v>
          </cell>
          <cell r="G141">
            <v>198362</v>
          </cell>
          <cell r="H141">
            <v>-195487.57332871223</v>
          </cell>
          <cell r="I141">
            <v>-8089.6446299036561</v>
          </cell>
          <cell r="J141">
            <v>591194.10696097661</v>
          </cell>
          <cell r="K141">
            <v>0</v>
          </cell>
          <cell r="L141">
            <v>-31062.319813084039</v>
          </cell>
          <cell r="M141">
            <v>5574.3558753154512</v>
          </cell>
          <cell r="N141">
            <v>210.13850233464578</v>
          </cell>
          <cell r="O141">
            <v>-94.833208662756533</v>
          </cell>
          <cell r="P141">
            <v>0</v>
          </cell>
          <cell r="Q141">
            <v>0</v>
          </cell>
          <cell r="R141">
            <v>0</v>
          </cell>
          <cell r="S141">
            <v>1807450.0044134951</v>
          </cell>
          <cell r="T141">
            <v>1052110</v>
          </cell>
          <cell r="U141">
            <v>2955970.5348048829</v>
          </cell>
          <cell r="V141">
            <v>22297.423501261805</v>
          </cell>
          <cell r="W141">
            <v>0</v>
          </cell>
          <cell r="X141">
            <v>4030377.9583061449</v>
          </cell>
          <cell r="Y141">
            <v>60301.110000000044</v>
          </cell>
          <cell r="Z141">
            <v>0</v>
          </cell>
          <cell r="AA141">
            <v>0</v>
          </cell>
          <cell r="AB141">
            <v>40448.223149518279</v>
          </cell>
          <cell r="AC141">
            <v>100749.33314951832</v>
          </cell>
          <cell r="AD141" t="str">
            <v>N/A</v>
          </cell>
          <cell r="AE141">
            <v>787041</v>
          </cell>
          <cell r="AF141">
            <v>787041</v>
          </cell>
          <cell r="AG141">
            <v>787041</v>
          </cell>
          <cell r="AH141">
            <v>787041</v>
          </cell>
          <cell r="AI141">
            <v>781466</v>
          </cell>
          <cell r="AJ141">
            <v>0</v>
          </cell>
          <cell r="AK141">
            <v>3929630</v>
          </cell>
          <cell r="AL141">
            <v>12161946</v>
          </cell>
          <cell r="AM141">
            <v>1807450.0044134951</v>
          </cell>
          <cell r="AN141">
            <v>-284204.88999999996</v>
          </cell>
          <cell r="AO141">
            <v>2937819.7351566264</v>
          </cell>
          <cell r="AP141">
            <v>0</v>
          </cell>
          <cell r="AQ141">
            <v>991808.8899999999</v>
          </cell>
          <cell r="AR141">
            <v>0</v>
          </cell>
          <cell r="AS141">
            <v>0</v>
          </cell>
          <cell r="AT141">
            <v>17614819.739570122</v>
          </cell>
          <cell r="AU141">
            <v>3.6682647886358247E-4</v>
          </cell>
          <cell r="AV141">
            <v>0</v>
          </cell>
          <cell r="AW141">
            <v>0</v>
          </cell>
          <cell r="AY141">
            <v>0</v>
          </cell>
          <cell r="AZ141">
            <v>0</v>
          </cell>
          <cell r="BA141">
            <v>0</v>
          </cell>
          <cell r="BB141">
            <v>0</v>
          </cell>
          <cell r="BC141">
            <v>0</v>
          </cell>
          <cell r="BD141">
            <v>0</v>
          </cell>
          <cell r="BE141">
            <v>0</v>
          </cell>
          <cell r="BF141">
            <v>0</v>
          </cell>
          <cell r="BG141">
            <v>0</v>
          </cell>
          <cell r="BH141">
            <v>0</v>
          </cell>
          <cell r="BJ141">
            <v>0</v>
          </cell>
          <cell r="BL141">
            <v>0</v>
          </cell>
          <cell r="BM141">
            <v>0</v>
          </cell>
          <cell r="BN141">
            <v>0</v>
          </cell>
          <cell r="BO141">
            <v>0</v>
          </cell>
          <cell r="BQ141">
            <v>0</v>
          </cell>
          <cell r="BR141">
            <v>0</v>
          </cell>
          <cell r="BS141">
            <v>0</v>
          </cell>
          <cell r="BT141">
            <v>0</v>
          </cell>
          <cell r="CB141">
            <v>0</v>
          </cell>
          <cell r="CC141">
            <v>0</v>
          </cell>
          <cell r="CD141">
            <v>0</v>
          </cell>
          <cell r="CE141">
            <v>0</v>
          </cell>
          <cell r="CF141">
            <v>0</v>
          </cell>
          <cell r="CI141">
            <v>0</v>
          </cell>
          <cell r="CJ141">
            <v>0</v>
          </cell>
          <cell r="CK141">
            <v>0</v>
          </cell>
          <cell r="CV141">
            <v>4.0490674464265631E-4</v>
          </cell>
          <cell r="DG141">
            <v>17614820</v>
          </cell>
          <cell r="DR141">
            <v>4874017.7599999988</v>
          </cell>
          <cell r="EC141">
            <v>3.6140245824627453</v>
          </cell>
          <cell r="EN141">
            <v>2.4095909012463064E-2</v>
          </cell>
        </row>
        <row r="142">
          <cell r="B142">
            <v>33205</v>
          </cell>
          <cell r="C142" t="str">
            <v>Durham Technical Institute</v>
          </cell>
          <cell r="D142">
            <v>1.1182984542950423E-3</v>
          </cell>
          <cell r="E142">
            <v>1934917.0784627127</v>
          </cell>
          <cell r="F142">
            <v>1508699.2201591246</v>
          </cell>
          <cell r="G142">
            <v>202739</v>
          </cell>
          <cell r="H142">
            <v>-539910.61887675221</v>
          </cell>
          <cell r="I142">
            <v>-22342.520111393569</v>
          </cell>
          <cell r="J142">
            <v>1632799.3167569202</v>
          </cell>
          <cell r="K142">
            <v>0</v>
          </cell>
          <cell r="L142">
            <v>-85789.986690507358</v>
          </cell>
          <cell r="M142">
            <v>15395.627861317269</v>
          </cell>
          <cell r="N142">
            <v>580.37453181004105</v>
          </cell>
          <cell r="O142">
            <v>-261.91668098044187</v>
          </cell>
          <cell r="P142">
            <v>0</v>
          </cell>
          <cell r="Q142">
            <v>0</v>
          </cell>
          <cell r="R142">
            <v>0</v>
          </cell>
          <cell r="S142">
            <v>4646825.5754122511</v>
          </cell>
          <cell r="T142">
            <v>1013693.1900000001</v>
          </cell>
          <cell r="U142">
            <v>8163996.5837846017</v>
          </cell>
          <cell r="V142">
            <v>61582.511445269076</v>
          </cell>
          <cell r="W142">
            <v>0</v>
          </cell>
          <cell r="X142">
            <v>9239272.285229871</v>
          </cell>
          <cell r="Y142">
            <v>0</v>
          </cell>
          <cell r="Z142">
            <v>0</v>
          </cell>
          <cell r="AA142">
            <v>0</v>
          </cell>
          <cell r="AB142">
            <v>111712.60055696784</v>
          </cell>
          <cell r="AC142">
            <v>111712.60055696784</v>
          </cell>
          <cell r="AD142" t="str">
            <v>N/A</v>
          </cell>
          <cell r="AE142">
            <v>1828590</v>
          </cell>
          <cell r="AF142">
            <v>1828591</v>
          </cell>
          <cell r="AG142">
            <v>1828591</v>
          </cell>
          <cell r="AH142">
            <v>1828591</v>
          </cell>
          <cell r="AI142">
            <v>1813196</v>
          </cell>
          <cell r="AJ142">
            <v>0</v>
          </cell>
          <cell r="AK142">
            <v>9127559</v>
          </cell>
          <cell r="AL142">
            <v>35901235</v>
          </cell>
          <cell r="AM142">
            <v>4646825.5754122511</v>
          </cell>
          <cell r="AN142">
            <v>-1025837.1900000001</v>
          </cell>
          <cell r="AO142">
            <v>8113866.4946729029</v>
          </cell>
          <cell r="AP142">
            <v>0</v>
          </cell>
          <cell r="AQ142">
            <v>1013693.1900000001</v>
          </cell>
          <cell r="AR142">
            <v>0</v>
          </cell>
          <cell r="AS142">
            <v>0</v>
          </cell>
          <cell r="AT142">
            <v>48649783.070085153</v>
          </cell>
          <cell r="AU142">
            <v>1.0828467437052501E-3</v>
          </cell>
          <cell r="AV142">
            <v>0</v>
          </cell>
          <cell r="AW142">
            <v>0</v>
          </cell>
          <cell r="AY142">
            <v>0</v>
          </cell>
          <cell r="AZ142">
            <v>0</v>
          </cell>
          <cell r="BA142">
            <v>0</v>
          </cell>
          <cell r="BB142">
            <v>0</v>
          </cell>
          <cell r="BC142">
            <v>0</v>
          </cell>
          <cell r="BD142">
            <v>0</v>
          </cell>
          <cell r="BE142">
            <v>0</v>
          </cell>
          <cell r="BF142">
            <v>0</v>
          </cell>
          <cell r="BG142">
            <v>0</v>
          </cell>
          <cell r="BH142">
            <v>0</v>
          </cell>
          <cell r="BJ142">
            <v>0</v>
          </cell>
          <cell r="BL142">
            <v>0</v>
          </cell>
          <cell r="BM142">
            <v>0</v>
          </cell>
          <cell r="BN142">
            <v>0</v>
          </cell>
          <cell r="BO142">
            <v>0</v>
          </cell>
          <cell r="BQ142">
            <v>0</v>
          </cell>
          <cell r="BR142">
            <v>0</v>
          </cell>
          <cell r="BS142">
            <v>0</v>
          </cell>
          <cell r="BT142">
            <v>0</v>
          </cell>
          <cell r="CB142">
            <v>0</v>
          </cell>
          <cell r="CC142">
            <v>0</v>
          </cell>
          <cell r="CD142">
            <v>0</v>
          </cell>
          <cell r="CE142">
            <v>0</v>
          </cell>
          <cell r="CF142">
            <v>0</v>
          </cell>
          <cell r="CI142">
            <v>0</v>
          </cell>
          <cell r="CJ142">
            <v>0</v>
          </cell>
          <cell r="CK142">
            <v>0</v>
          </cell>
          <cell r="CV142">
            <v>1.1182984542950423E-3</v>
          </cell>
          <cell r="DG142">
            <v>48649784</v>
          </cell>
          <cell r="DR142">
            <v>17495640.5</v>
          </cell>
          <cell r="EC142">
            <v>2.780680364345621</v>
          </cell>
          <cell r="EN142">
            <v>2.4095909012463064E-2</v>
          </cell>
        </row>
        <row r="143">
          <cell r="B143">
            <v>33206</v>
          </cell>
          <cell r="C143" t="str">
            <v>Bear Grass Charter School</v>
          </cell>
          <cell r="D143">
            <v>9.1382949996967092E-5</v>
          </cell>
          <cell r="E143">
            <v>158113.81116582092</v>
          </cell>
          <cell r="F143">
            <v>123284.96464137135</v>
          </cell>
          <cell r="G143">
            <v>-27643</v>
          </cell>
          <cell r="H143">
            <v>-44119.371620475045</v>
          </cell>
          <cell r="I143">
            <v>-1825.7428419972032</v>
          </cell>
          <cell r="J143">
            <v>133425.93629206016</v>
          </cell>
          <cell r="K143">
            <v>0</v>
          </cell>
          <cell r="L143">
            <v>-7010.4201913800871</v>
          </cell>
          <cell r="M143">
            <v>1258.0701382705172</v>
          </cell>
          <cell r="N143">
            <v>47.425923389425982</v>
          </cell>
          <cell r="O143">
            <v>-21.402800718789663</v>
          </cell>
          <cell r="P143">
            <v>0</v>
          </cell>
          <cell r="Q143">
            <v>0</v>
          </cell>
          <cell r="R143">
            <v>0</v>
          </cell>
          <cell r="S143">
            <v>335510.27070634119</v>
          </cell>
          <cell r="T143">
            <v>0</v>
          </cell>
          <cell r="U143">
            <v>667129.68146030081</v>
          </cell>
          <cell r="V143">
            <v>5032.2805530820688</v>
          </cell>
          <cell r="W143">
            <v>0</v>
          </cell>
          <cell r="X143">
            <v>672161.96201338293</v>
          </cell>
          <cell r="Y143">
            <v>138212.82</v>
          </cell>
          <cell r="Z143">
            <v>0</v>
          </cell>
          <cell r="AA143">
            <v>0</v>
          </cell>
          <cell r="AB143">
            <v>9128.7142099860157</v>
          </cell>
          <cell r="AC143">
            <v>147341.53420998601</v>
          </cell>
          <cell r="AD143" t="str">
            <v>N/A</v>
          </cell>
          <cell r="AE143">
            <v>105215</v>
          </cell>
          <cell r="AF143">
            <v>105215</v>
          </cell>
          <cell r="AG143">
            <v>105215</v>
          </cell>
          <cell r="AH143">
            <v>105215</v>
          </cell>
          <cell r="AI143">
            <v>103957</v>
          </cell>
          <cell r="AJ143">
            <v>0</v>
          </cell>
          <cell r="AK143">
            <v>524817</v>
          </cell>
          <cell r="AL143">
            <v>3187367</v>
          </cell>
          <cell r="AM143">
            <v>335510.27070634119</v>
          </cell>
          <cell r="AN143">
            <v>-72229.179999999993</v>
          </cell>
          <cell r="AO143">
            <v>663033.24780339689</v>
          </cell>
          <cell r="AP143">
            <v>0</v>
          </cell>
          <cell r="AQ143">
            <v>-138212.82</v>
          </cell>
          <cell r="AR143">
            <v>0</v>
          </cell>
          <cell r="AS143">
            <v>0</v>
          </cell>
          <cell r="AT143">
            <v>3975468.5185097381</v>
          </cell>
          <cell r="AU143">
            <v>9.6136797168055663E-5</v>
          </cell>
          <cell r="AV143">
            <v>0</v>
          </cell>
          <cell r="AW143">
            <v>0</v>
          </cell>
          <cell r="AY143">
            <v>0</v>
          </cell>
          <cell r="AZ143">
            <v>0</v>
          </cell>
          <cell r="BA143">
            <v>0</v>
          </cell>
          <cell r="BB143">
            <v>0</v>
          </cell>
          <cell r="BC143">
            <v>0</v>
          </cell>
          <cell r="BD143">
            <v>0</v>
          </cell>
          <cell r="BE143">
            <v>0</v>
          </cell>
          <cell r="BF143">
            <v>0</v>
          </cell>
          <cell r="BG143">
            <v>0</v>
          </cell>
          <cell r="BH143">
            <v>0</v>
          </cell>
          <cell r="BJ143">
            <v>0</v>
          </cell>
          <cell r="BL143">
            <v>0</v>
          </cell>
          <cell r="BM143">
            <v>0</v>
          </cell>
          <cell r="BN143">
            <v>0</v>
          </cell>
          <cell r="BO143">
            <v>0</v>
          </cell>
          <cell r="BQ143">
            <v>0</v>
          </cell>
          <cell r="BR143">
            <v>0</v>
          </cell>
          <cell r="BS143">
            <v>0</v>
          </cell>
          <cell r="BT143">
            <v>0</v>
          </cell>
          <cell r="CB143">
            <v>0</v>
          </cell>
          <cell r="CC143">
            <v>0</v>
          </cell>
          <cell r="CD143">
            <v>0</v>
          </cell>
          <cell r="CE143">
            <v>0</v>
          </cell>
          <cell r="CF143">
            <v>0</v>
          </cell>
          <cell r="CI143">
            <v>0</v>
          </cell>
          <cell r="CJ143">
            <v>0</v>
          </cell>
          <cell r="CK143">
            <v>0</v>
          </cell>
          <cell r="CV143">
            <v>9.1382949996967092E-5</v>
          </cell>
          <cell r="DG143">
            <v>3975469</v>
          </cell>
          <cell r="DR143">
            <v>1272069.9199999997</v>
          </cell>
          <cell r="EC143">
            <v>3.1251969231376848</v>
          </cell>
          <cell r="EN143">
            <v>2.4095909012463064E-2</v>
          </cell>
        </row>
        <row r="144">
          <cell r="B144">
            <v>33207</v>
          </cell>
          <cell r="C144" t="str">
            <v>Invest Collegiate Charter (Buncombe)</v>
          </cell>
          <cell r="D144">
            <v>1.8750286738630526E-4</v>
          </cell>
          <cell r="E144">
            <v>324423.6804343937</v>
          </cell>
          <cell r="F144">
            <v>252960.58374832058</v>
          </cell>
          <cell r="G144">
            <v>656385</v>
          </cell>
          <cell r="H144">
            <v>-90525.73468459498</v>
          </cell>
          <cell r="I144">
            <v>-3746.1257050233039</v>
          </cell>
          <cell r="J144">
            <v>273768.19898344367</v>
          </cell>
          <cell r="K144">
            <v>0</v>
          </cell>
          <cell r="L144">
            <v>-14384.235653480691</v>
          </cell>
          <cell r="M144">
            <v>2581.3541618719519</v>
          </cell>
          <cell r="N144">
            <v>97.310238116144703</v>
          </cell>
          <cell r="O144">
            <v>-43.915046570546558</v>
          </cell>
          <cell r="P144">
            <v>0</v>
          </cell>
          <cell r="Q144">
            <v>0</v>
          </cell>
          <cell r="R144">
            <v>0</v>
          </cell>
          <cell r="S144">
            <v>1401516.1164764767</v>
          </cell>
          <cell r="T144">
            <v>3304737</v>
          </cell>
          <cell r="U144">
            <v>1368840.9949172183</v>
          </cell>
          <cell r="V144">
            <v>10325.416647487807</v>
          </cell>
          <cell r="W144">
            <v>0</v>
          </cell>
          <cell r="X144">
            <v>4683903.4115647068</v>
          </cell>
          <cell r="Y144">
            <v>22808.76999999999</v>
          </cell>
          <cell r="Z144">
            <v>0</v>
          </cell>
          <cell r="AA144">
            <v>0</v>
          </cell>
          <cell r="AB144">
            <v>18730.628525116517</v>
          </cell>
          <cell r="AC144">
            <v>41539.398525116507</v>
          </cell>
          <cell r="AD144" t="str">
            <v>N/A</v>
          </cell>
          <cell r="AE144">
            <v>928988</v>
          </cell>
          <cell r="AF144">
            <v>928989</v>
          </cell>
          <cell r="AG144">
            <v>928989</v>
          </cell>
          <cell r="AH144">
            <v>928989</v>
          </cell>
          <cell r="AI144">
            <v>926408</v>
          </cell>
          <cell r="AJ144">
            <v>0</v>
          </cell>
          <cell r="AK144">
            <v>4642363</v>
          </cell>
          <cell r="AL144">
            <v>2250879</v>
          </cell>
          <cell r="AM144">
            <v>1401516.1164764767</v>
          </cell>
          <cell r="AN144">
            <v>-137746.23000000001</v>
          </cell>
          <cell r="AO144">
            <v>1360435.7830395899</v>
          </cell>
          <cell r="AP144">
            <v>0</v>
          </cell>
          <cell r="AQ144">
            <v>3281928.23</v>
          </cell>
          <cell r="AR144">
            <v>0</v>
          </cell>
          <cell r="AS144">
            <v>0</v>
          </cell>
          <cell r="AT144">
            <v>8157012.8995160665</v>
          </cell>
          <cell r="AU144">
            <v>6.7890614210609432E-5</v>
          </cell>
          <cell r="AV144">
            <v>0</v>
          </cell>
          <cell r="AW144">
            <v>0</v>
          </cell>
          <cell r="AY144">
            <v>0</v>
          </cell>
          <cell r="AZ144">
            <v>0</v>
          </cell>
          <cell r="BA144">
            <v>0</v>
          </cell>
          <cell r="BB144">
            <v>0</v>
          </cell>
          <cell r="BC144">
            <v>0</v>
          </cell>
          <cell r="BD144">
            <v>0</v>
          </cell>
          <cell r="BE144">
            <v>0</v>
          </cell>
          <cell r="BF144">
            <v>0</v>
          </cell>
          <cell r="BG144">
            <v>0</v>
          </cell>
          <cell r="BH144">
            <v>0</v>
          </cell>
          <cell r="BJ144">
            <v>0</v>
          </cell>
          <cell r="BL144">
            <v>0</v>
          </cell>
          <cell r="BM144">
            <v>0</v>
          </cell>
          <cell r="BN144">
            <v>0</v>
          </cell>
          <cell r="BO144">
            <v>0</v>
          </cell>
          <cell r="BQ144">
            <v>0</v>
          </cell>
          <cell r="BR144">
            <v>0</v>
          </cell>
          <cell r="BS144">
            <v>0</v>
          </cell>
          <cell r="BT144">
            <v>0</v>
          </cell>
          <cell r="CB144">
            <v>0</v>
          </cell>
          <cell r="CC144">
            <v>0</v>
          </cell>
          <cell r="CD144">
            <v>0</v>
          </cell>
          <cell r="CE144">
            <v>0</v>
          </cell>
          <cell r="CF144">
            <v>0</v>
          </cell>
          <cell r="CI144">
            <v>0</v>
          </cell>
          <cell r="CJ144">
            <v>0</v>
          </cell>
          <cell r="CK144">
            <v>0</v>
          </cell>
          <cell r="CV144">
            <v>1.8750286738630526E-4</v>
          </cell>
          <cell r="DG144">
            <v>8157012</v>
          </cell>
          <cell r="DR144">
            <v>1940969.2600000007</v>
          </cell>
          <cell r="EC144">
            <v>4.2025456910121273</v>
          </cell>
          <cell r="EN144">
            <v>2.4095909012463064E-2</v>
          </cell>
        </row>
        <row r="145">
          <cell r="B145">
            <v>33208</v>
          </cell>
          <cell r="C145" t="str">
            <v>Kipp Halifax College Prep Charter</v>
          </cell>
          <cell r="D145">
            <v>2.9970915411450654E-5</v>
          </cell>
          <cell r="E145">
            <v>51856.671950185206</v>
          </cell>
          <cell r="F145">
            <v>40433.836365458301</v>
          </cell>
          <cell r="G145">
            <v>62822</v>
          </cell>
          <cell r="H145">
            <v>-14469.854112692794</v>
          </cell>
          <cell r="I145">
            <v>-598.78986487496593</v>
          </cell>
          <cell r="J145">
            <v>43759.776308771587</v>
          </cell>
          <cell r="K145">
            <v>0</v>
          </cell>
          <cell r="L145">
            <v>-2299.2112922766401</v>
          </cell>
          <cell r="M145">
            <v>412.60994197527117</v>
          </cell>
          <cell r="N145">
            <v>15.554305680234661</v>
          </cell>
          <cell r="O145">
            <v>-7.0194880985158576</v>
          </cell>
          <cell r="P145">
            <v>0</v>
          </cell>
          <cell r="Q145">
            <v>0</v>
          </cell>
          <cell r="R145">
            <v>0</v>
          </cell>
          <cell r="S145">
            <v>181925.57411412767</v>
          </cell>
          <cell r="T145">
            <v>314109.83</v>
          </cell>
          <cell r="U145">
            <v>218798.88154385795</v>
          </cell>
          <cell r="V145">
            <v>1650.4397679010847</v>
          </cell>
          <cell r="W145">
            <v>0</v>
          </cell>
          <cell r="X145">
            <v>534559.15131175902</v>
          </cell>
          <cell r="Y145">
            <v>0</v>
          </cell>
          <cell r="Z145">
            <v>0</v>
          </cell>
          <cell r="AA145">
            <v>0</v>
          </cell>
          <cell r="AB145">
            <v>2993.9493243748298</v>
          </cell>
          <cell r="AC145">
            <v>2993.9493243748298</v>
          </cell>
          <cell r="AD145" t="str">
            <v>N/A</v>
          </cell>
          <cell r="AE145">
            <v>106396</v>
          </cell>
          <cell r="AF145">
            <v>106396</v>
          </cell>
          <cell r="AG145">
            <v>106396</v>
          </cell>
          <cell r="AH145">
            <v>106396</v>
          </cell>
          <cell r="AI145">
            <v>105983</v>
          </cell>
          <cell r="AJ145">
            <v>0</v>
          </cell>
          <cell r="AK145">
            <v>531567</v>
          </cell>
          <cell r="AL145">
            <v>618533</v>
          </cell>
          <cell r="AM145">
            <v>181925.57411412767</v>
          </cell>
          <cell r="AN145">
            <v>-28186.83</v>
          </cell>
          <cell r="AO145">
            <v>217455.37198738422</v>
          </cell>
          <cell r="AP145">
            <v>0</v>
          </cell>
          <cell r="AQ145">
            <v>314109.83</v>
          </cell>
          <cell r="AR145">
            <v>0</v>
          </cell>
          <cell r="AS145">
            <v>0</v>
          </cell>
          <cell r="AT145">
            <v>1303836.9461015121</v>
          </cell>
          <cell r="AU145">
            <v>1.8656076932907597E-5</v>
          </cell>
          <cell r="AV145">
            <v>0</v>
          </cell>
          <cell r="AW145">
            <v>0</v>
          </cell>
          <cell r="AY145">
            <v>0</v>
          </cell>
          <cell r="AZ145">
            <v>0</v>
          </cell>
          <cell r="BA145">
            <v>0</v>
          </cell>
          <cell r="BB145">
            <v>0</v>
          </cell>
          <cell r="BC145">
            <v>0</v>
          </cell>
          <cell r="BD145">
            <v>0</v>
          </cell>
          <cell r="BE145">
            <v>0</v>
          </cell>
          <cell r="BF145">
            <v>0</v>
          </cell>
          <cell r="BG145">
            <v>0</v>
          </cell>
          <cell r="BH145">
            <v>0</v>
          </cell>
          <cell r="BJ145">
            <v>0</v>
          </cell>
          <cell r="BL145">
            <v>0</v>
          </cell>
          <cell r="BM145">
            <v>0</v>
          </cell>
          <cell r="BN145">
            <v>0</v>
          </cell>
          <cell r="BO145">
            <v>0</v>
          </cell>
          <cell r="BQ145">
            <v>0</v>
          </cell>
          <cell r="BR145">
            <v>0</v>
          </cell>
          <cell r="BS145">
            <v>0</v>
          </cell>
          <cell r="BT145">
            <v>0</v>
          </cell>
          <cell r="CB145">
            <v>0</v>
          </cell>
          <cell r="CC145">
            <v>0</v>
          </cell>
          <cell r="CD145">
            <v>0</v>
          </cell>
          <cell r="CE145">
            <v>0</v>
          </cell>
          <cell r="CF145">
            <v>0</v>
          </cell>
          <cell r="CI145">
            <v>0</v>
          </cell>
          <cell r="CJ145">
            <v>0</v>
          </cell>
          <cell r="CK145">
            <v>0</v>
          </cell>
          <cell r="CV145">
            <v>2.9970915411450654E-5</v>
          </cell>
          <cell r="DG145">
            <v>1303837</v>
          </cell>
          <cell r="DR145">
            <v>364821.84</v>
          </cell>
          <cell r="EC145">
            <v>3.5739006195462419</v>
          </cell>
          <cell r="EN145">
            <v>2.4095909012463064E-2</v>
          </cell>
        </row>
        <row r="146">
          <cell r="B146">
            <v>33209</v>
          </cell>
          <cell r="C146" t="str">
            <v>Pioneer Springs Community Charter</v>
          </cell>
          <cell r="D146">
            <v>6.9109201951951491E-5</v>
          </cell>
          <cell r="E146">
            <v>119575.03350038601</v>
          </cell>
          <cell r="F146">
            <v>93235.395873327638</v>
          </cell>
          <cell r="G146">
            <v>142841</v>
          </cell>
          <cell r="H146">
            <v>-33365.68324193739</v>
          </cell>
          <cell r="I146">
            <v>-1380.7349268556359</v>
          </cell>
          <cell r="J146">
            <v>100904.59956854352</v>
          </cell>
          <cell r="K146">
            <v>0</v>
          </cell>
          <cell r="L146">
            <v>-5301.6951716945496</v>
          </cell>
          <cell r="M146">
            <v>951.42718918947457</v>
          </cell>
          <cell r="N146">
            <v>35.866293629023787</v>
          </cell>
          <cell r="O146">
            <v>-16.18606618916656</v>
          </cell>
          <cell r="P146">
            <v>0</v>
          </cell>
          <cell r="Q146">
            <v>0</v>
          </cell>
          <cell r="R146">
            <v>0</v>
          </cell>
          <cell r="S146">
            <v>417479.02301839902</v>
          </cell>
          <cell r="T146">
            <v>727344</v>
          </cell>
          <cell r="U146">
            <v>504522.99784271762</v>
          </cell>
          <cell r="V146">
            <v>3805.7087567578983</v>
          </cell>
          <cell r="W146">
            <v>0</v>
          </cell>
          <cell r="X146">
            <v>1235672.7065994756</v>
          </cell>
          <cell r="Y146">
            <v>13140.879999999997</v>
          </cell>
          <cell r="Z146">
            <v>0</v>
          </cell>
          <cell r="AA146">
            <v>0</v>
          </cell>
          <cell r="AB146">
            <v>6903.6746342781789</v>
          </cell>
          <cell r="AC146">
            <v>20044.554634278174</v>
          </cell>
          <cell r="AD146" t="str">
            <v>N/A</v>
          </cell>
          <cell r="AE146">
            <v>243316</v>
          </cell>
          <cell r="AF146">
            <v>243316</v>
          </cell>
          <cell r="AG146">
            <v>243316</v>
          </cell>
          <cell r="AH146">
            <v>243316</v>
          </cell>
          <cell r="AI146">
            <v>242365</v>
          </cell>
          <cell r="AJ146">
            <v>0</v>
          </cell>
          <cell r="AK146">
            <v>1215629</v>
          </cell>
          <cell r="AL146">
            <v>1418468</v>
          </cell>
          <cell r="AM146">
            <v>417479.02301839902</v>
          </cell>
          <cell r="AN146">
            <v>-45089.120000000003</v>
          </cell>
          <cell r="AO146">
            <v>501425.03196519736</v>
          </cell>
          <cell r="AP146">
            <v>0</v>
          </cell>
          <cell r="AQ146">
            <v>714203.12</v>
          </cell>
          <cell r="AR146">
            <v>0</v>
          </cell>
          <cell r="AS146">
            <v>0</v>
          </cell>
          <cell r="AT146">
            <v>3006486.0549835963</v>
          </cell>
          <cell r="AU146">
            <v>4.2783569407861607E-5</v>
          </cell>
          <cell r="AV146">
            <v>0</v>
          </cell>
          <cell r="AW146">
            <v>0</v>
          </cell>
          <cell r="AY146">
            <v>0</v>
          </cell>
          <cell r="AZ146">
            <v>0</v>
          </cell>
          <cell r="BA146">
            <v>0</v>
          </cell>
          <cell r="BB146">
            <v>0</v>
          </cell>
          <cell r="BC146">
            <v>0</v>
          </cell>
          <cell r="BD146">
            <v>0</v>
          </cell>
          <cell r="BE146">
            <v>0</v>
          </cell>
          <cell r="BF146">
            <v>0</v>
          </cell>
          <cell r="BG146">
            <v>0</v>
          </cell>
          <cell r="BH146">
            <v>0</v>
          </cell>
          <cell r="BJ146">
            <v>0</v>
          </cell>
          <cell r="BL146">
            <v>0</v>
          </cell>
          <cell r="BM146">
            <v>0</v>
          </cell>
          <cell r="BN146">
            <v>0</v>
          </cell>
          <cell r="BO146">
            <v>0</v>
          </cell>
          <cell r="BQ146">
            <v>0</v>
          </cell>
          <cell r="BR146">
            <v>0</v>
          </cell>
          <cell r="BS146">
            <v>0</v>
          </cell>
          <cell r="BT146">
            <v>0</v>
          </cell>
          <cell r="CB146">
            <v>0</v>
          </cell>
          <cell r="CC146">
            <v>0</v>
          </cell>
          <cell r="CD146">
            <v>0</v>
          </cell>
          <cell r="CE146">
            <v>0</v>
          </cell>
          <cell r="CF146">
            <v>0</v>
          </cell>
          <cell r="CI146">
            <v>0</v>
          </cell>
          <cell r="CJ146">
            <v>0</v>
          </cell>
          <cell r="CK146">
            <v>0</v>
          </cell>
          <cell r="CV146">
            <v>6.9109201951951491E-5</v>
          </cell>
          <cell r="DG146">
            <v>3006485</v>
          </cell>
          <cell r="DR146">
            <v>801128.51</v>
          </cell>
          <cell r="EC146">
            <v>3.752812392109226</v>
          </cell>
          <cell r="EN146">
            <v>2.4095909012463064E-2</v>
          </cell>
        </row>
        <row r="147">
          <cell r="B147">
            <v>33300</v>
          </cell>
          <cell r="C147" t="str">
            <v>Edgecombe County Schools</v>
          </cell>
          <cell r="D147">
            <v>1.9979924577220956E-3</v>
          </cell>
          <cell r="E147">
            <v>3456992.8217626</v>
          </cell>
          <cell r="F147">
            <v>2695496.5834673797</v>
          </cell>
          <cell r="G147">
            <v>-66132</v>
          </cell>
          <cell r="H147">
            <v>-964623.83562878007</v>
          </cell>
          <cell r="I147">
            <v>-39917.954368638602</v>
          </cell>
          <cell r="J147">
            <v>2917218.3036867674</v>
          </cell>
          <cell r="K147">
            <v>0</v>
          </cell>
          <cell r="L147">
            <v>-153275.49251041879</v>
          </cell>
          <cell r="M147">
            <v>27506.38546504913</v>
          </cell>
          <cell r="N147">
            <v>1036.9181257086132</v>
          </cell>
          <cell r="O147">
            <v>-467.94981352309202</v>
          </cell>
          <cell r="P147">
            <v>0</v>
          </cell>
          <cell r="Q147">
            <v>0</v>
          </cell>
          <cell r="R147">
            <v>0</v>
          </cell>
          <cell r="S147">
            <v>7873833.7801861446</v>
          </cell>
          <cell r="T147">
            <v>0</v>
          </cell>
          <cell r="U147">
            <v>14586091.518433837</v>
          </cell>
          <cell r="V147">
            <v>110025.54186019652</v>
          </cell>
          <cell r="W147">
            <v>0</v>
          </cell>
          <cell r="X147">
            <v>14696117.060294034</v>
          </cell>
          <cell r="Y147">
            <v>330660.01</v>
          </cell>
          <cell r="Z147">
            <v>0</v>
          </cell>
          <cell r="AA147">
            <v>0</v>
          </cell>
          <cell r="AB147">
            <v>199589.77184319301</v>
          </cell>
          <cell r="AC147">
            <v>530249.78184319299</v>
          </cell>
          <cell r="AD147" t="str">
            <v>N/A</v>
          </cell>
          <cell r="AE147">
            <v>2838675</v>
          </cell>
          <cell r="AF147">
            <v>2838675</v>
          </cell>
          <cell r="AG147">
            <v>2838675</v>
          </cell>
          <cell r="AH147">
            <v>2838675</v>
          </cell>
          <cell r="AI147">
            <v>2811168</v>
          </cell>
          <cell r="AJ147">
            <v>0</v>
          </cell>
          <cell r="AK147">
            <v>14165868</v>
          </cell>
          <cell r="AL147">
            <v>66604119</v>
          </cell>
          <cell r="AM147">
            <v>7873833.7801861446</v>
          </cell>
          <cell r="AN147">
            <v>-1724356.99</v>
          </cell>
          <cell r="AO147">
            <v>14496527.288450843</v>
          </cell>
          <cell r="AP147">
            <v>0</v>
          </cell>
          <cell r="AQ147">
            <v>-330660.01</v>
          </cell>
          <cell r="AR147">
            <v>0</v>
          </cell>
          <cell r="AS147">
            <v>0</v>
          </cell>
          <cell r="AT147">
            <v>86919463.068636984</v>
          </cell>
          <cell r="AU147">
            <v>2.0089017525020784E-3</v>
          </cell>
          <cell r="AV147">
            <v>0</v>
          </cell>
          <cell r="AW147">
            <v>0</v>
          </cell>
          <cell r="AY147">
            <v>0</v>
          </cell>
          <cell r="AZ147">
            <v>0</v>
          </cell>
          <cell r="BA147">
            <v>0</v>
          </cell>
          <cell r="BB147">
            <v>0</v>
          </cell>
          <cell r="BC147">
            <v>0</v>
          </cell>
          <cell r="BD147">
            <v>0</v>
          </cell>
          <cell r="BE147">
            <v>0</v>
          </cell>
          <cell r="BF147">
            <v>0</v>
          </cell>
          <cell r="BG147">
            <v>0</v>
          </cell>
          <cell r="BH147">
            <v>0</v>
          </cell>
          <cell r="BJ147">
            <v>0</v>
          </cell>
          <cell r="BL147">
            <v>0</v>
          </cell>
          <cell r="BM147">
            <v>0</v>
          </cell>
          <cell r="BN147">
            <v>0</v>
          </cell>
          <cell r="BO147">
            <v>0</v>
          </cell>
          <cell r="BQ147">
            <v>0</v>
          </cell>
          <cell r="BR147">
            <v>0</v>
          </cell>
          <cell r="BS147">
            <v>0</v>
          </cell>
          <cell r="BT147">
            <v>0</v>
          </cell>
          <cell r="CB147">
            <v>0</v>
          </cell>
          <cell r="CC147">
            <v>0</v>
          </cell>
          <cell r="CD147">
            <v>0</v>
          </cell>
          <cell r="CE147">
            <v>0</v>
          </cell>
          <cell r="CF147">
            <v>0</v>
          </cell>
          <cell r="CI147">
            <v>0</v>
          </cell>
          <cell r="CJ147">
            <v>0</v>
          </cell>
          <cell r="CK147">
            <v>0</v>
          </cell>
          <cell r="CV147">
            <v>1.9979924577220956E-3</v>
          </cell>
          <cell r="DG147">
            <v>86919463</v>
          </cell>
          <cell r="DR147">
            <v>30152921.930000052</v>
          </cell>
          <cell r="EC147">
            <v>2.8826215648945519</v>
          </cell>
          <cell r="EN147">
            <v>2.4095909012463064E-2</v>
          </cell>
        </row>
        <row r="148">
          <cell r="B148">
            <v>33305</v>
          </cell>
          <cell r="C148" t="str">
            <v>Edgecombe Technical College</v>
          </cell>
          <cell r="D148">
            <v>5.0947246059903392E-4</v>
          </cell>
          <cell r="E148">
            <v>881506.15002049413</v>
          </cell>
          <cell r="F148">
            <v>687330.56103779713</v>
          </cell>
          <cell r="G148">
            <v>-132634</v>
          </cell>
          <cell r="H148">
            <v>-245971.53867666362</v>
          </cell>
          <cell r="I148">
            <v>-10178.76636904652</v>
          </cell>
          <cell r="J148">
            <v>743867.86673774396</v>
          </cell>
          <cell r="K148">
            <v>0</v>
          </cell>
          <cell r="L148">
            <v>-39084.052603402517</v>
          </cell>
          <cell r="M148">
            <v>7013.9133062799983</v>
          </cell>
          <cell r="N148">
            <v>264.40601760168664</v>
          </cell>
          <cell r="O148">
            <v>-119.32354499689974</v>
          </cell>
          <cell r="P148">
            <v>0</v>
          </cell>
          <cell r="Q148">
            <v>0</v>
          </cell>
          <cell r="R148">
            <v>0</v>
          </cell>
          <cell r="S148">
            <v>1891995.2159258076</v>
          </cell>
          <cell r="T148">
            <v>87548.70000000007</v>
          </cell>
          <cell r="U148">
            <v>3719339.3336887197</v>
          </cell>
          <cell r="V148">
            <v>28055.653225119993</v>
          </cell>
          <cell r="W148">
            <v>0</v>
          </cell>
          <cell r="X148">
            <v>3834943.68691384</v>
          </cell>
          <cell r="Y148">
            <v>750722</v>
          </cell>
          <cell r="Z148">
            <v>0</v>
          </cell>
          <cell r="AA148">
            <v>0</v>
          </cell>
          <cell r="AB148">
            <v>50893.831845232591</v>
          </cell>
          <cell r="AC148">
            <v>801615.83184523263</v>
          </cell>
          <cell r="AD148" t="str">
            <v>N/A</v>
          </cell>
          <cell r="AE148">
            <v>608069</v>
          </cell>
          <cell r="AF148">
            <v>608068</v>
          </cell>
          <cell r="AG148">
            <v>608068</v>
          </cell>
          <cell r="AH148">
            <v>608068</v>
          </cell>
          <cell r="AI148">
            <v>601054</v>
          </cell>
          <cell r="AJ148">
            <v>0</v>
          </cell>
          <cell r="AK148">
            <v>3033327</v>
          </cell>
          <cell r="AL148">
            <v>17792167</v>
          </cell>
          <cell r="AM148">
            <v>1891995.2159258076</v>
          </cell>
          <cell r="AN148">
            <v>-553706.70000000007</v>
          </cell>
          <cell r="AO148">
            <v>3696501.1550686075</v>
          </cell>
          <cell r="AP148">
            <v>0</v>
          </cell>
          <cell r="AQ148">
            <v>-663173.29999999993</v>
          </cell>
          <cell r="AR148">
            <v>0</v>
          </cell>
          <cell r="AS148">
            <v>0</v>
          </cell>
          <cell r="AT148">
            <v>22163783.370994415</v>
          </cell>
          <cell r="AU148">
            <v>5.3664421705445478E-4</v>
          </cell>
          <cell r="AV148">
            <v>0</v>
          </cell>
          <cell r="AW148">
            <v>0</v>
          </cell>
          <cell r="AY148">
            <v>0</v>
          </cell>
          <cell r="AZ148">
            <v>0</v>
          </cell>
          <cell r="BA148">
            <v>0</v>
          </cell>
          <cell r="BB148">
            <v>0</v>
          </cell>
          <cell r="BC148">
            <v>0</v>
          </cell>
          <cell r="BD148">
            <v>0</v>
          </cell>
          <cell r="BE148">
            <v>0</v>
          </cell>
          <cell r="BF148">
            <v>0</v>
          </cell>
          <cell r="BG148">
            <v>0</v>
          </cell>
          <cell r="BH148">
            <v>0</v>
          </cell>
          <cell r="BJ148">
            <v>0</v>
          </cell>
          <cell r="BL148">
            <v>0</v>
          </cell>
          <cell r="BM148">
            <v>0</v>
          </cell>
          <cell r="BN148">
            <v>0</v>
          </cell>
          <cell r="BO148">
            <v>0</v>
          </cell>
          <cell r="BQ148">
            <v>0</v>
          </cell>
          <cell r="BR148">
            <v>0</v>
          </cell>
          <cell r="BS148">
            <v>0</v>
          </cell>
          <cell r="BT148">
            <v>0</v>
          </cell>
          <cell r="CB148">
            <v>0</v>
          </cell>
          <cell r="CC148">
            <v>0</v>
          </cell>
          <cell r="CD148">
            <v>0</v>
          </cell>
          <cell r="CE148">
            <v>0</v>
          </cell>
          <cell r="CF148">
            <v>0</v>
          </cell>
          <cell r="CI148">
            <v>0</v>
          </cell>
          <cell r="CJ148">
            <v>0</v>
          </cell>
          <cell r="CK148">
            <v>0</v>
          </cell>
          <cell r="CV148">
            <v>5.0947246059903392E-4</v>
          </cell>
          <cell r="DG148">
            <v>22163784</v>
          </cell>
          <cell r="DR148">
            <v>9481893.4399999995</v>
          </cell>
          <cell r="EC148">
            <v>2.3374850329471748</v>
          </cell>
          <cell r="EN148">
            <v>2.4095909012463064E-2</v>
          </cell>
        </row>
        <row r="149">
          <cell r="B149">
            <v>33400</v>
          </cell>
          <cell r="C149" t="str">
            <v>Winston-Salem-Forsyth County Schools</v>
          </cell>
          <cell r="D149">
            <v>1.7769357204634899E-2</v>
          </cell>
          <cell r="E149">
            <v>30745131.227268424</v>
          </cell>
          <cell r="F149">
            <v>23972683.905980468</v>
          </cell>
          <cell r="G149">
            <v>89100</v>
          </cell>
          <cell r="H149">
            <v>-8578984.0883257985</v>
          </cell>
          <cell r="I149">
            <v>-355014.54838490469</v>
          </cell>
          <cell r="J149">
            <v>25944589.471177764</v>
          </cell>
          <cell r="K149">
            <v>0</v>
          </cell>
          <cell r="L149">
            <v>-1363171.8010783424</v>
          </cell>
          <cell r="M149">
            <v>244630.94785356766</v>
          </cell>
          <cell r="N149">
            <v>9221.9410020614196</v>
          </cell>
          <cell r="O149">
            <v>-4161.7611508975397</v>
          </cell>
          <cell r="P149">
            <v>0</v>
          </cell>
          <cell r="Q149">
            <v>0</v>
          </cell>
          <cell r="R149">
            <v>0</v>
          </cell>
          <cell r="S149">
            <v>70704025.294342324</v>
          </cell>
          <cell r="T149">
            <v>445495.31000000238</v>
          </cell>
          <cell r="U149">
            <v>129722947.35588881</v>
          </cell>
          <cell r="V149">
            <v>978523.79141427064</v>
          </cell>
          <cell r="W149">
            <v>0</v>
          </cell>
          <cell r="X149">
            <v>131146966.45730309</v>
          </cell>
          <cell r="Y149">
            <v>0</v>
          </cell>
          <cell r="Z149">
            <v>0</v>
          </cell>
          <cell r="AA149">
            <v>0</v>
          </cell>
          <cell r="AB149">
            <v>1775072.7419245234</v>
          </cell>
          <cell r="AC149">
            <v>1775072.7419245234</v>
          </cell>
          <cell r="AD149" t="str">
            <v>N/A</v>
          </cell>
          <cell r="AE149">
            <v>25923305</v>
          </cell>
          <cell r="AF149">
            <v>25923306</v>
          </cell>
          <cell r="AG149">
            <v>25923306</v>
          </cell>
          <cell r="AH149">
            <v>25923306</v>
          </cell>
          <cell r="AI149">
            <v>25678675</v>
          </cell>
          <cell r="AJ149">
            <v>0</v>
          </cell>
          <cell r="AK149">
            <v>129371898</v>
          </cell>
          <cell r="AL149">
            <v>588665314</v>
          </cell>
          <cell r="AM149">
            <v>70704025.294342324</v>
          </cell>
          <cell r="AN149">
            <v>-15713796.310000002</v>
          </cell>
          <cell r="AO149">
            <v>128926398.40537857</v>
          </cell>
          <cell r="AP149">
            <v>0</v>
          </cell>
          <cell r="AQ149">
            <v>445495.31000000238</v>
          </cell>
          <cell r="AR149">
            <v>0</v>
          </cell>
          <cell r="AS149">
            <v>0</v>
          </cell>
          <cell r="AT149">
            <v>773027436.69972086</v>
          </cell>
          <cell r="AU149">
            <v>1.7755219836229876E-2</v>
          </cell>
          <cell r="AV149">
            <v>0</v>
          </cell>
          <cell r="AW149">
            <v>0</v>
          </cell>
          <cell r="AY149">
            <v>0</v>
          </cell>
          <cell r="AZ149">
            <v>0</v>
          </cell>
          <cell r="BA149">
            <v>0</v>
          </cell>
          <cell r="BB149">
            <v>0</v>
          </cell>
          <cell r="BC149">
            <v>0</v>
          </cell>
          <cell r="BD149">
            <v>0</v>
          </cell>
          <cell r="BE149">
            <v>0</v>
          </cell>
          <cell r="BF149">
            <v>0</v>
          </cell>
          <cell r="BG149">
            <v>0</v>
          </cell>
          <cell r="BH149">
            <v>0</v>
          </cell>
          <cell r="BJ149">
            <v>0</v>
          </cell>
          <cell r="BL149">
            <v>0</v>
          </cell>
          <cell r="BM149">
            <v>0</v>
          </cell>
          <cell r="BN149">
            <v>0</v>
          </cell>
          <cell r="BO149">
            <v>0</v>
          </cell>
          <cell r="BQ149">
            <v>0</v>
          </cell>
          <cell r="BR149">
            <v>0</v>
          </cell>
          <cell r="BS149">
            <v>0</v>
          </cell>
          <cell r="BT149">
            <v>0</v>
          </cell>
          <cell r="CB149">
            <v>0</v>
          </cell>
          <cell r="CC149">
            <v>0</v>
          </cell>
          <cell r="CD149">
            <v>0</v>
          </cell>
          <cell r="CE149">
            <v>0</v>
          </cell>
          <cell r="CF149">
            <v>0</v>
          </cell>
          <cell r="CI149">
            <v>0</v>
          </cell>
          <cell r="CJ149">
            <v>0</v>
          </cell>
          <cell r="CK149">
            <v>0</v>
          </cell>
          <cell r="CV149">
            <v>1.7769357204634899E-2</v>
          </cell>
          <cell r="DG149">
            <v>773027436</v>
          </cell>
          <cell r="DR149">
            <v>271727145.94999874</v>
          </cell>
          <cell r="EC149">
            <v>2.8448664313511278</v>
          </cell>
          <cell r="EN149">
            <v>2.4095909012463064E-2</v>
          </cell>
        </row>
        <row r="150">
          <cell r="B150">
            <v>33402</v>
          </cell>
          <cell r="C150" t="str">
            <v>Arts Based Elementary Charter</v>
          </cell>
          <cell r="D150">
            <v>1.4056542009747432E-4</v>
          </cell>
          <cell r="E150">
            <v>243210.95226706928</v>
          </cell>
          <cell r="F150">
            <v>189637.1571183879</v>
          </cell>
          <cell r="G150">
            <v>43162</v>
          </cell>
          <cell r="H150">
            <v>-67864.497769819078</v>
          </cell>
          <cell r="I150">
            <v>-2808.360964313486</v>
          </cell>
          <cell r="J150">
            <v>205236.0181786071</v>
          </cell>
          <cell r="K150">
            <v>0</v>
          </cell>
          <cell r="L150">
            <v>-10783.441104646583</v>
          </cell>
          <cell r="M150">
            <v>1935.1657776855752</v>
          </cell>
          <cell r="N150">
            <v>72.950641722187228</v>
          </cell>
          <cell r="O150">
            <v>-32.921827041029459</v>
          </cell>
          <cell r="P150">
            <v>0</v>
          </cell>
          <cell r="Q150">
            <v>0</v>
          </cell>
          <cell r="R150">
            <v>0</v>
          </cell>
          <cell r="S150">
            <v>601765.02231765189</v>
          </cell>
          <cell r="T150">
            <v>232721</v>
          </cell>
          <cell r="U150">
            <v>1026180.0908930356</v>
          </cell>
          <cell r="V150">
            <v>7740.6631107423009</v>
          </cell>
          <cell r="W150">
            <v>0</v>
          </cell>
          <cell r="X150">
            <v>1266641.7540037781</v>
          </cell>
          <cell r="Y150">
            <v>16910.510000000009</v>
          </cell>
          <cell r="Z150">
            <v>0</v>
          </cell>
          <cell r="AA150">
            <v>0</v>
          </cell>
          <cell r="AB150">
            <v>14041.804821567428</v>
          </cell>
          <cell r="AC150">
            <v>30952.314821567437</v>
          </cell>
          <cell r="AD150" t="str">
            <v>N/A</v>
          </cell>
          <cell r="AE150">
            <v>247525</v>
          </cell>
          <cell r="AF150">
            <v>247525</v>
          </cell>
          <cell r="AG150">
            <v>247525</v>
          </cell>
          <cell r="AH150">
            <v>247525</v>
          </cell>
          <cell r="AI150">
            <v>245590</v>
          </cell>
          <cell r="AJ150">
            <v>0</v>
          </cell>
          <cell r="AK150">
            <v>1235690</v>
          </cell>
          <cell r="AL150">
            <v>4381110</v>
          </cell>
          <cell r="AM150">
            <v>601765.02231765189</v>
          </cell>
          <cell r="AN150">
            <v>-103491.48999999999</v>
          </cell>
          <cell r="AO150">
            <v>1019878.9491822105</v>
          </cell>
          <cell r="AP150">
            <v>0</v>
          </cell>
          <cell r="AQ150">
            <v>215810.49</v>
          </cell>
          <cell r="AR150">
            <v>0</v>
          </cell>
          <cell r="AS150">
            <v>0</v>
          </cell>
          <cell r="AT150">
            <v>6115072.9714998621</v>
          </cell>
          <cell r="AU150">
            <v>1.3214227145512793E-4</v>
          </cell>
          <cell r="AV150">
            <v>0</v>
          </cell>
          <cell r="AW150">
            <v>0</v>
          </cell>
          <cell r="AY150">
            <v>0</v>
          </cell>
          <cell r="AZ150">
            <v>0</v>
          </cell>
          <cell r="BA150">
            <v>0</v>
          </cell>
          <cell r="BB150">
            <v>0</v>
          </cell>
          <cell r="BC150">
            <v>0</v>
          </cell>
          <cell r="BD150">
            <v>0</v>
          </cell>
          <cell r="BE150">
            <v>0</v>
          </cell>
          <cell r="BF150">
            <v>0</v>
          </cell>
          <cell r="BG150">
            <v>0</v>
          </cell>
          <cell r="BH150">
            <v>0</v>
          </cell>
          <cell r="BJ150">
            <v>0</v>
          </cell>
          <cell r="BL150">
            <v>0</v>
          </cell>
          <cell r="BM150">
            <v>0</v>
          </cell>
          <cell r="BN150">
            <v>0</v>
          </cell>
          <cell r="BO150">
            <v>0</v>
          </cell>
          <cell r="BQ150">
            <v>0</v>
          </cell>
          <cell r="BR150">
            <v>0</v>
          </cell>
          <cell r="BS150">
            <v>0</v>
          </cell>
          <cell r="BT150">
            <v>0</v>
          </cell>
          <cell r="CB150">
            <v>0</v>
          </cell>
          <cell r="CC150">
            <v>0</v>
          </cell>
          <cell r="CD150">
            <v>0</v>
          </cell>
          <cell r="CE150">
            <v>0</v>
          </cell>
          <cell r="CF150">
            <v>0</v>
          </cell>
          <cell r="CI150">
            <v>0</v>
          </cell>
          <cell r="CJ150">
            <v>0</v>
          </cell>
          <cell r="CK150">
            <v>0</v>
          </cell>
          <cell r="CV150">
            <v>1.4056542009747432E-4</v>
          </cell>
          <cell r="DG150">
            <v>6115074</v>
          </cell>
          <cell r="DR150">
            <v>1807378.6900000004</v>
          </cell>
          <cell r="EC150">
            <v>3.3833938807810102</v>
          </cell>
          <cell r="EN150">
            <v>2.4095909012463064E-2</v>
          </cell>
        </row>
        <row r="151">
          <cell r="B151">
            <v>33405</v>
          </cell>
          <cell r="C151" t="str">
            <v>Forsyth Technical Institute</v>
          </cell>
          <cell r="D151">
            <v>1.7860272560133689E-3</v>
          </cell>
          <cell r="E151">
            <v>3090243.5990923853</v>
          </cell>
          <cell r="F151">
            <v>2409533.8037723838</v>
          </cell>
          <cell r="G151">
            <v>19382</v>
          </cell>
          <cell r="H151">
            <v>-862287.77069427492</v>
          </cell>
          <cell r="I151">
            <v>-35683.09491416657</v>
          </cell>
          <cell r="J151">
            <v>2607733.2684557876</v>
          </cell>
          <cell r="K151">
            <v>0</v>
          </cell>
          <cell r="L151">
            <v>-137014.63498745495</v>
          </cell>
          <cell r="M151">
            <v>24588.25806129289</v>
          </cell>
          <cell r="N151">
            <v>926.91242532581816</v>
          </cell>
          <cell r="O151">
            <v>-418.30544363089109</v>
          </cell>
          <cell r="P151">
            <v>0</v>
          </cell>
          <cell r="Q151">
            <v>0</v>
          </cell>
          <cell r="R151">
            <v>0</v>
          </cell>
          <cell r="S151">
            <v>7117004.0357676493</v>
          </cell>
          <cell r="T151">
            <v>96910.160000000149</v>
          </cell>
          <cell r="U151">
            <v>13038666.342278937</v>
          </cell>
          <cell r="V151">
            <v>98353.032245171562</v>
          </cell>
          <cell r="W151">
            <v>0</v>
          </cell>
          <cell r="X151">
            <v>13233929.534524109</v>
          </cell>
          <cell r="Y151">
            <v>0</v>
          </cell>
          <cell r="Z151">
            <v>0</v>
          </cell>
          <cell r="AA151">
            <v>0</v>
          </cell>
          <cell r="AB151">
            <v>178415.47457083286</v>
          </cell>
          <cell r="AC151">
            <v>178415.47457083286</v>
          </cell>
          <cell r="AD151" t="str">
            <v>N/A</v>
          </cell>
          <cell r="AE151">
            <v>2616020</v>
          </cell>
          <cell r="AF151">
            <v>2616021</v>
          </cell>
          <cell r="AG151">
            <v>2616021</v>
          </cell>
          <cell r="AH151">
            <v>2616021</v>
          </cell>
          <cell r="AI151">
            <v>2591433</v>
          </cell>
          <cell r="AJ151">
            <v>0</v>
          </cell>
          <cell r="AK151">
            <v>13055516</v>
          </cell>
          <cell r="AL151">
            <v>59204762</v>
          </cell>
          <cell r="AM151">
            <v>7117004.0357676493</v>
          </cell>
          <cell r="AN151">
            <v>-1679024.1600000001</v>
          </cell>
          <cell r="AO151">
            <v>12958603.899953278</v>
          </cell>
          <cell r="AP151">
            <v>0</v>
          </cell>
          <cell r="AQ151">
            <v>96910.160000000149</v>
          </cell>
          <cell r="AR151">
            <v>0</v>
          </cell>
          <cell r="AS151">
            <v>0</v>
          </cell>
          <cell r="AT151">
            <v>77698255.935720921</v>
          </cell>
          <cell r="AU151">
            <v>1.7857236360827411E-3</v>
          </cell>
          <cell r="AV151">
            <v>0</v>
          </cell>
          <cell r="AW151">
            <v>0</v>
          </cell>
          <cell r="AY151">
            <v>0</v>
          </cell>
          <cell r="AZ151">
            <v>0</v>
          </cell>
          <cell r="BA151">
            <v>0</v>
          </cell>
          <cell r="BB151">
            <v>0</v>
          </cell>
          <cell r="BC151">
            <v>0</v>
          </cell>
          <cell r="BD151">
            <v>0</v>
          </cell>
          <cell r="BE151">
            <v>0</v>
          </cell>
          <cell r="BF151">
            <v>0</v>
          </cell>
          <cell r="BG151">
            <v>0</v>
          </cell>
          <cell r="BH151">
            <v>0</v>
          </cell>
          <cell r="BJ151">
            <v>0</v>
          </cell>
          <cell r="BL151">
            <v>0</v>
          </cell>
          <cell r="BM151">
            <v>0</v>
          </cell>
          <cell r="BN151">
            <v>0</v>
          </cell>
          <cell r="BO151">
            <v>0</v>
          </cell>
          <cell r="BQ151">
            <v>0</v>
          </cell>
          <cell r="BR151">
            <v>0</v>
          </cell>
          <cell r="BS151">
            <v>0</v>
          </cell>
          <cell r="BT151">
            <v>0</v>
          </cell>
          <cell r="CB151">
            <v>0</v>
          </cell>
          <cell r="CC151">
            <v>0</v>
          </cell>
          <cell r="CD151">
            <v>0</v>
          </cell>
          <cell r="CE151">
            <v>0</v>
          </cell>
          <cell r="CF151">
            <v>0</v>
          </cell>
          <cell r="CI151">
            <v>0</v>
          </cell>
          <cell r="CJ151">
            <v>0</v>
          </cell>
          <cell r="CK151">
            <v>0</v>
          </cell>
          <cell r="CV151">
            <v>1.7860272560133689E-3</v>
          </cell>
          <cell r="DG151">
            <v>77698256</v>
          </cell>
          <cell r="DR151">
            <v>29326717.320000004</v>
          </cell>
          <cell r="EC151">
            <v>2.6494017435429758</v>
          </cell>
          <cell r="EN151">
            <v>2.4095909012463064E-2</v>
          </cell>
        </row>
        <row r="152">
          <cell r="B152">
            <v>33500</v>
          </cell>
          <cell r="C152" t="str">
            <v>Franklin County Schools</v>
          </cell>
          <cell r="D152">
            <v>2.9704637198475579E-3</v>
          </cell>
          <cell r="E152">
            <v>5139594.8553913683</v>
          </cell>
          <cell r="F152">
            <v>4007459.9767466127</v>
          </cell>
          <cell r="G152">
            <v>596271</v>
          </cell>
          <cell r="H152">
            <v>-1434129.5914111184</v>
          </cell>
          <cell r="I152">
            <v>-59346.988405430755</v>
          </cell>
          <cell r="J152">
            <v>4337099.0218132632</v>
          </cell>
          <cell r="K152">
            <v>0</v>
          </cell>
          <cell r="L152">
            <v>-227878.382565593</v>
          </cell>
          <cell r="M152">
            <v>40894.408671203993</v>
          </cell>
          <cell r="N152">
            <v>1541.6112613264856</v>
          </cell>
          <cell r="O152">
            <v>-695.71230782549651</v>
          </cell>
          <cell r="P152">
            <v>0</v>
          </cell>
          <cell r="Q152">
            <v>0</v>
          </cell>
          <cell r="R152">
            <v>0</v>
          </cell>
          <cell r="S152">
            <v>12400810.199193807</v>
          </cell>
          <cell r="T152">
            <v>3054213</v>
          </cell>
          <cell r="U152">
            <v>21685495.109066315</v>
          </cell>
          <cell r="V152">
            <v>163577.63468481597</v>
          </cell>
          <cell r="W152">
            <v>0</v>
          </cell>
          <cell r="X152">
            <v>24903285.743751131</v>
          </cell>
          <cell r="Y152">
            <v>72861.060000000522</v>
          </cell>
          <cell r="Z152">
            <v>0</v>
          </cell>
          <cell r="AA152">
            <v>0</v>
          </cell>
          <cell r="AB152">
            <v>296734.94202715374</v>
          </cell>
          <cell r="AC152">
            <v>369596.00202715426</v>
          </cell>
          <cell r="AD152" t="str">
            <v>N/A</v>
          </cell>
          <cell r="AE152">
            <v>4914917</v>
          </cell>
          <cell r="AF152">
            <v>4914917</v>
          </cell>
          <cell r="AG152">
            <v>4914917</v>
          </cell>
          <cell r="AH152">
            <v>4914917</v>
          </cell>
          <cell r="AI152">
            <v>4874023</v>
          </cell>
          <cell r="AJ152">
            <v>0</v>
          </cell>
          <cell r="AK152">
            <v>24533691</v>
          </cell>
          <cell r="AL152">
            <v>94819163</v>
          </cell>
          <cell r="AM152">
            <v>12400810.199193807</v>
          </cell>
          <cell r="AN152">
            <v>-2528393.9399999995</v>
          </cell>
          <cell r="AO152">
            <v>21552337.801723979</v>
          </cell>
          <cell r="AP152">
            <v>0</v>
          </cell>
          <cell r="AQ152">
            <v>2981351.9399999995</v>
          </cell>
          <cell r="AR152">
            <v>0</v>
          </cell>
          <cell r="AS152">
            <v>0</v>
          </cell>
          <cell r="AT152">
            <v>129225269.00091779</v>
          </cell>
          <cell r="AU152">
            <v>2.8599189544238654E-3</v>
          </cell>
          <cell r="AV152">
            <v>0</v>
          </cell>
          <cell r="AW152">
            <v>0</v>
          </cell>
          <cell r="AY152">
            <v>0</v>
          </cell>
          <cell r="AZ152">
            <v>0</v>
          </cell>
          <cell r="BA152">
            <v>0</v>
          </cell>
          <cell r="BB152">
            <v>0</v>
          </cell>
          <cell r="BC152">
            <v>0</v>
          </cell>
          <cell r="BD152">
            <v>0</v>
          </cell>
          <cell r="BE152">
            <v>0</v>
          </cell>
          <cell r="BF152">
            <v>0</v>
          </cell>
          <cell r="BG152">
            <v>0</v>
          </cell>
          <cell r="BH152">
            <v>0</v>
          </cell>
          <cell r="BJ152">
            <v>0</v>
          </cell>
          <cell r="BL152">
            <v>0</v>
          </cell>
          <cell r="BM152">
            <v>0</v>
          </cell>
          <cell r="BN152">
            <v>0</v>
          </cell>
          <cell r="BO152">
            <v>0</v>
          </cell>
          <cell r="BQ152">
            <v>0</v>
          </cell>
          <cell r="BR152">
            <v>0</v>
          </cell>
          <cell r="BS152">
            <v>0</v>
          </cell>
          <cell r="BT152">
            <v>0</v>
          </cell>
          <cell r="CB152">
            <v>0</v>
          </cell>
          <cell r="CC152">
            <v>0</v>
          </cell>
          <cell r="CD152">
            <v>0</v>
          </cell>
          <cell r="CE152">
            <v>0</v>
          </cell>
          <cell r="CF152">
            <v>0</v>
          </cell>
          <cell r="CI152">
            <v>0</v>
          </cell>
          <cell r="CJ152">
            <v>0</v>
          </cell>
          <cell r="CK152">
            <v>0</v>
          </cell>
          <cell r="CV152">
            <v>2.9704637198475579E-3</v>
          </cell>
          <cell r="DG152">
            <v>129225268</v>
          </cell>
          <cell r="DR152">
            <v>43377886.109999992</v>
          </cell>
          <cell r="EC152">
            <v>2.9790586768636804</v>
          </cell>
          <cell r="EN152">
            <v>2.4095909012463064E-2</v>
          </cell>
        </row>
        <row r="153">
          <cell r="B153">
            <v>33501</v>
          </cell>
          <cell r="C153" t="str">
            <v>A Childs Garden Charter (AKA Cross Creek Charter)</v>
          </cell>
          <cell r="D153">
            <v>6.1684665278100188E-5</v>
          </cell>
          <cell r="E153">
            <v>106728.85388283155</v>
          </cell>
          <cell r="F153">
            <v>83218.935019911311</v>
          </cell>
          <cell r="G153">
            <v>14396</v>
          </cell>
          <cell r="H153">
            <v>-29781.142661507856</v>
          </cell>
          <cell r="I153">
            <v>-1232.3998743334789</v>
          </cell>
          <cell r="J153">
            <v>90064.221168894292</v>
          </cell>
          <cell r="K153">
            <v>0</v>
          </cell>
          <cell r="L153">
            <v>-4732.1236946111703</v>
          </cell>
          <cell r="M153">
            <v>849.21350621932925</v>
          </cell>
          <cell r="N153">
            <v>32.013107586028433</v>
          </cell>
          <cell r="O153">
            <v>-14.447165454783844</v>
          </cell>
          <cell r="P153">
            <v>0</v>
          </cell>
          <cell r="Q153">
            <v>0</v>
          </cell>
          <cell r="R153">
            <v>0</v>
          </cell>
          <cell r="S153">
            <v>259529.12328953523</v>
          </cell>
          <cell r="T153">
            <v>76357</v>
          </cell>
          <cell r="U153">
            <v>450321.10584447143</v>
          </cell>
          <cell r="V153">
            <v>3396.854024877317</v>
          </cell>
          <cell r="W153">
            <v>0</v>
          </cell>
          <cell r="X153">
            <v>530074.95986934868</v>
          </cell>
          <cell r="Y153">
            <v>4382.8700000000026</v>
          </cell>
          <cell r="Z153">
            <v>0</v>
          </cell>
          <cell r="AA153">
            <v>0</v>
          </cell>
          <cell r="AB153">
            <v>6161.9993716673944</v>
          </cell>
          <cell r="AC153">
            <v>10544.869371667397</v>
          </cell>
          <cell r="AD153" t="str">
            <v>N/A</v>
          </cell>
          <cell r="AE153">
            <v>104075</v>
          </cell>
          <cell r="AF153">
            <v>104077</v>
          </cell>
          <cell r="AG153">
            <v>104077</v>
          </cell>
          <cell r="AH153">
            <v>104077</v>
          </cell>
          <cell r="AI153">
            <v>103228</v>
          </cell>
          <cell r="AJ153">
            <v>0</v>
          </cell>
          <cell r="AK153">
            <v>519534</v>
          </cell>
          <cell r="AL153">
            <v>1953495</v>
          </cell>
          <cell r="AM153">
            <v>259529.12328953523</v>
          </cell>
          <cell r="AN153">
            <v>-49061.13</v>
          </cell>
          <cell r="AO153">
            <v>447555.9604976814</v>
          </cell>
          <cell r="AP153">
            <v>0</v>
          </cell>
          <cell r="AQ153">
            <v>71974.13</v>
          </cell>
          <cell r="AR153">
            <v>0</v>
          </cell>
          <cell r="AS153">
            <v>0</v>
          </cell>
          <cell r="AT153">
            <v>2683493.0837872168</v>
          </cell>
          <cell r="AU153">
            <v>5.8920963816648025E-5</v>
          </cell>
          <cell r="AV153">
            <v>0</v>
          </cell>
          <cell r="AW153">
            <v>0</v>
          </cell>
          <cell r="AY153">
            <v>0</v>
          </cell>
          <cell r="AZ153">
            <v>0</v>
          </cell>
          <cell r="BA153">
            <v>0</v>
          </cell>
          <cell r="BB153">
            <v>0</v>
          </cell>
          <cell r="BC153">
            <v>0</v>
          </cell>
          <cell r="BD153">
            <v>0</v>
          </cell>
          <cell r="BE153">
            <v>0</v>
          </cell>
          <cell r="BF153">
            <v>0</v>
          </cell>
          <cell r="BG153">
            <v>0</v>
          </cell>
          <cell r="BH153">
            <v>0</v>
          </cell>
          <cell r="BJ153">
            <v>0</v>
          </cell>
          <cell r="BL153">
            <v>0</v>
          </cell>
          <cell r="BM153">
            <v>0</v>
          </cell>
          <cell r="BN153">
            <v>0</v>
          </cell>
          <cell r="BO153">
            <v>0</v>
          </cell>
          <cell r="BQ153">
            <v>0</v>
          </cell>
          <cell r="BR153">
            <v>0</v>
          </cell>
          <cell r="BS153">
            <v>0</v>
          </cell>
          <cell r="BT153">
            <v>0</v>
          </cell>
          <cell r="CB153">
            <v>0</v>
          </cell>
          <cell r="CC153">
            <v>0</v>
          </cell>
          <cell r="CD153">
            <v>0</v>
          </cell>
          <cell r="CE153">
            <v>0</v>
          </cell>
          <cell r="CF153">
            <v>0</v>
          </cell>
          <cell r="CI153">
            <v>0</v>
          </cell>
          <cell r="CJ153">
            <v>0</v>
          </cell>
          <cell r="CK153">
            <v>0</v>
          </cell>
          <cell r="CV153">
            <v>6.1684665278100188E-5</v>
          </cell>
          <cell r="DG153">
            <v>2683493</v>
          </cell>
          <cell r="DR153">
            <v>814819.99</v>
          </cell>
          <cell r="EC153">
            <v>3.2933568554202997</v>
          </cell>
          <cell r="EN153">
            <v>2.4095909012463064E-2</v>
          </cell>
        </row>
        <row r="154">
          <cell r="B154">
            <v>33600</v>
          </cell>
          <cell r="C154" t="str">
            <v>Gaston County Schools</v>
          </cell>
          <cell r="D154">
            <v>9.4147007227892501E-3</v>
          </cell>
          <cell r="E154">
            <v>16289627.466778236</v>
          </cell>
          <cell r="F154">
            <v>12701396.111163935</v>
          </cell>
          <cell r="G154">
            <v>1617097</v>
          </cell>
          <cell r="H154">
            <v>-4545384.8874224313</v>
          </cell>
          <cell r="I154">
            <v>-188096.60286463556</v>
          </cell>
          <cell r="J154">
            <v>13746166.641472859</v>
          </cell>
          <cell r="K154">
            <v>0</v>
          </cell>
          <cell r="L154">
            <v>-722246.41516861704</v>
          </cell>
          <cell r="M154">
            <v>129612.29464017207</v>
          </cell>
          <cell r="N154">
            <v>4886.0413811131648</v>
          </cell>
          <cell r="O154">
            <v>-2205.0170562844701</v>
          </cell>
          <cell r="P154">
            <v>0</v>
          </cell>
          <cell r="Q154">
            <v>0</v>
          </cell>
          <cell r="R154">
            <v>0</v>
          </cell>
          <cell r="S154">
            <v>39030852.632924341</v>
          </cell>
          <cell r="T154">
            <v>8281272</v>
          </cell>
          <cell r="U154">
            <v>68730833.207364291</v>
          </cell>
          <cell r="V154">
            <v>518449.17856068828</v>
          </cell>
          <cell r="W154">
            <v>0</v>
          </cell>
          <cell r="X154">
            <v>77530554.38592498</v>
          </cell>
          <cell r="Y154">
            <v>195786.12000000011</v>
          </cell>
          <cell r="Z154">
            <v>0</v>
          </cell>
          <cell r="AA154">
            <v>0</v>
          </cell>
          <cell r="AB154">
            <v>940483.01432317775</v>
          </cell>
          <cell r="AC154">
            <v>1136269.1343231779</v>
          </cell>
          <cell r="AD154" t="str">
            <v>N/A</v>
          </cell>
          <cell r="AE154">
            <v>15304779</v>
          </cell>
          <cell r="AF154">
            <v>15304780</v>
          </cell>
          <cell r="AG154">
            <v>15304780</v>
          </cell>
          <cell r="AH154">
            <v>15304780</v>
          </cell>
          <cell r="AI154">
            <v>15175168</v>
          </cell>
          <cell r="AJ154">
            <v>0</v>
          </cell>
          <cell r="AK154">
            <v>76394287</v>
          </cell>
          <cell r="AL154">
            <v>302202104</v>
          </cell>
          <cell r="AM154">
            <v>39030852.632924341</v>
          </cell>
          <cell r="AN154">
            <v>-8055759.8799999999</v>
          </cell>
          <cell r="AO154">
            <v>68308799.371601805</v>
          </cell>
          <cell r="AP154">
            <v>0</v>
          </cell>
          <cell r="AQ154">
            <v>8085485.8799999999</v>
          </cell>
          <cell r="AR154">
            <v>0</v>
          </cell>
          <cell r="AS154">
            <v>0</v>
          </cell>
          <cell r="AT154">
            <v>409571482.00452614</v>
          </cell>
          <cell r="AU154">
            <v>9.1149668153587826E-3</v>
          </cell>
          <cell r="AV154">
            <v>0</v>
          </cell>
          <cell r="AW154">
            <v>0</v>
          </cell>
          <cell r="AY154">
            <v>0</v>
          </cell>
          <cell r="AZ154">
            <v>0</v>
          </cell>
          <cell r="BA154">
            <v>0</v>
          </cell>
          <cell r="BB154">
            <v>0</v>
          </cell>
          <cell r="BC154">
            <v>0</v>
          </cell>
          <cell r="BD154">
            <v>0</v>
          </cell>
          <cell r="BE154">
            <v>0</v>
          </cell>
          <cell r="BF154">
            <v>0</v>
          </cell>
          <cell r="BG154">
            <v>0</v>
          </cell>
          <cell r="BH154">
            <v>0</v>
          </cell>
          <cell r="BJ154">
            <v>0</v>
          </cell>
          <cell r="BL154">
            <v>0</v>
          </cell>
          <cell r="BM154">
            <v>0</v>
          </cell>
          <cell r="BN154">
            <v>0</v>
          </cell>
          <cell r="BO154">
            <v>0</v>
          </cell>
          <cell r="BQ154">
            <v>0</v>
          </cell>
          <cell r="BR154">
            <v>0</v>
          </cell>
          <cell r="BS154">
            <v>0</v>
          </cell>
          <cell r="BT154">
            <v>0</v>
          </cell>
          <cell r="CB154">
            <v>0</v>
          </cell>
          <cell r="CC154">
            <v>0</v>
          </cell>
          <cell r="CD154">
            <v>0</v>
          </cell>
          <cell r="CE154">
            <v>0</v>
          </cell>
          <cell r="CF154">
            <v>0</v>
          </cell>
          <cell r="CI154">
            <v>0</v>
          </cell>
          <cell r="CJ154">
            <v>0</v>
          </cell>
          <cell r="CK154">
            <v>0</v>
          </cell>
          <cell r="CV154">
            <v>9.4147007227892501E-3</v>
          </cell>
          <cell r="DG154">
            <v>409571482</v>
          </cell>
          <cell r="DR154">
            <v>138243699.03999978</v>
          </cell>
          <cell r="EC154">
            <v>2.9626773939367288</v>
          </cell>
          <cell r="EN154">
            <v>2.4095909012463064E-2</v>
          </cell>
        </row>
        <row r="155">
          <cell r="B155">
            <v>33605</v>
          </cell>
          <cell r="C155" t="str">
            <v>Gaston College</v>
          </cell>
          <cell r="D155">
            <v>1.2534016746131289E-3</v>
          </cell>
          <cell r="E155">
            <v>2168677.1514957808</v>
          </cell>
          <cell r="F155">
            <v>1690967.3099986792</v>
          </cell>
          <cell r="G155">
            <v>48046</v>
          </cell>
          <cell r="H155">
            <v>-605137.98551937437</v>
          </cell>
          <cell r="I155">
            <v>-25041.751613929919</v>
          </cell>
          <cell r="J155">
            <v>1830060.1150525704</v>
          </cell>
          <cell r="K155">
            <v>0</v>
          </cell>
          <cell r="L155">
            <v>-96154.396502948541</v>
          </cell>
          <cell r="M155">
            <v>17255.595470942571</v>
          </cell>
          <cell r="N155">
            <v>650.49040109072166</v>
          </cell>
          <cell r="O155">
            <v>-293.55920621114092</v>
          </cell>
          <cell r="P155">
            <v>0</v>
          </cell>
          <cell r="Q155">
            <v>0</v>
          </cell>
          <cell r="R155">
            <v>0</v>
          </cell>
          <cell r="S155">
            <v>5029028.9695766</v>
          </cell>
          <cell r="T155">
            <v>240228.45999999996</v>
          </cell>
          <cell r="U155">
            <v>9150300.575262852</v>
          </cell>
          <cell r="V155">
            <v>69022.381883770286</v>
          </cell>
          <cell r="W155">
            <v>0</v>
          </cell>
          <cell r="X155">
            <v>9459551.4171466231</v>
          </cell>
          <cell r="Y155">
            <v>0</v>
          </cell>
          <cell r="Z155">
            <v>0</v>
          </cell>
          <cell r="AA155">
            <v>0</v>
          </cell>
          <cell r="AB155">
            <v>125208.75806964959</v>
          </cell>
          <cell r="AC155">
            <v>125208.75806964959</v>
          </cell>
          <cell r="AD155" t="str">
            <v>N/A</v>
          </cell>
          <cell r="AE155">
            <v>1870320</v>
          </cell>
          <cell r="AF155">
            <v>1870320</v>
          </cell>
          <cell r="AG155">
            <v>1870320</v>
          </cell>
          <cell r="AH155">
            <v>1870320</v>
          </cell>
          <cell r="AI155">
            <v>1853064</v>
          </cell>
          <cell r="AJ155">
            <v>0</v>
          </cell>
          <cell r="AK155">
            <v>9334344</v>
          </cell>
          <cell r="AL155">
            <v>41442769</v>
          </cell>
          <cell r="AM155">
            <v>5029028.9695766</v>
          </cell>
          <cell r="AN155">
            <v>-1278907.46</v>
          </cell>
          <cell r="AO155">
            <v>9094114.1990769729</v>
          </cell>
          <cell r="AP155">
            <v>0</v>
          </cell>
          <cell r="AQ155">
            <v>240228.45999999996</v>
          </cell>
          <cell r="AR155">
            <v>0</v>
          </cell>
          <cell r="AS155">
            <v>0</v>
          </cell>
          <cell r="AT155">
            <v>54527233.16865357</v>
          </cell>
          <cell r="AU155">
            <v>1.2499895237390113E-3</v>
          </cell>
          <cell r="AV155">
            <v>0</v>
          </cell>
          <cell r="AW155">
            <v>0</v>
          </cell>
          <cell r="AY155">
            <v>0</v>
          </cell>
          <cell r="AZ155">
            <v>0</v>
          </cell>
          <cell r="BA155">
            <v>0</v>
          </cell>
          <cell r="BB155">
            <v>0</v>
          </cell>
          <cell r="BC155">
            <v>0</v>
          </cell>
          <cell r="BD155">
            <v>0</v>
          </cell>
          <cell r="BE155">
            <v>0</v>
          </cell>
          <cell r="BF155">
            <v>0</v>
          </cell>
          <cell r="BG155">
            <v>0</v>
          </cell>
          <cell r="BH155">
            <v>0</v>
          </cell>
          <cell r="BJ155">
            <v>0</v>
          </cell>
          <cell r="BL155">
            <v>0</v>
          </cell>
          <cell r="BM155">
            <v>0</v>
          </cell>
          <cell r="BN155">
            <v>0</v>
          </cell>
          <cell r="BO155">
            <v>0</v>
          </cell>
          <cell r="BQ155">
            <v>0</v>
          </cell>
          <cell r="BR155">
            <v>0</v>
          </cell>
          <cell r="BS155">
            <v>0</v>
          </cell>
          <cell r="BT155">
            <v>0</v>
          </cell>
          <cell r="CB155">
            <v>0</v>
          </cell>
          <cell r="CC155">
            <v>0</v>
          </cell>
          <cell r="CD155">
            <v>0</v>
          </cell>
          <cell r="CE155">
            <v>0</v>
          </cell>
          <cell r="CF155">
            <v>0</v>
          </cell>
          <cell r="CI155">
            <v>0</v>
          </cell>
          <cell r="CJ155">
            <v>0</v>
          </cell>
          <cell r="CK155">
            <v>0</v>
          </cell>
          <cell r="CV155">
            <v>1.2534016746131289E-3</v>
          </cell>
          <cell r="DG155">
            <v>54527233</v>
          </cell>
          <cell r="DR155">
            <v>21891172.329999983</v>
          </cell>
          <cell r="EC155">
            <v>2.4908320202328809</v>
          </cell>
          <cell r="EN155">
            <v>2.4095909012463064E-2</v>
          </cell>
        </row>
        <row r="156">
          <cell r="B156">
            <v>33700</v>
          </cell>
          <cell r="C156" t="str">
            <v>Gates County Schools</v>
          </cell>
          <cell r="D156">
            <v>6.6795511279260232E-4</v>
          </cell>
          <cell r="E156">
            <v>1155718.0915568967</v>
          </cell>
          <cell r="F156">
            <v>901139.90044523915</v>
          </cell>
          <cell r="G156">
            <v>-246088</v>
          </cell>
          <cell r="H156">
            <v>-322486.41402002476</v>
          </cell>
          <cell r="I156">
            <v>-13345.096278868243</v>
          </cell>
          <cell r="J156">
            <v>975264.38278015214</v>
          </cell>
          <cell r="K156">
            <v>0</v>
          </cell>
          <cell r="L156">
            <v>-51242.009694502478</v>
          </cell>
          <cell r="M156">
            <v>9195.7458271743017</v>
          </cell>
          <cell r="N156">
            <v>346.65534443710476</v>
          </cell>
          <cell r="O156">
            <v>-156.44176696715539</v>
          </cell>
          <cell r="P156">
            <v>0</v>
          </cell>
          <cell r="Q156">
            <v>0</v>
          </cell>
          <cell r="R156">
            <v>0</v>
          </cell>
          <cell r="S156">
            <v>2408346.8141935365</v>
          </cell>
          <cell r="T156">
            <v>0</v>
          </cell>
          <cell r="U156">
            <v>4876321.9139007609</v>
          </cell>
          <cell r="V156">
            <v>36782.983308697207</v>
          </cell>
          <cell r="W156">
            <v>0</v>
          </cell>
          <cell r="X156">
            <v>4913104.8972094581</v>
          </cell>
          <cell r="Y156">
            <v>1230442.92</v>
          </cell>
          <cell r="Z156">
            <v>0</v>
          </cell>
          <cell r="AA156">
            <v>0</v>
          </cell>
          <cell r="AB156">
            <v>66725.481394341215</v>
          </cell>
          <cell r="AC156">
            <v>1297168.4013943411</v>
          </cell>
          <cell r="AD156" t="str">
            <v>N/A</v>
          </cell>
          <cell r="AE156">
            <v>725027</v>
          </cell>
          <cell r="AF156">
            <v>725027</v>
          </cell>
          <cell r="AG156">
            <v>725027</v>
          </cell>
          <cell r="AH156">
            <v>725027</v>
          </cell>
          <cell r="AI156">
            <v>715831</v>
          </cell>
          <cell r="AJ156">
            <v>0</v>
          </cell>
          <cell r="AK156">
            <v>3615939</v>
          </cell>
          <cell r="AL156">
            <v>23615834</v>
          </cell>
          <cell r="AM156">
            <v>2408346.8141935365</v>
          </cell>
          <cell r="AN156">
            <v>-581800.07999999996</v>
          </cell>
          <cell r="AO156">
            <v>4846379.4158151178</v>
          </cell>
          <cell r="AP156">
            <v>0</v>
          </cell>
          <cell r="AQ156">
            <v>-1230442.92</v>
          </cell>
          <cell r="AR156">
            <v>0</v>
          </cell>
          <cell r="AS156">
            <v>0</v>
          </cell>
          <cell r="AT156">
            <v>29058317.230008654</v>
          </cell>
          <cell r="AU156">
            <v>7.1229664502386436E-4</v>
          </cell>
          <cell r="AV156">
            <v>0</v>
          </cell>
          <cell r="AW156">
            <v>0</v>
          </cell>
          <cell r="AY156">
            <v>0</v>
          </cell>
          <cell r="AZ156">
            <v>0</v>
          </cell>
          <cell r="BA156">
            <v>0</v>
          </cell>
          <cell r="BB156">
            <v>0</v>
          </cell>
          <cell r="BC156">
            <v>0</v>
          </cell>
          <cell r="BD156">
            <v>0</v>
          </cell>
          <cell r="BE156">
            <v>0</v>
          </cell>
          <cell r="BF156">
            <v>0</v>
          </cell>
          <cell r="BG156">
            <v>0</v>
          </cell>
          <cell r="BH156">
            <v>0</v>
          </cell>
          <cell r="BJ156">
            <v>0</v>
          </cell>
          <cell r="BL156">
            <v>0</v>
          </cell>
          <cell r="BM156">
            <v>0</v>
          </cell>
          <cell r="BN156">
            <v>0</v>
          </cell>
          <cell r="BO156">
            <v>0</v>
          </cell>
          <cell r="BQ156">
            <v>0</v>
          </cell>
          <cell r="BR156">
            <v>0</v>
          </cell>
          <cell r="BS156">
            <v>0</v>
          </cell>
          <cell r="BT156">
            <v>0</v>
          </cell>
          <cell r="CB156">
            <v>0</v>
          </cell>
          <cell r="CC156">
            <v>0</v>
          </cell>
          <cell r="CD156">
            <v>0</v>
          </cell>
          <cell r="CE156">
            <v>0</v>
          </cell>
          <cell r="CF156">
            <v>0</v>
          </cell>
          <cell r="CI156">
            <v>0</v>
          </cell>
          <cell r="CJ156">
            <v>0</v>
          </cell>
          <cell r="CK156">
            <v>0</v>
          </cell>
          <cell r="CV156">
            <v>6.6795511279260232E-4</v>
          </cell>
          <cell r="DG156">
            <v>29058318</v>
          </cell>
          <cell r="DR156">
            <v>10624542.059999999</v>
          </cell>
          <cell r="EC156">
            <v>2.7350183975835289</v>
          </cell>
          <cell r="EN156">
            <v>2.4095909012463064E-2</v>
          </cell>
        </row>
        <row r="157">
          <cell r="B157">
            <v>33800</v>
          </cell>
          <cell r="C157" t="str">
            <v>Graham County Schools</v>
          </cell>
          <cell r="D157">
            <v>5.0504283975162081E-4</v>
          </cell>
          <cell r="E157">
            <v>873841.87310420605</v>
          </cell>
          <cell r="F157">
            <v>681354.54855881585</v>
          </cell>
          <cell r="G157">
            <v>34712</v>
          </cell>
          <cell r="H157">
            <v>-243832.93307998165</v>
          </cell>
          <cell r="I157">
            <v>-10090.266834339065</v>
          </cell>
          <cell r="J157">
            <v>737400.28926290281</v>
          </cell>
          <cell r="K157">
            <v>0</v>
          </cell>
          <cell r="L157">
            <v>-38744.235346136324</v>
          </cell>
          <cell r="M157">
            <v>6952.9306644176386</v>
          </cell>
          <cell r="N157">
            <v>262.10713297429618</v>
          </cell>
          <cell r="O157">
            <v>-118.28608349822711</v>
          </cell>
          <cell r="P157">
            <v>0</v>
          </cell>
          <cell r="Q157">
            <v>0</v>
          </cell>
          <cell r="R157">
            <v>0</v>
          </cell>
          <cell r="S157">
            <v>2041738.027379361</v>
          </cell>
          <cell r="T157">
            <v>173558.58999999997</v>
          </cell>
          <cell r="U157">
            <v>3687001.4463145137</v>
          </cell>
          <cell r="V157">
            <v>27811.722657670554</v>
          </cell>
          <cell r="W157">
            <v>0</v>
          </cell>
          <cell r="X157">
            <v>3888371.7589721843</v>
          </cell>
          <cell r="Y157">
            <v>0</v>
          </cell>
          <cell r="Z157">
            <v>0</v>
          </cell>
          <cell r="AA157">
            <v>0</v>
          </cell>
          <cell r="AB157">
            <v>50451.334171695329</v>
          </cell>
          <cell r="AC157">
            <v>50451.334171695329</v>
          </cell>
          <cell r="AD157" t="str">
            <v>N/A</v>
          </cell>
          <cell r="AE157">
            <v>768975</v>
          </cell>
          <cell r="AF157">
            <v>768975</v>
          </cell>
          <cell r="AG157">
            <v>768975</v>
          </cell>
          <cell r="AH157">
            <v>768975</v>
          </cell>
          <cell r="AI157">
            <v>762022</v>
          </cell>
          <cell r="AJ157">
            <v>0</v>
          </cell>
          <cell r="AK157">
            <v>3837922</v>
          </cell>
          <cell r="AL157">
            <v>16539444</v>
          </cell>
          <cell r="AM157">
            <v>2041738.027379361</v>
          </cell>
          <cell r="AN157">
            <v>-448022.58999999997</v>
          </cell>
          <cell r="AO157">
            <v>3664361.8348004892</v>
          </cell>
          <cell r="AP157">
            <v>0</v>
          </cell>
          <cell r="AQ157">
            <v>173558.58999999997</v>
          </cell>
          <cell r="AR157">
            <v>0</v>
          </cell>
          <cell r="AS157">
            <v>0</v>
          </cell>
          <cell r="AT157">
            <v>21971079.862179849</v>
          </cell>
          <cell r="AU157">
            <v>4.9885979553380099E-4</v>
          </cell>
          <cell r="AV157">
            <v>0</v>
          </cell>
          <cell r="AW157">
            <v>0</v>
          </cell>
          <cell r="AY157">
            <v>0</v>
          </cell>
          <cell r="AZ157">
            <v>0</v>
          </cell>
          <cell r="BA157">
            <v>0</v>
          </cell>
          <cell r="BB157">
            <v>0</v>
          </cell>
          <cell r="BC157">
            <v>0</v>
          </cell>
          <cell r="BD157">
            <v>0</v>
          </cell>
          <cell r="BE157">
            <v>0</v>
          </cell>
          <cell r="BF157">
            <v>0</v>
          </cell>
          <cell r="BG157">
            <v>0</v>
          </cell>
          <cell r="BH157">
            <v>0</v>
          </cell>
          <cell r="BJ157">
            <v>0</v>
          </cell>
          <cell r="BL157">
            <v>0</v>
          </cell>
          <cell r="BM157">
            <v>0</v>
          </cell>
          <cell r="BN157">
            <v>0</v>
          </cell>
          <cell r="BO157">
            <v>0</v>
          </cell>
          <cell r="BQ157">
            <v>0</v>
          </cell>
          <cell r="BR157">
            <v>0</v>
          </cell>
          <cell r="BS157">
            <v>0</v>
          </cell>
          <cell r="BT157">
            <v>0</v>
          </cell>
          <cell r="CB157">
            <v>0</v>
          </cell>
          <cell r="CC157">
            <v>0</v>
          </cell>
          <cell r="CD157">
            <v>0</v>
          </cell>
          <cell r="CE157">
            <v>0</v>
          </cell>
          <cell r="CF157">
            <v>0</v>
          </cell>
          <cell r="CI157">
            <v>0</v>
          </cell>
          <cell r="CJ157">
            <v>0</v>
          </cell>
          <cell r="CK157">
            <v>0</v>
          </cell>
          <cell r="CV157">
            <v>5.0504283975162081E-4</v>
          </cell>
          <cell r="DG157">
            <v>21971080</v>
          </cell>
          <cell r="DR157">
            <v>7657986.129999998</v>
          </cell>
          <cell r="EC157">
            <v>2.8690414982509256</v>
          </cell>
          <cell r="EN157">
            <v>2.4095909012463064E-2</v>
          </cell>
        </row>
        <row r="158">
          <cell r="B158">
            <v>33900</v>
          </cell>
          <cell r="C158" t="str">
            <v>Granville County Schools And Oxford Orphanage</v>
          </cell>
          <cell r="D158">
            <v>2.6348934399150169E-3</v>
          </cell>
          <cell r="E158">
            <v>4558980.0265214704</v>
          </cell>
          <cell r="F158">
            <v>3554741.2792483214</v>
          </cell>
          <cell r="G158">
            <v>150072</v>
          </cell>
          <cell r="H158">
            <v>-1272117.4229965294</v>
          </cell>
          <cell r="I158">
            <v>-52642.619192200407</v>
          </cell>
          <cell r="J158">
            <v>3847141.3350317138</v>
          </cell>
          <cell r="K158">
            <v>0</v>
          </cell>
          <cell r="L158">
            <v>-202135.19232995025</v>
          </cell>
          <cell r="M158">
            <v>36274.60871411988</v>
          </cell>
          <cell r="N158">
            <v>1367.4569974470955</v>
          </cell>
          <cell r="O158">
            <v>-617.11839256249607</v>
          </cell>
          <cell r="P158">
            <v>0</v>
          </cell>
          <cell r="Q158">
            <v>0</v>
          </cell>
          <cell r="R158">
            <v>0</v>
          </cell>
          <cell r="S158">
            <v>10621064.35360183</v>
          </cell>
          <cell r="T158">
            <v>750361.99000000022</v>
          </cell>
          <cell r="U158">
            <v>19235706.675158568</v>
          </cell>
          <cell r="V158">
            <v>145098.43485647952</v>
          </cell>
          <cell r="W158">
            <v>0</v>
          </cell>
          <cell r="X158">
            <v>20131167.100015048</v>
          </cell>
          <cell r="Y158">
            <v>0</v>
          </cell>
          <cell r="Z158">
            <v>0</v>
          </cell>
          <cell r="AA158">
            <v>0</v>
          </cell>
          <cell r="AB158">
            <v>263213.09596100199</v>
          </cell>
          <cell r="AC158">
            <v>263213.09596100199</v>
          </cell>
          <cell r="AD158" t="str">
            <v>N/A</v>
          </cell>
          <cell r="AE158">
            <v>3980845</v>
          </cell>
          <cell r="AF158">
            <v>3980845</v>
          </cell>
          <cell r="AG158">
            <v>3980845</v>
          </cell>
          <cell r="AH158">
            <v>3980845</v>
          </cell>
          <cell r="AI158">
            <v>3944571</v>
          </cell>
          <cell r="AJ158">
            <v>0</v>
          </cell>
          <cell r="AK158">
            <v>19867951</v>
          </cell>
          <cell r="AL158">
            <v>86459269</v>
          </cell>
          <cell r="AM158">
            <v>10621064.35360183</v>
          </cell>
          <cell r="AN158">
            <v>-2321466.9900000002</v>
          </cell>
          <cell r="AO158">
            <v>19117592.014054049</v>
          </cell>
          <cell r="AP158">
            <v>0</v>
          </cell>
          <cell r="AQ158">
            <v>750361.99000000022</v>
          </cell>
          <cell r="AR158">
            <v>0</v>
          </cell>
          <cell r="AS158">
            <v>0</v>
          </cell>
          <cell r="AT158">
            <v>114626820.36765587</v>
          </cell>
          <cell r="AU158">
            <v>2.6077692770783891E-3</v>
          </cell>
          <cell r="AV158">
            <v>0</v>
          </cell>
          <cell r="AW158">
            <v>0</v>
          </cell>
          <cell r="AY158">
            <v>0</v>
          </cell>
          <cell r="AZ158">
            <v>0</v>
          </cell>
          <cell r="BA158">
            <v>0</v>
          </cell>
          <cell r="BB158">
            <v>0</v>
          </cell>
          <cell r="BC158">
            <v>0</v>
          </cell>
          <cell r="BD158">
            <v>0</v>
          </cell>
          <cell r="BE158">
            <v>0</v>
          </cell>
          <cell r="BF158">
            <v>0</v>
          </cell>
          <cell r="BG158">
            <v>0</v>
          </cell>
          <cell r="BH158">
            <v>0</v>
          </cell>
          <cell r="BJ158">
            <v>0</v>
          </cell>
          <cell r="BL158">
            <v>0</v>
          </cell>
          <cell r="BM158">
            <v>0</v>
          </cell>
          <cell r="BN158">
            <v>0</v>
          </cell>
          <cell r="BO158">
            <v>0</v>
          </cell>
          <cell r="BQ158">
            <v>0</v>
          </cell>
          <cell r="BR158">
            <v>0</v>
          </cell>
          <cell r="BS158">
            <v>0</v>
          </cell>
          <cell r="BT158">
            <v>0</v>
          </cell>
          <cell r="CB158">
            <v>0</v>
          </cell>
          <cell r="CC158">
            <v>0</v>
          </cell>
          <cell r="CD158">
            <v>0</v>
          </cell>
          <cell r="CE158">
            <v>0</v>
          </cell>
          <cell r="CF158">
            <v>0</v>
          </cell>
          <cell r="CI158">
            <v>0</v>
          </cell>
          <cell r="CJ158">
            <v>0</v>
          </cell>
          <cell r="CK158">
            <v>0</v>
          </cell>
          <cell r="CV158">
            <v>2.6348934399150169E-3</v>
          </cell>
          <cell r="DG158">
            <v>114626821</v>
          </cell>
          <cell r="DR158">
            <v>40592529.850000031</v>
          </cell>
          <cell r="EC158">
            <v>2.823840283509699</v>
          </cell>
          <cell r="EN158">
            <v>2.4095909012463064E-2</v>
          </cell>
        </row>
        <row r="159">
          <cell r="B159">
            <v>34000</v>
          </cell>
          <cell r="C159" t="str">
            <v>Greene County Schools</v>
          </cell>
          <cell r="D159">
            <v>1.1494173860556655E-3</v>
          </cell>
          <cell r="E159">
            <v>1988760.0863787907</v>
          </cell>
          <cell r="F159">
            <v>1550681.8482304772</v>
          </cell>
          <cell r="G159">
            <v>-229834</v>
          </cell>
          <cell r="H159">
            <v>-554934.73130499735</v>
          </cell>
          <cell r="I159">
            <v>-22964.246231139568</v>
          </cell>
          <cell r="J159">
            <v>1678235.282729869</v>
          </cell>
          <cell r="K159">
            <v>0</v>
          </cell>
          <cell r="L159">
            <v>-88177.2677703597</v>
          </cell>
          <cell r="M159">
            <v>15824.042557759192</v>
          </cell>
          <cell r="N159">
            <v>596.52463501516934</v>
          </cell>
          <cell r="O159">
            <v>-269.20504598809742</v>
          </cell>
          <cell r="P159">
            <v>0</v>
          </cell>
          <cell r="Q159">
            <v>0</v>
          </cell>
          <cell r="R159">
            <v>0</v>
          </cell>
          <cell r="S159">
            <v>4337918.3341794265</v>
          </cell>
          <cell r="T159">
            <v>0</v>
          </cell>
          <cell r="U159">
            <v>8391176.4136493448</v>
          </cell>
          <cell r="V159">
            <v>63296.170231036769</v>
          </cell>
          <cell r="W159">
            <v>0</v>
          </cell>
          <cell r="X159">
            <v>8454472.5838803817</v>
          </cell>
          <cell r="Y159">
            <v>1149172.21</v>
          </cell>
          <cell r="Z159">
            <v>0</v>
          </cell>
          <cell r="AA159">
            <v>0</v>
          </cell>
          <cell r="AB159">
            <v>114821.23115569784</v>
          </cell>
          <cell r="AC159">
            <v>1263993.4411556977</v>
          </cell>
          <cell r="AD159" t="str">
            <v>N/A</v>
          </cell>
          <cell r="AE159">
            <v>1441261</v>
          </cell>
          <cell r="AF159">
            <v>1441260</v>
          </cell>
          <cell r="AG159">
            <v>1441260</v>
          </cell>
          <cell r="AH159">
            <v>1441260</v>
          </cell>
          <cell r="AI159">
            <v>1425436</v>
          </cell>
          <cell r="AJ159">
            <v>0</v>
          </cell>
          <cell r="AK159">
            <v>7190477</v>
          </cell>
          <cell r="AL159">
            <v>39436879</v>
          </cell>
          <cell r="AM159">
            <v>4337918.3341794265</v>
          </cell>
          <cell r="AN159">
            <v>-961712.79</v>
          </cell>
          <cell r="AO159">
            <v>8339651.3527246853</v>
          </cell>
          <cell r="AP159">
            <v>0</v>
          </cell>
          <cell r="AQ159">
            <v>-1149172.21</v>
          </cell>
          <cell r="AR159">
            <v>0</v>
          </cell>
          <cell r="AS159">
            <v>0</v>
          </cell>
          <cell r="AT159">
            <v>50003563.68690411</v>
          </cell>
          <cell r="AU159">
            <v>1.1894882282020263E-3</v>
          </cell>
          <cell r="AV159">
            <v>0</v>
          </cell>
          <cell r="AW159">
            <v>0</v>
          </cell>
          <cell r="AY159">
            <v>0</v>
          </cell>
          <cell r="AZ159">
            <v>0</v>
          </cell>
          <cell r="BA159">
            <v>0</v>
          </cell>
          <cell r="BB159">
            <v>0</v>
          </cell>
          <cell r="BC159">
            <v>0</v>
          </cell>
          <cell r="BD159">
            <v>0</v>
          </cell>
          <cell r="BE159">
            <v>0</v>
          </cell>
          <cell r="BF159">
            <v>0</v>
          </cell>
          <cell r="BG159">
            <v>0</v>
          </cell>
          <cell r="BH159">
            <v>0</v>
          </cell>
          <cell r="BJ159">
            <v>0</v>
          </cell>
          <cell r="BL159">
            <v>0</v>
          </cell>
          <cell r="BM159">
            <v>0</v>
          </cell>
          <cell r="BN159">
            <v>0</v>
          </cell>
          <cell r="BO159">
            <v>0</v>
          </cell>
          <cell r="BQ159">
            <v>0</v>
          </cell>
          <cell r="BR159">
            <v>0</v>
          </cell>
          <cell r="BS159">
            <v>0</v>
          </cell>
          <cell r="BT159">
            <v>0</v>
          </cell>
          <cell r="CB159">
            <v>0</v>
          </cell>
          <cell r="CC159">
            <v>0</v>
          </cell>
          <cell r="CD159">
            <v>0</v>
          </cell>
          <cell r="CE159">
            <v>0</v>
          </cell>
          <cell r="CF159">
            <v>0</v>
          </cell>
          <cell r="CI159">
            <v>0</v>
          </cell>
          <cell r="CJ159">
            <v>0</v>
          </cell>
          <cell r="CK159">
            <v>0</v>
          </cell>
          <cell r="CV159">
            <v>1.1494173860556655E-3</v>
          </cell>
          <cell r="DG159">
            <v>50003563</v>
          </cell>
          <cell r="DR159">
            <v>16688110.669999991</v>
          </cell>
          <cell r="EC159">
            <v>2.9963585446428507</v>
          </cell>
          <cell r="EN159">
            <v>2.4095909012463064E-2</v>
          </cell>
        </row>
        <row r="160">
          <cell r="B160">
            <v>34100</v>
          </cell>
          <cell r="C160" t="str">
            <v>Guilford County Schools</v>
          </cell>
          <cell r="D160">
            <v>2.6079346093567862E-2</v>
          </cell>
          <cell r="E160">
            <v>45123349.636921689</v>
          </cell>
          <cell r="F160">
            <v>35183710.540339403</v>
          </cell>
          <cell r="G160">
            <v>-3123597</v>
          </cell>
          <cell r="H160">
            <v>-12591017.930142242</v>
          </cell>
          <cell r="I160">
            <v>-521040.07865668065</v>
          </cell>
          <cell r="J160">
            <v>38077794.277099393</v>
          </cell>
          <cell r="K160">
            <v>0</v>
          </cell>
          <cell r="L160">
            <v>-2000670.5237509338</v>
          </cell>
          <cell r="M160">
            <v>359034.66179444315</v>
          </cell>
          <cell r="N160">
            <v>13534.659035639848</v>
          </cell>
          <cell r="O160">
            <v>-6108.0436485745286</v>
          </cell>
          <cell r="P160">
            <v>0</v>
          </cell>
          <cell r="Q160">
            <v>0</v>
          </cell>
          <cell r="R160">
            <v>0</v>
          </cell>
          <cell r="S160">
            <v>100514990.19899213</v>
          </cell>
          <cell r="T160">
            <v>0</v>
          </cell>
          <cell r="U160">
            <v>190388971.38549697</v>
          </cell>
          <cell r="V160">
            <v>1436138.6471777726</v>
          </cell>
          <cell r="W160">
            <v>0</v>
          </cell>
          <cell r="X160">
            <v>191825110.03267476</v>
          </cell>
          <cell r="Y160">
            <v>15617982.099999998</v>
          </cell>
          <cell r="Z160">
            <v>0</v>
          </cell>
          <cell r="AA160">
            <v>0</v>
          </cell>
          <cell r="AB160">
            <v>2605200.393283403</v>
          </cell>
          <cell r="AC160">
            <v>18223182.493283402</v>
          </cell>
          <cell r="AD160" t="str">
            <v>N/A</v>
          </cell>
          <cell r="AE160">
            <v>34792193</v>
          </cell>
          <cell r="AF160">
            <v>34792192</v>
          </cell>
          <cell r="AG160">
            <v>34792192</v>
          </cell>
          <cell r="AH160">
            <v>34792192</v>
          </cell>
          <cell r="AI160">
            <v>34433157</v>
          </cell>
          <cell r="AJ160">
            <v>0</v>
          </cell>
          <cell r="AK160">
            <v>173601926</v>
          </cell>
          <cell r="AL160">
            <v>882082297</v>
          </cell>
          <cell r="AM160">
            <v>100514990.19899213</v>
          </cell>
          <cell r="AN160">
            <v>-21659015.900000002</v>
          </cell>
          <cell r="AO160">
            <v>189219909.63939136</v>
          </cell>
          <cell r="AP160">
            <v>0</v>
          </cell>
          <cell r="AQ160">
            <v>-15617982.099999998</v>
          </cell>
          <cell r="AR160">
            <v>0</v>
          </cell>
          <cell r="AS160">
            <v>0</v>
          </cell>
          <cell r="AT160">
            <v>1134540198.8383837</v>
          </cell>
          <cell r="AU160">
            <v>2.6605211370241317E-2</v>
          </cell>
          <cell r="AV160">
            <v>0</v>
          </cell>
          <cell r="AW160">
            <v>0</v>
          </cell>
          <cell r="AY160">
            <v>0</v>
          </cell>
          <cell r="AZ160">
            <v>0</v>
          </cell>
          <cell r="BA160">
            <v>0</v>
          </cell>
          <cell r="BB160">
            <v>0</v>
          </cell>
          <cell r="BC160">
            <v>0</v>
          </cell>
          <cell r="BD160">
            <v>0</v>
          </cell>
          <cell r="BE160">
            <v>0</v>
          </cell>
          <cell r="BF160">
            <v>0</v>
          </cell>
          <cell r="BG160">
            <v>0</v>
          </cell>
          <cell r="BH160">
            <v>0</v>
          </cell>
          <cell r="BJ160">
            <v>0</v>
          </cell>
          <cell r="BL160">
            <v>0</v>
          </cell>
          <cell r="BM160">
            <v>0</v>
          </cell>
          <cell r="BN160">
            <v>0</v>
          </cell>
          <cell r="BO160">
            <v>0</v>
          </cell>
          <cell r="BQ160">
            <v>0</v>
          </cell>
          <cell r="BR160">
            <v>0</v>
          </cell>
          <cell r="BS160">
            <v>0</v>
          </cell>
          <cell r="BT160">
            <v>0</v>
          </cell>
          <cell r="CB160">
            <v>0</v>
          </cell>
          <cell r="CC160">
            <v>0</v>
          </cell>
          <cell r="CD160">
            <v>0</v>
          </cell>
          <cell r="CE160">
            <v>0</v>
          </cell>
          <cell r="CF160">
            <v>0</v>
          </cell>
          <cell r="CI160">
            <v>0</v>
          </cell>
          <cell r="CJ160">
            <v>0</v>
          </cell>
          <cell r="CK160">
            <v>0</v>
          </cell>
          <cell r="CV160">
            <v>2.6079346093567862E-2</v>
          </cell>
          <cell r="DG160">
            <v>1134540199</v>
          </cell>
          <cell r="DR160">
            <v>379271646.59000385</v>
          </cell>
          <cell r="EC160">
            <v>2.9913657116226471</v>
          </cell>
          <cell r="EN160">
            <v>2.4095909012463064E-2</v>
          </cell>
        </row>
        <row r="161">
          <cell r="B161">
            <v>34105</v>
          </cell>
          <cell r="C161" t="str">
            <v>Guilford Technical Community College</v>
          </cell>
          <cell r="D161">
            <v>2.1879300458095808E-3</v>
          </cell>
          <cell r="E161">
            <v>3785629.1367114261</v>
          </cell>
          <cell r="F161">
            <v>2951741.8549563186</v>
          </cell>
          <cell r="G161">
            <v>-618986</v>
          </cell>
          <cell r="H161">
            <v>-1056325.0450317003</v>
          </cell>
          <cell r="I161">
            <v>-43712.723435389555</v>
          </cell>
          <cell r="J161">
            <v>3194541.3768472364</v>
          </cell>
          <cell r="K161">
            <v>0</v>
          </cell>
          <cell r="L161">
            <v>-167846.50715455902</v>
          </cell>
          <cell r="M161">
            <v>30121.258455206724</v>
          </cell>
          <cell r="N161">
            <v>1135.4919351742562</v>
          </cell>
          <cell r="O161">
            <v>-512.43509602906192</v>
          </cell>
          <cell r="P161">
            <v>0</v>
          </cell>
          <cell r="Q161">
            <v>0</v>
          </cell>
          <cell r="R161">
            <v>0</v>
          </cell>
          <cell r="S161">
            <v>8075786.4081876837</v>
          </cell>
          <cell r="T161">
            <v>88477.240000000224</v>
          </cell>
          <cell r="U161">
            <v>15972706.884236181</v>
          </cell>
          <cell r="V161">
            <v>120485.03382082689</v>
          </cell>
          <cell r="W161">
            <v>0</v>
          </cell>
          <cell r="X161">
            <v>16181669.158057008</v>
          </cell>
          <cell r="Y161">
            <v>3183409</v>
          </cell>
          <cell r="Z161">
            <v>0</v>
          </cell>
          <cell r="AA161">
            <v>0</v>
          </cell>
          <cell r="AB161">
            <v>218563.61717694777</v>
          </cell>
          <cell r="AC161">
            <v>3401972.6171769476</v>
          </cell>
          <cell r="AD161" t="str">
            <v>N/A</v>
          </cell>
          <cell r="AE161">
            <v>2561963</v>
          </cell>
          <cell r="AF161">
            <v>2561964</v>
          </cell>
          <cell r="AG161">
            <v>2561964</v>
          </cell>
          <cell r="AH161">
            <v>2561964</v>
          </cell>
          <cell r="AI161">
            <v>2531843</v>
          </cell>
          <cell r="AJ161">
            <v>0</v>
          </cell>
          <cell r="AK161">
            <v>12779698</v>
          </cell>
          <cell r="AL161">
            <v>76359803</v>
          </cell>
          <cell r="AM161">
            <v>8075786.4081876837</v>
          </cell>
          <cell r="AN161">
            <v>-2032892.2400000002</v>
          </cell>
          <cell r="AO161">
            <v>15874628.300880061</v>
          </cell>
          <cell r="AP161">
            <v>0</v>
          </cell>
          <cell r="AQ161">
            <v>-3094931.76</v>
          </cell>
          <cell r="AR161">
            <v>0</v>
          </cell>
          <cell r="AS161">
            <v>0</v>
          </cell>
          <cell r="AT161">
            <v>95182393.709067747</v>
          </cell>
          <cell r="AU161">
            <v>2.3031509821002847E-3</v>
          </cell>
          <cell r="AV161">
            <v>0</v>
          </cell>
          <cell r="AW161">
            <v>0</v>
          </cell>
          <cell r="AY161">
            <v>0</v>
          </cell>
          <cell r="AZ161">
            <v>0</v>
          </cell>
          <cell r="BA161">
            <v>0</v>
          </cell>
          <cell r="BB161">
            <v>0</v>
          </cell>
          <cell r="BC161">
            <v>0</v>
          </cell>
          <cell r="BD161">
            <v>0</v>
          </cell>
          <cell r="BE161">
            <v>0</v>
          </cell>
          <cell r="BF161">
            <v>0</v>
          </cell>
          <cell r="BG161">
            <v>0</v>
          </cell>
          <cell r="BH161">
            <v>0</v>
          </cell>
          <cell r="BJ161">
            <v>0</v>
          </cell>
          <cell r="BL161">
            <v>0</v>
          </cell>
          <cell r="BM161">
            <v>0</v>
          </cell>
          <cell r="BN161">
            <v>0</v>
          </cell>
          <cell r="BO161">
            <v>0</v>
          </cell>
          <cell r="BQ161">
            <v>0</v>
          </cell>
          <cell r="BR161">
            <v>0</v>
          </cell>
          <cell r="BS161">
            <v>0</v>
          </cell>
          <cell r="BT161">
            <v>0</v>
          </cell>
          <cell r="CB161">
            <v>0</v>
          </cell>
          <cell r="CC161">
            <v>0</v>
          </cell>
          <cell r="CD161">
            <v>0</v>
          </cell>
          <cell r="CE161">
            <v>0</v>
          </cell>
          <cell r="CF161">
            <v>0</v>
          </cell>
          <cell r="CI161">
            <v>0</v>
          </cell>
          <cell r="CJ161">
            <v>0</v>
          </cell>
          <cell r="CK161">
            <v>0</v>
          </cell>
          <cell r="CV161">
            <v>2.1879300458095808E-3</v>
          </cell>
          <cell r="DG161">
            <v>95182394</v>
          </cell>
          <cell r="DR161">
            <v>35328585.719999991</v>
          </cell>
          <cell r="EC161">
            <v>2.6942033500683262</v>
          </cell>
          <cell r="EN161">
            <v>2.4095909012463064E-2</v>
          </cell>
        </row>
        <row r="162">
          <cell r="B162">
            <v>34200</v>
          </cell>
          <cell r="C162" t="str">
            <v>Halifax County Schools</v>
          </cell>
          <cell r="D162">
            <v>1.0017279265030735E-3</v>
          </cell>
          <cell r="E162">
            <v>1733222.8847492118</v>
          </cell>
          <cell r="F162">
            <v>1351433.6318022611</v>
          </cell>
          <cell r="G162">
            <v>-931635</v>
          </cell>
          <cell r="H162">
            <v>-483630.77197074314</v>
          </cell>
          <cell r="I162">
            <v>-20013.553857720573</v>
          </cell>
          <cell r="J162">
            <v>1462597.6345479386</v>
          </cell>
          <cell r="K162">
            <v>0</v>
          </cell>
          <cell r="L162">
            <v>-76847.307757732982</v>
          </cell>
          <cell r="M162">
            <v>13790.800045818025</v>
          </cell>
          <cell r="N162">
            <v>519.87675929656507</v>
          </cell>
          <cell r="O162">
            <v>-234.61469766628483</v>
          </cell>
          <cell r="P162">
            <v>0</v>
          </cell>
          <cell r="Q162">
            <v>0</v>
          </cell>
          <cell r="R162">
            <v>0</v>
          </cell>
          <cell r="S162">
            <v>3049203.5796206635</v>
          </cell>
          <cell r="T162">
            <v>10833.380000000005</v>
          </cell>
          <cell r="U162">
            <v>7312988.172739693</v>
          </cell>
          <cell r="V162">
            <v>55163.2001832721</v>
          </cell>
          <cell r="W162">
            <v>0</v>
          </cell>
          <cell r="X162">
            <v>7378984.7529229652</v>
          </cell>
          <cell r="Y162">
            <v>4669012</v>
          </cell>
          <cell r="Z162">
            <v>0</v>
          </cell>
          <cell r="AA162">
            <v>0</v>
          </cell>
          <cell r="AB162">
            <v>100067.76928860285</v>
          </cell>
          <cell r="AC162">
            <v>4769079.7692886032</v>
          </cell>
          <cell r="AD162" t="str">
            <v>N/A</v>
          </cell>
          <cell r="AE162">
            <v>524740</v>
          </cell>
          <cell r="AF162">
            <v>524739</v>
          </cell>
          <cell r="AG162">
            <v>524739</v>
          </cell>
          <cell r="AH162">
            <v>524739</v>
          </cell>
          <cell r="AI162">
            <v>510948</v>
          </cell>
          <cell r="AJ162">
            <v>0</v>
          </cell>
          <cell r="AK162">
            <v>2609905</v>
          </cell>
          <cell r="AL162">
            <v>38814596</v>
          </cell>
          <cell r="AM162">
            <v>3049203.5796206635</v>
          </cell>
          <cell r="AN162">
            <v>-895134.38</v>
          </cell>
          <cell r="AO162">
            <v>7268083.6036343621</v>
          </cell>
          <cell r="AP162">
            <v>0</v>
          </cell>
          <cell r="AQ162">
            <v>-4658178.62</v>
          </cell>
          <cell r="AR162">
            <v>0</v>
          </cell>
          <cell r="AS162">
            <v>0</v>
          </cell>
          <cell r="AT162">
            <v>43578570.183255032</v>
          </cell>
          <cell r="AU162">
            <v>1.1707190288918895E-3</v>
          </cell>
          <cell r="AV162">
            <v>0</v>
          </cell>
          <cell r="AW162">
            <v>0</v>
          </cell>
          <cell r="AY162">
            <v>0</v>
          </cell>
          <cell r="AZ162">
            <v>0</v>
          </cell>
          <cell r="BA162">
            <v>0</v>
          </cell>
          <cell r="BB162">
            <v>0</v>
          </cell>
          <cell r="BC162">
            <v>0</v>
          </cell>
          <cell r="BD162">
            <v>0</v>
          </cell>
          <cell r="BE162">
            <v>0</v>
          </cell>
          <cell r="BF162">
            <v>0</v>
          </cell>
          <cell r="BG162">
            <v>0</v>
          </cell>
          <cell r="BH162">
            <v>0</v>
          </cell>
          <cell r="BJ162">
            <v>0</v>
          </cell>
          <cell r="BL162">
            <v>0</v>
          </cell>
          <cell r="BM162">
            <v>0</v>
          </cell>
          <cell r="BN162">
            <v>0</v>
          </cell>
          <cell r="BO162">
            <v>0</v>
          </cell>
          <cell r="BQ162">
            <v>0</v>
          </cell>
          <cell r="BR162">
            <v>0</v>
          </cell>
          <cell r="BS162">
            <v>0</v>
          </cell>
          <cell r="BT162">
            <v>0</v>
          </cell>
          <cell r="CB162">
            <v>0</v>
          </cell>
          <cell r="CC162">
            <v>0</v>
          </cell>
          <cell r="CD162">
            <v>0</v>
          </cell>
          <cell r="CE162">
            <v>0</v>
          </cell>
          <cell r="CF162">
            <v>0</v>
          </cell>
          <cell r="CI162">
            <v>0</v>
          </cell>
          <cell r="CJ162">
            <v>0</v>
          </cell>
          <cell r="CK162">
            <v>0</v>
          </cell>
          <cell r="CV162">
            <v>1.0017279265030735E-3</v>
          </cell>
          <cell r="DG162">
            <v>43578570</v>
          </cell>
          <cell r="DR162">
            <v>16579502.449999988</v>
          </cell>
          <cell r="EC162">
            <v>2.6284606628831635</v>
          </cell>
          <cell r="EN162">
            <v>2.4095909012463064E-2</v>
          </cell>
        </row>
        <row r="163">
          <cell r="B163">
            <v>34205</v>
          </cell>
          <cell r="C163" t="str">
            <v>Halifax Community College</v>
          </cell>
          <cell r="D163">
            <v>4.0870677652817434E-4</v>
          </cell>
          <cell r="E163">
            <v>707158.02114411793</v>
          </cell>
          <cell r="F163">
            <v>551387.32657062553</v>
          </cell>
          <cell r="G163">
            <v>-90396</v>
          </cell>
          <cell r="H163">
            <v>-197322.21555609041</v>
          </cell>
          <cell r="I163">
            <v>-8165.5655868718422</v>
          </cell>
          <cell r="J163">
            <v>596742.43750055484</v>
          </cell>
          <cell r="K163">
            <v>0</v>
          </cell>
          <cell r="L163">
            <v>-31353.838310342093</v>
          </cell>
          <cell r="M163">
            <v>5626.6709585974495</v>
          </cell>
          <cell r="N163">
            <v>212.11064288259192</v>
          </cell>
          <cell r="O163">
            <v>-95.723214130663706</v>
          </cell>
          <cell r="P163">
            <v>0</v>
          </cell>
          <cell r="Q163">
            <v>0</v>
          </cell>
          <cell r="R163">
            <v>0</v>
          </cell>
          <cell r="S163">
            <v>1533793.2241493433</v>
          </cell>
          <cell r="T163">
            <v>31915.049999999988</v>
          </cell>
          <cell r="U163">
            <v>2983712.1875027739</v>
          </cell>
          <cell r="V163">
            <v>22506.683834389798</v>
          </cell>
          <cell r="W163">
            <v>0</v>
          </cell>
          <cell r="X163">
            <v>3038133.9213371635</v>
          </cell>
          <cell r="Y163">
            <v>483893</v>
          </cell>
          <cell r="Z163">
            <v>0</v>
          </cell>
          <cell r="AA163">
            <v>0</v>
          </cell>
          <cell r="AB163">
            <v>40827.827934359215</v>
          </cell>
          <cell r="AC163">
            <v>524720.8279343592</v>
          </cell>
          <cell r="AD163" t="str">
            <v>N/A</v>
          </cell>
          <cell r="AE163">
            <v>503808</v>
          </cell>
          <cell r="AF163">
            <v>503808</v>
          </cell>
          <cell r="AG163">
            <v>503808</v>
          </cell>
          <cell r="AH163">
            <v>503808</v>
          </cell>
          <cell r="AI163">
            <v>498181</v>
          </cell>
          <cell r="AJ163">
            <v>0</v>
          </cell>
          <cell r="AK163">
            <v>2513413</v>
          </cell>
          <cell r="AL163">
            <v>14131138</v>
          </cell>
          <cell r="AM163">
            <v>1533793.2241493433</v>
          </cell>
          <cell r="AN163">
            <v>-398210.05</v>
          </cell>
          <cell r="AO163">
            <v>2965391.043402805</v>
          </cell>
          <cell r="AP163">
            <v>0</v>
          </cell>
          <cell r="AQ163">
            <v>-451977.95</v>
          </cell>
          <cell r="AR163">
            <v>0</v>
          </cell>
          <cell r="AS163">
            <v>0</v>
          </cell>
          <cell r="AT163">
            <v>17780134.267552149</v>
          </cell>
          <cell r="AU163">
            <v>4.2622090937176506E-4</v>
          </cell>
          <cell r="AV163">
            <v>0</v>
          </cell>
          <cell r="AW163">
            <v>0</v>
          </cell>
          <cell r="AY163">
            <v>0</v>
          </cell>
          <cell r="AZ163">
            <v>0</v>
          </cell>
          <cell r="BA163">
            <v>0</v>
          </cell>
          <cell r="BB163">
            <v>0</v>
          </cell>
          <cell r="BC163">
            <v>0</v>
          </cell>
          <cell r="BD163">
            <v>0</v>
          </cell>
          <cell r="BE163">
            <v>0</v>
          </cell>
          <cell r="BF163">
            <v>0</v>
          </cell>
          <cell r="BG163">
            <v>0</v>
          </cell>
          <cell r="BH163">
            <v>0</v>
          </cell>
          <cell r="BJ163">
            <v>0</v>
          </cell>
          <cell r="BL163">
            <v>0</v>
          </cell>
          <cell r="BM163">
            <v>0</v>
          </cell>
          <cell r="BN163">
            <v>0</v>
          </cell>
          <cell r="BO163">
            <v>0</v>
          </cell>
          <cell r="BQ163">
            <v>0</v>
          </cell>
          <cell r="BR163">
            <v>0</v>
          </cell>
          <cell r="BS163">
            <v>0</v>
          </cell>
          <cell r="BT163">
            <v>0</v>
          </cell>
          <cell r="CB163">
            <v>0</v>
          </cell>
          <cell r="CC163">
            <v>0</v>
          </cell>
          <cell r="CD163">
            <v>0</v>
          </cell>
          <cell r="CE163">
            <v>0</v>
          </cell>
          <cell r="CF163">
            <v>0</v>
          </cell>
          <cell r="CI163">
            <v>0</v>
          </cell>
          <cell r="CJ163">
            <v>0</v>
          </cell>
          <cell r="CK163">
            <v>0</v>
          </cell>
          <cell r="CV163">
            <v>4.0870677652817434E-4</v>
          </cell>
          <cell r="DG163">
            <v>17780134</v>
          </cell>
          <cell r="DR163">
            <v>7032339.1499999976</v>
          </cell>
          <cell r="EC163">
            <v>2.528338525880113</v>
          </cell>
          <cell r="EN163">
            <v>2.4095909012463064E-2</v>
          </cell>
        </row>
        <row r="164">
          <cell r="B164">
            <v>34220</v>
          </cell>
          <cell r="C164" t="str">
            <v>Roanoke Rapids City Schools</v>
          </cell>
          <cell r="D164">
            <v>9.1141766955882503E-4</v>
          </cell>
          <cell r="E164">
            <v>1576965.0826833607</v>
          </cell>
          <cell r="F164">
            <v>1229595.8400205956</v>
          </cell>
          <cell r="G164">
            <v>-122229</v>
          </cell>
          <cell r="H164">
            <v>-440029.29283928452</v>
          </cell>
          <cell r="I164">
            <v>-18209.242384077381</v>
          </cell>
          <cell r="J164">
            <v>1330737.910278118</v>
          </cell>
          <cell r="K164">
            <v>0</v>
          </cell>
          <cell r="L164">
            <v>-69919.178946048793</v>
          </cell>
          <cell r="M164">
            <v>12547.497685313496</v>
          </cell>
          <cell r="N164">
            <v>473.00754214763901</v>
          </cell>
          <cell r="O164">
            <v>-213.46313238737241</v>
          </cell>
          <cell r="P164">
            <v>0</v>
          </cell>
          <cell r="Q164">
            <v>0</v>
          </cell>
          <cell r="R164">
            <v>0</v>
          </cell>
          <cell r="S164">
            <v>3499719.1609077374</v>
          </cell>
          <cell r="T164">
            <v>61156.439999999944</v>
          </cell>
          <cell r="U164">
            <v>6653689.5513905901</v>
          </cell>
          <cell r="V164">
            <v>50189.990741253983</v>
          </cell>
          <cell r="W164">
            <v>0</v>
          </cell>
          <cell r="X164">
            <v>6765035.9821318435</v>
          </cell>
          <cell r="Y164">
            <v>672300</v>
          </cell>
          <cell r="Z164">
            <v>0</v>
          </cell>
          <cell r="AA164">
            <v>0</v>
          </cell>
          <cell r="AB164">
            <v>91046.211920386893</v>
          </cell>
          <cell r="AC164">
            <v>763346.21192038688</v>
          </cell>
          <cell r="AD164" t="str">
            <v>N/A</v>
          </cell>
          <cell r="AE164">
            <v>1202847</v>
          </cell>
          <cell r="AF164">
            <v>1202847</v>
          </cell>
          <cell r="AG164">
            <v>1202847</v>
          </cell>
          <cell r="AH164">
            <v>1202847</v>
          </cell>
          <cell r="AI164">
            <v>1190300</v>
          </cell>
          <cell r="AJ164">
            <v>0</v>
          </cell>
          <cell r="AK164">
            <v>6001688</v>
          </cell>
          <cell r="AL164">
            <v>31024351</v>
          </cell>
          <cell r="AM164">
            <v>3499719.1609077374</v>
          </cell>
          <cell r="AN164">
            <v>-875993.44</v>
          </cell>
          <cell r="AO164">
            <v>6612833.3302114578</v>
          </cell>
          <cell r="AP164">
            <v>0</v>
          </cell>
          <cell r="AQ164">
            <v>-611143.56000000006</v>
          </cell>
          <cell r="AR164">
            <v>0</v>
          </cell>
          <cell r="AS164">
            <v>0</v>
          </cell>
          <cell r="AT164">
            <v>39649766.491119199</v>
          </cell>
          <cell r="AU164">
            <v>9.3575101871192694E-4</v>
          </cell>
          <cell r="AV164">
            <v>0</v>
          </cell>
          <cell r="AW164">
            <v>0</v>
          </cell>
          <cell r="AY164">
            <v>0</v>
          </cell>
          <cell r="AZ164">
            <v>0</v>
          </cell>
          <cell r="BA164">
            <v>0</v>
          </cell>
          <cell r="BB164">
            <v>0</v>
          </cell>
          <cell r="BC164">
            <v>0</v>
          </cell>
          <cell r="BD164">
            <v>0</v>
          </cell>
          <cell r="BE164">
            <v>0</v>
          </cell>
          <cell r="BF164">
            <v>0</v>
          </cell>
          <cell r="BG164">
            <v>0</v>
          </cell>
          <cell r="BH164">
            <v>0</v>
          </cell>
          <cell r="BJ164">
            <v>0</v>
          </cell>
          <cell r="BL164">
            <v>0</v>
          </cell>
          <cell r="BM164">
            <v>0</v>
          </cell>
          <cell r="BN164">
            <v>0</v>
          </cell>
          <cell r="BO164">
            <v>0</v>
          </cell>
          <cell r="BQ164">
            <v>0</v>
          </cell>
          <cell r="BR164">
            <v>0</v>
          </cell>
          <cell r="BS164">
            <v>0</v>
          </cell>
          <cell r="BT164">
            <v>0</v>
          </cell>
          <cell r="CB164">
            <v>0</v>
          </cell>
          <cell r="CC164">
            <v>0</v>
          </cell>
          <cell r="CD164">
            <v>0</v>
          </cell>
          <cell r="CE164">
            <v>0</v>
          </cell>
          <cell r="CF164">
            <v>0</v>
          </cell>
          <cell r="CI164">
            <v>0</v>
          </cell>
          <cell r="CJ164">
            <v>0</v>
          </cell>
          <cell r="CK164">
            <v>0</v>
          </cell>
          <cell r="CV164">
            <v>9.1141766955882503E-4</v>
          </cell>
          <cell r="DG164">
            <v>39649767</v>
          </cell>
          <cell r="DR164">
            <v>15110977.050000003</v>
          </cell>
          <cell r="EC164">
            <v>2.6239049181799925</v>
          </cell>
          <cell r="EN164">
            <v>2.4095909012463064E-2</v>
          </cell>
        </row>
        <row r="165">
          <cell r="B165">
            <v>34230</v>
          </cell>
          <cell r="C165" t="str">
            <v>Weldon City Schools</v>
          </cell>
          <cell r="D165">
            <v>4.2912639671802925E-4</v>
          </cell>
          <cell r="E165">
            <v>742488.72529498697</v>
          </cell>
          <cell r="F165">
            <v>578935.48684757052</v>
          </cell>
          <cell r="G165">
            <v>-31160</v>
          </cell>
          <cell r="H165">
            <v>-207180.73743063115</v>
          </cell>
          <cell r="I165">
            <v>-8573.5298230796525</v>
          </cell>
          <cell r="J165">
            <v>626556.60899151757</v>
          </cell>
          <cell r="K165">
            <v>0</v>
          </cell>
          <cell r="L165">
            <v>-32920.324374580799</v>
          </cell>
          <cell r="M165">
            <v>5907.7881078745831</v>
          </cell>
          <cell r="N165">
            <v>222.70801736872281</v>
          </cell>
          <cell r="O165">
            <v>-100.50569337532963</v>
          </cell>
          <cell r="P165">
            <v>0</v>
          </cell>
          <cell r="Q165">
            <v>0</v>
          </cell>
          <cell r="R165">
            <v>0</v>
          </cell>
          <cell r="S165">
            <v>1674176.2199376514</v>
          </cell>
          <cell r="T165">
            <v>4594.6300000000047</v>
          </cell>
          <cell r="U165">
            <v>3132783.0449575875</v>
          </cell>
          <cell r="V165">
            <v>23631.152431498333</v>
          </cell>
          <cell r="W165">
            <v>0</v>
          </cell>
          <cell r="X165">
            <v>3161008.8273890857</v>
          </cell>
          <cell r="Y165">
            <v>160392</v>
          </cell>
          <cell r="Z165">
            <v>0</v>
          </cell>
          <cell r="AA165">
            <v>0</v>
          </cell>
          <cell r="AB165">
            <v>42867.649115398264</v>
          </cell>
          <cell r="AC165">
            <v>203259.64911539826</v>
          </cell>
          <cell r="AD165" t="str">
            <v>N/A</v>
          </cell>
          <cell r="AE165">
            <v>592732</v>
          </cell>
          <cell r="AF165">
            <v>592731</v>
          </cell>
          <cell r="AG165">
            <v>592731</v>
          </cell>
          <cell r="AH165">
            <v>592731</v>
          </cell>
          <cell r="AI165">
            <v>586823</v>
          </cell>
          <cell r="AJ165">
            <v>0</v>
          </cell>
          <cell r="AK165">
            <v>2957748</v>
          </cell>
          <cell r="AL165">
            <v>14419939</v>
          </cell>
          <cell r="AM165">
            <v>1674176.2199376514</v>
          </cell>
          <cell r="AN165">
            <v>-383407.63</v>
          </cell>
          <cell r="AO165">
            <v>3113546.5482736882</v>
          </cell>
          <cell r="AP165">
            <v>0</v>
          </cell>
          <cell r="AQ165">
            <v>-155797.37</v>
          </cell>
          <cell r="AR165">
            <v>0</v>
          </cell>
          <cell r="AS165">
            <v>0</v>
          </cell>
          <cell r="AT165">
            <v>18668456.768211339</v>
          </cell>
          <cell r="AU165">
            <v>4.3493167610547304E-4</v>
          </cell>
          <cell r="AV165">
            <v>0</v>
          </cell>
          <cell r="AW165">
            <v>0</v>
          </cell>
          <cell r="AY165">
            <v>0</v>
          </cell>
          <cell r="AZ165">
            <v>0</v>
          </cell>
          <cell r="BA165">
            <v>0</v>
          </cell>
          <cell r="BB165">
            <v>0</v>
          </cell>
          <cell r="BC165">
            <v>0</v>
          </cell>
          <cell r="BD165">
            <v>0</v>
          </cell>
          <cell r="BE165">
            <v>0</v>
          </cell>
          <cell r="BF165">
            <v>0</v>
          </cell>
          <cell r="BG165">
            <v>0</v>
          </cell>
          <cell r="BH165">
            <v>0</v>
          </cell>
          <cell r="BJ165">
            <v>0</v>
          </cell>
          <cell r="BL165">
            <v>0</v>
          </cell>
          <cell r="BM165">
            <v>0</v>
          </cell>
          <cell r="BN165">
            <v>0</v>
          </cell>
          <cell r="BO165">
            <v>0</v>
          </cell>
          <cell r="BQ165">
            <v>0</v>
          </cell>
          <cell r="BR165">
            <v>0</v>
          </cell>
          <cell r="BS165">
            <v>0</v>
          </cell>
          <cell r="BT165">
            <v>0</v>
          </cell>
          <cell r="CB165">
            <v>0</v>
          </cell>
          <cell r="CC165">
            <v>0</v>
          </cell>
          <cell r="CD165">
            <v>0</v>
          </cell>
          <cell r="CE165">
            <v>0</v>
          </cell>
          <cell r="CF165">
            <v>0</v>
          </cell>
          <cell r="CI165">
            <v>0</v>
          </cell>
          <cell r="CJ165">
            <v>0</v>
          </cell>
          <cell r="CK165">
            <v>0</v>
          </cell>
          <cell r="CV165">
            <v>4.2912639671802925E-4</v>
          </cell>
          <cell r="DG165">
            <v>18668457</v>
          </cell>
          <cell r="DR165">
            <v>6807248.9900000021</v>
          </cell>
          <cell r="EC165">
            <v>2.742437808198932</v>
          </cell>
          <cell r="EN165">
            <v>2.4095909012463064E-2</v>
          </cell>
        </row>
        <row r="166">
          <cell r="B166">
            <v>34300</v>
          </cell>
          <cell r="C166" t="str">
            <v>Harnett County Schools</v>
          </cell>
          <cell r="D166">
            <v>6.1604554914126784E-3</v>
          </cell>
          <cell r="E166">
            <v>10659024.427390411</v>
          </cell>
          <cell r="F166">
            <v>8311085.7929051407</v>
          </cell>
          <cell r="G166">
            <v>-539295</v>
          </cell>
          <cell r="H166">
            <v>-2974246.5655360525</v>
          </cell>
          <cell r="I166">
            <v>-123079.93468434046</v>
          </cell>
          <cell r="J166">
            <v>8994725.4050627649</v>
          </cell>
          <cell r="K166">
            <v>0</v>
          </cell>
          <cell r="L166">
            <v>-472597.80480419076</v>
          </cell>
          <cell r="M166">
            <v>84811.06259043004</v>
          </cell>
          <cell r="N166">
            <v>3197.1531909333517</v>
          </cell>
          <cell r="O166">
            <v>-1442.8402806437634</v>
          </cell>
          <cell r="P166">
            <v>0</v>
          </cell>
          <cell r="Q166">
            <v>0</v>
          </cell>
          <cell r="R166">
            <v>0</v>
          </cell>
          <cell r="S166">
            <v>23942181.695834454</v>
          </cell>
          <cell r="T166">
            <v>0</v>
          </cell>
          <cell r="U166">
            <v>44973627.025313824</v>
          </cell>
          <cell r="V166">
            <v>339244.25036172016</v>
          </cell>
          <cell r="W166">
            <v>0</v>
          </cell>
          <cell r="X166">
            <v>45312871.275675543</v>
          </cell>
          <cell r="Y166">
            <v>2696478.37</v>
          </cell>
          <cell r="Z166">
            <v>0</v>
          </cell>
          <cell r="AA166">
            <v>0</v>
          </cell>
          <cell r="AB166">
            <v>615399.67342170235</v>
          </cell>
          <cell r="AC166">
            <v>3311878.0434217025</v>
          </cell>
          <cell r="AD166" t="str">
            <v>N/A</v>
          </cell>
          <cell r="AE166">
            <v>8417162</v>
          </cell>
          <cell r="AF166">
            <v>8417161</v>
          </cell>
          <cell r="AG166">
            <v>8417161</v>
          </cell>
          <cell r="AH166">
            <v>8417161</v>
          </cell>
          <cell r="AI166">
            <v>8332349</v>
          </cell>
          <cell r="AJ166">
            <v>0</v>
          </cell>
          <cell r="AK166">
            <v>42000994</v>
          </cell>
          <cell r="AL166">
            <v>207203370</v>
          </cell>
          <cell r="AM166">
            <v>23942181.695834454</v>
          </cell>
          <cell r="AN166">
            <v>-5145791.63</v>
          </cell>
          <cell r="AO166">
            <v>44697471.602253847</v>
          </cell>
          <cell r="AP166">
            <v>0</v>
          </cell>
          <cell r="AQ166">
            <v>-2696478.37</v>
          </cell>
          <cell r="AR166">
            <v>0</v>
          </cell>
          <cell r="AS166">
            <v>0</v>
          </cell>
          <cell r="AT166">
            <v>268000753.29808831</v>
          </cell>
          <cell r="AU166">
            <v>6.2496316588030757E-3</v>
          </cell>
          <cell r="AV166">
            <v>0</v>
          </cell>
          <cell r="AW166">
            <v>0</v>
          </cell>
          <cell r="AY166">
            <v>0</v>
          </cell>
          <cell r="AZ166">
            <v>0</v>
          </cell>
          <cell r="BA166">
            <v>0</v>
          </cell>
          <cell r="BB166">
            <v>0</v>
          </cell>
          <cell r="BC166">
            <v>0</v>
          </cell>
          <cell r="BD166">
            <v>0</v>
          </cell>
          <cell r="BE166">
            <v>0</v>
          </cell>
          <cell r="BF166">
            <v>0</v>
          </cell>
          <cell r="BG166">
            <v>0</v>
          </cell>
          <cell r="BH166">
            <v>0</v>
          </cell>
          <cell r="BJ166">
            <v>0</v>
          </cell>
          <cell r="BL166">
            <v>0</v>
          </cell>
          <cell r="BM166">
            <v>0</v>
          </cell>
          <cell r="BN166">
            <v>0</v>
          </cell>
          <cell r="BO166">
            <v>0</v>
          </cell>
          <cell r="BQ166">
            <v>0</v>
          </cell>
          <cell r="BR166">
            <v>0</v>
          </cell>
          <cell r="BS166">
            <v>0</v>
          </cell>
          <cell r="BT166">
            <v>0</v>
          </cell>
          <cell r="CB166">
            <v>0</v>
          </cell>
          <cell r="CC166">
            <v>0</v>
          </cell>
          <cell r="CD166">
            <v>0</v>
          </cell>
          <cell r="CE166">
            <v>0</v>
          </cell>
          <cell r="CF166">
            <v>0</v>
          </cell>
          <cell r="CI166">
            <v>0</v>
          </cell>
          <cell r="CJ166">
            <v>0</v>
          </cell>
          <cell r="CK166">
            <v>0</v>
          </cell>
          <cell r="CV166">
            <v>6.1604554914126784E-3</v>
          </cell>
          <cell r="DG166">
            <v>268000753</v>
          </cell>
          <cell r="DR166">
            <v>88020095.33999981</v>
          </cell>
          <cell r="EC166">
            <v>3.0447678108593217</v>
          </cell>
          <cell r="EN166">
            <v>2.4095909012463064E-2</v>
          </cell>
        </row>
        <row r="167">
          <cell r="B167">
            <v>34400</v>
          </cell>
          <cell r="C167" t="str">
            <v>Haywood County Schools</v>
          </cell>
          <cell r="D167">
            <v>2.6150590035770769E-3</v>
          </cell>
          <cell r="E167">
            <v>4524661.8268811479</v>
          </cell>
          <cell r="F167">
            <v>3527982.5919583444</v>
          </cell>
          <cell r="G167">
            <v>10604</v>
          </cell>
          <cell r="H167">
            <v>-1262541.4258580557</v>
          </cell>
          <cell r="I167">
            <v>-52246.346362638164</v>
          </cell>
          <cell r="J167">
            <v>3818181.575696928</v>
          </cell>
          <cell r="K167">
            <v>0</v>
          </cell>
          <cell r="L167">
            <v>-200613.59849879518</v>
          </cell>
          <cell r="M167">
            <v>36001.547797756182</v>
          </cell>
          <cell r="N167">
            <v>1357.1633216764315</v>
          </cell>
          <cell r="O167">
            <v>-612.47296922778719</v>
          </cell>
          <cell r="P167">
            <v>0</v>
          </cell>
          <cell r="Q167">
            <v>0</v>
          </cell>
          <cell r="R167">
            <v>0</v>
          </cell>
          <cell r="S167">
            <v>10402774.861967133</v>
          </cell>
          <cell r="T167">
            <v>137906</v>
          </cell>
          <cell r="U167">
            <v>19090907.87848464</v>
          </cell>
          <cell r="V167">
            <v>144006.19119102473</v>
          </cell>
          <cell r="W167">
            <v>0</v>
          </cell>
          <cell r="X167">
            <v>19372820.069675665</v>
          </cell>
          <cell r="Y167">
            <v>84885.049999999814</v>
          </cell>
          <cell r="Z167">
            <v>0</v>
          </cell>
          <cell r="AA167">
            <v>0</v>
          </cell>
          <cell r="AB167">
            <v>261231.7318131908</v>
          </cell>
          <cell r="AC167">
            <v>346116.78181319061</v>
          </cell>
          <cell r="AD167" t="str">
            <v>N/A</v>
          </cell>
          <cell r="AE167">
            <v>3812541</v>
          </cell>
          <cell r="AF167">
            <v>3812541</v>
          </cell>
          <cell r="AG167">
            <v>3812541</v>
          </cell>
          <cell r="AH167">
            <v>3812541</v>
          </cell>
          <cell r="AI167">
            <v>3776539</v>
          </cell>
          <cell r="AJ167">
            <v>0</v>
          </cell>
          <cell r="AK167">
            <v>19026703</v>
          </cell>
          <cell r="AL167">
            <v>86535469</v>
          </cell>
          <cell r="AM167">
            <v>10402774.861967133</v>
          </cell>
          <cell r="AN167">
            <v>-2200991.9500000002</v>
          </cell>
          <cell r="AO167">
            <v>18973682.337862477</v>
          </cell>
          <cell r="AP167">
            <v>0</v>
          </cell>
          <cell r="AQ167">
            <v>53020.950000000186</v>
          </cell>
          <cell r="AR167">
            <v>0</v>
          </cell>
          <cell r="AS167">
            <v>0</v>
          </cell>
          <cell r="AT167">
            <v>113763955.19982961</v>
          </cell>
          <cell r="AU167">
            <v>2.6100676176731594E-3</v>
          </cell>
          <cell r="AV167">
            <v>0</v>
          </cell>
          <cell r="AW167">
            <v>0</v>
          </cell>
          <cell r="AY167">
            <v>0</v>
          </cell>
          <cell r="AZ167">
            <v>0</v>
          </cell>
          <cell r="BA167">
            <v>0</v>
          </cell>
          <cell r="BB167">
            <v>0</v>
          </cell>
          <cell r="BC167">
            <v>0</v>
          </cell>
          <cell r="BD167">
            <v>0</v>
          </cell>
          <cell r="BE167">
            <v>0</v>
          </cell>
          <cell r="BF167">
            <v>0</v>
          </cell>
          <cell r="BG167">
            <v>0</v>
          </cell>
          <cell r="BH167">
            <v>0</v>
          </cell>
          <cell r="BJ167">
            <v>0</v>
          </cell>
          <cell r="BL167">
            <v>0</v>
          </cell>
          <cell r="BM167">
            <v>0</v>
          </cell>
          <cell r="BN167">
            <v>0</v>
          </cell>
          <cell r="BO167">
            <v>0</v>
          </cell>
          <cell r="BQ167">
            <v>0</v>
          </cell>
          <cell r="BR167">
            <v>0</v>
          </cell>
          <cell r="BS167">
            <v>0</v>
          </cell>
          <cell r="BT167">
            <v>0</v>
          </cell>
          <cell r="CB167">
            <v>0</v>
          </cell>
          <cell r="CC167">
            <v>0</v>
          </cell>
          <cell r="CD167">
            <v>0</v>
          </cell>
          <cell r="CE167">
            <v>0</v>
          </cell>
          <cell r="CF167">
            <v>0</v>
          </cell>
          <cell r="CI167">
            <v>0</v>
          </cell>
          <cell r="CJ167">
            <v>0</v>
          </cell>
          <cell r="CK167">
            <v>0</v>
          </cell>
          <cell r="CV167">
            <v>2.6150590035770769E-3</v>
          </cell>
          <cell r="DG167">
            <v>113763955</v>
          </cell>
          <cell r="DR167">
            <v>38324638.400000051</v>
          </cell>
          <cell r="EC167">
            <v>2.9684286597208924</v>
          </cell>
          <cell r="EN167">
            <v>2.4095909012463064E-2</v>
          </cell>
        </row>
        <row r="168">
          <cell r="B168">
            <v>34405</v>
          </cell>
          <cell r="C168" t="str">
            <v>Haywood Technical College</v>
          </cell>
          <cell r="D168">
            <v>5.4795195720686181E-4</v>
          </cell>
          <cell r="E168">
            <v>948084.65137778095</v>
          </cell>
          <cell r="F168">
            <v>739243.34541246749</v>
          </cell>
          <cell r="G168">
            <v>81268</v>
          </cell>
          <cell r="H168">
            <v>-264549.30630909302</v>
          </cell>
          <cell r="I168">
            <v>-10947.549446171181</v>
          </cell>
          <cell r="J168">
            <v>800050.8074626493</v>
          </cell>
          <cell r="K168">
            <v>0</v>
          </cell>
          <cell r="L168">
            <v>-42035.997577630325</v>
          </cell>
          <cell r="M168">
            <v>7543.6609848086146</v>
          </cell>
          <cell r="N168">
            <v>284.37610675121715</v>
          </cell>
          <cell r="O168">
            <v>-128.33582789741911</v>
          </cell>
          <cell r="P168">
            <v>0</v>
          </cell>
          <cell r="Q168">
            <v>0</v>
          </cell>
          <cell r="R168">
            <v>0</v>
          </cell>
          <cell r="S168">
            <v>2258813.6521836654</v>
          </cell>
          <cell r="T168">
            <v>416047</v>
          </cell>
          <cell r="U168">
            <v>4000254.0373132462</v>
          </cell>
          <cell r="V168">
            <v>30174.643939234458</v>
          </cell>
          <cell r="W168">
            <v>0</v>
          </cell>
          <cell r="X168">
            <v>4446475.6812524805</v>
          </cell>
          <cell r="Y168">
            <v>9709.960000000021</v>
          </cell>
          <cell r="Z168">
            <v>0</v>
          </cell>
          <cell r="AA168">
            <v>0</v>
          </cell>
          <cell r="AB168">
            <v>54737.747230855901</v>
          </cell>
          <cell r="AC168">
            <v>64447.707230855922</v>
          </cell>
          <cell r="AD168" t="str">
            <v>N/A</v>
          </cell>
          <cell r="AE168">
            <v>877914</v>
          </cell>
          <cell r="AF168">
            <v>877915</v>
          </cell>
          <cell r="AG168">
            <v>877915</v>
          </cell>
          <cell r="AH168">
            <v>877915</v>
          </cell>
          <cell r="AI168">
            <v>870371</v>
          </cell>
          <cell r="AJ168">
            <v>0</v>
          </cell>
          <cell r="AK168">
            <v>4382030</v>
          </cell>
          <cell r="AL168">
            <v>17667812</v>
          </cell>
          <cell r="AM168">
            <v>2258813.6521836654</v>
          </cell>
          <cell r="AN168">
            <v>-470881.04</v>
          </cell>
          <cell r="AO168">
            <v>3975690.9340216252</v>
          </cell>
          <cell r="AP168">
            <v>0</v>
          </cell>
          <cell r="AQ168">
            <v>406337.04</v>
          </cell>
          <cell r="AR168">
            <v>0</v>
          </cell>
          <cell r="AS168">
            <v>0</v>
          </cell>
          <cell r="AT168">
            <v>23837772.586205292</v>
          </cell>
          <cell r="AU168">
            <v>5.3289343165832496E-4</v>
          </cell>
          <cell r="AV168">
            <v>0</v>
          </cell>
          <cell r="AW168">
            <v>0</v>
          </cell>
          <cell r="AY168">
            <v>0</v>
          </cell>
          <cell r="AZ168">
            <v>0</v>
          </cell>
          <cell r="BA168">
            <v>0</v>
          </cell>
          <cell r="BB168">
            <v>0</v>
          </cell>
          <cell r="BC168">
            <v>0</v>
          </cell>
          <cell r="BD168">
            <v>0</v>
          </cell>
          <cell r="BE168">
            <v>0</v>
          </cell>
          <cell r="BF168">
            <v>0</v>
          </cell>
          <cell r="BG168">
            <v>0</v>
          </cell>
          <cell r="BH168">
            <v>0</v>
          </cell>
          <cell r="BJ168">
            <v>0</v>
          </cell>
          <cell r="BL168">
            <v>0</v>
          </cell>
          <cell r="BM168">
            <v>0</v>
          </cell>
          <cell r="BN168">
            <v>0</v>
          </cell>
          <cell r="BO168">
            <v>0</v>
          </cell>
          <cell r="BQ168">
            <v>0</v>
          </cell>
          <cell r="BR168">
            <v>0</v>
          </cell>
          <cell r="BS168">
            <v>0</v>
          </cell>
          <cell r="BT168">
            <v>0</v>
          </cell>
          <cell r="CB168">
            <v>0</v>
          </cell>
          <cell r="CC168">
            <v>0</v>
          </cell>
          <cell r="CD168">
            <v>0</v>
          </cell>
          <cell r="CE168">
            <v>0</v>
          </cell>
          <cell r="CF168">
            <v>0</v>
          </cell>
          <cell r="CI168">
            <v>0</v>
          </cell>
          <cell r="CJ168">
            <v>0</v>
          </cell>
          <cell r="CK168">
            <v>0</v>
          </cell>
          <cell r="CV168">
            <v>5.4795195720686181E-4</v>
          </cell>
          <cell r="DG168">
            <v>23837773</v>
          </cell>
          <cell r="DR168">
            <v>8141265.6999999993</v>
          </cell>
          <cell r="EC168">
            <v>2.9280180598945447</v>
          </cell>
          <cell r="EN168">
            <v>2.4095909012463064E-2</v>
          </cell>
        </row>
        <row r="169">
          <cell r="B169">
            <v>34500</v>
          </cell>
          <cell r="C169" t="str">
            <v>Henderson County Schools</v>
          </cell>
          <cell r="D169">
            <v>4.4938371957256697E-3</v>
          </cell>
          <cell r="E169">
            <v>7775386.172130499</v>
          </cell>
          <cell r="F169">
            <v>6062646.913866384</v>
          </cell>
          <cell r="G169">
            <v>299864</v>
          </cell>
          <cell r="H169">
            <v>-2169609.0271403417</v>
          </cell>
          <cell r="I169">
            <v>-89782.515157031245</v>
          </cell>
          <cell r="J169">
            <v>6561338.1424399568</v>
          </cell>
          <cell r="K169">
            <v>0</v>
          </cell>
          <cell r="L169">
            <v>-344743.59839265072</v>
          </cell>
          <cell r="M169">
            <v>61866.709078437743</v>
          </cell>
          <cell r="N169">
            <v>2332.211627837708</v>
          </cell>
          <cell r="O169">
            <v>-1052.5016096109091</v>
          </cell>
          <cell r="P169">
            <v>0</v>
          </cell>
          <cell r="Q169">
            <v>0</v>
          </cell>
          <cell r="R169">
            <v>0</v>
          </cell>
          <cell r="S169">
            <v>18158246.506843481</v>
          </cell>
          <cell r="T169">
            <v>1613282</v>
          </cell>
          <cell r="U169">
            <v>32806690.712199785</v>
          </cell>
          <cell r="V169">
            <v>247466.83631375097</v>
          </cell>
          <cell r="W169">
            <v>0</v>
          </cell>
          <cell r="X169">
            <v>34667439.548513539</v>
          </cell>
          <cell r="Y169">
            <v>113965.67000000039</v>
          </cell>
          <cell r="Z169">
            <v>0</v>
          </cell>
          <cell r="AA169">
            <v>0</v>
          </cell>
          <cell r="AB169">
            <v>448912.57578515622</v>
          </cell>
          <cell r="AC169">
            <v>562878.24578515661</v>
          </cell>
          <cell r="AD169" t="str">
            <v>N/A</v>
          </cell>
          <cell r="AE169">
            <v>6833285</v>
          </cell>
          <cell r="AF169">
            <v>6833286</v>
          </cell>
          <cell r="AG169">
            <v>6833286</v>
          </cell>
          <cell r="AH169">
            <v>6833286</v>
          </cell>
          <cell r="AI169">
            <v>6771420</v>
          </cell>
          <cell r="AJ169">
            <v>0</v>
          </cell>
          <cell r="AK169">
            <v>34104563</v>
          </cell>
          <cell r="AL169">
            <v>147054955</v>
          </cell>
          <cell r="AM169">
            <v>18158246.506843481</v>
          </cell>
          <cell r="AN169">
            <v>-3820570.3299999996</v>
          </cell>
          <cell r="AO169">
            <v>32605244.972728383</v>
          </cell>
          <cell r="AP169">
            <v>0</v>
          </cell>
          <cell r="AQ169">
            <v>1499316.3299999996</v>
          </cell>
          <cell r="AR169">
            <v>0</v>
          </cell>
          <cell r="AS169">
            <v>0</v>
          </cell>
          <cell r="AT169">
            <v>195497192.47957185</v>
          </cell>
          <cell r="AU169">
            <v>4.4354457241586528E-3</v>
          </cell>
          <cell r="AV169">
            <v>0</v>
          </cell>
          <cell r="AW169">
            <v>0</v>
          </cell>
          <cell r="AY169">
            <v>0</v>
          </cell>
          <cell r="AZ169">
            <v>0</v>
          </cell>
          <cell r="BA169">
            <v>0</v>
          </cell>
          <cell r="BB169">
            <v>0</v>
          </cell>
          <cell r="BC169">
            <v>0</v>
          </cell>
          <cell r="BD169">
            <v>0</v>
          </cell>
          <cell r="BE169">
            <v>0</v>
          </cell>
          <cell r="BF169">
            <v>0</v>
          </cell>
          <cell r="BG169">
            <v>0</v>
          </cell>
          <cell r="BH169">
            <v>0</v>
          </cell>
          <cell r="BJ169">
            <v>0</v>
          </cell>
          <cell r="BL169">
            <v>0</v>
          </cell>
          <cell r="BM169">
            <v>0</v>
          </cell>
          <cell r="BN169">
            <v>0</v>
          </cell>
          <cell r="BO169">
            <v>0</v>
          </cell>
          <cell r="BQ169">
            <v>0</v>
          </cell>
          <cell r="BR169">
            <v>0</v>
          </cell>
          <cell r="BS169">
            <v>0</v>
          </cell>
          <cell r="BT169">
            <v>0</v>
          </cell>
          <cell r="CB169">
            <v>0</v>
          </cell>
          <cell r="CC169">
            <v>0</v>
          </cell>
          <cell r="CD169">
            <v>0</v>
          </cell>
          <cell r="CE169">
            <v>0</v>
          </cell>
          <cell r="CF169">
            <v>0</v>
          </cell>
          <cell r="CI169">
            <v>0</v>
          </cell>
          <cell r="CJ169">
            <v>0</v>
          </cell>
          <cell r="CK169">
            <v>0</v>
          </cell>
          <cell r="CV169">
            <v>4.4938371957256697E-3</v>
          </cell>
          <cell r="DG169">
            <v>195497193</v>
          </cell>
          <cell r="DR169">
            <v>66754769.790000111</v>
          </cell>
          <cell r="EC169">
            <v>2.9285876292436193</v>
          </cell>
          <cell r="EN169">
            <v>2.4095909012463064E-2</v>
          </cell>
        </row>
        <row r="170">
          <cell r="B170">
            <v>34501</v>
          </cell>
          <cell r="C170" t="str">
            <v>Mountain Community School</v>
          </cell>
          <cell r="D170">
            <v>5.1589004249023141E-5</v>
          </cell>
          <cell r="E170">
            <v>89261.00630734177</v>
          </cell>
          <cell r="F170">
            <v>69598.853669480595</v>
          </cell>
          <cell r="G170">
            <v>-31116</v>
          </cell>
          <cell r="H170">
            <v>-24906.992497708368</v>
          </cell>
          <cell r="I170">
            <v>-1030.6983440186962</v>
          </cell>
          <cell r="J170">
            <v>75323.801590224801</v>
          </cell>
          <cell r="K170">
            <v>0</v>
          </cell>
          <cell r="L170">
            <v>-3957.6375795763661</v>
          </cell>
          <cell r="M170">
            <v>710.22642310147455</v>
          </cell>
          <cell r="N170">
            <v>26.773661425158028</v>
          </cell>
          <cell r="O170">
            <v>-12.08266068516371</v>
          </cell>
          <cell r="P170">
            <v>0</v>
          </cell>
          <cell r="Q170">
            <v>0</v>
          </cell>
          <cell r="R170">
            <v>0</v>
          </cell>
          <cell r="S170">
            <v>173897.25056958519</v>
          </cell>
          <cell r="T170">
            <v>0</v>
          </cell>
          <cell r="U170">
            <v>376619.00795112399</v>
          </cell>
          <cell r="V170">
            <v>2840.9056924058982</v>
          </cell>
          <cell r="W170">
            <v>0</v>
          </cell>
          <cell r="X170">
            <v>379459.91364352987</v>
          </cell>
          <cell r="Y170">
            <v>155576.72</v>
          </cell>
          <cell r="Z170">
            <v>0</v>
          </cell>
          <cell r="AA170">
            <v>0</v>
          </cell>
          <cell r="AB170">
            <v>5153.4917200934806</v>
          </cell>
          <cell r="AC170">
            <v>160730.21172009347</v>
          </cell>
          <cell r="AD170" t="str">
            <v>N/A</v>
          </cell>
          <cell r="AE170">
            <v>43887</v>
          </cell>
          <cell r="AF170">
            <v>43887</v>
          </cell>
          <cell r="AG170">
            <v>43887</v>
          </cell>
          <cell r="AH170">
            <v>43887</v>
          </cell>
          <cell r="AI170">
            <v>43177</v>
          </cell>
          <cell r="AJ170">
            <v>0</v>
          </cell>
          <cell r="AK170">
            <v>218725</v>
          </cell>
          <cell r="AL170">
            <v>1895421</v>
          </cell>
          <cell r="AM170">
            <v>173897.25056958519</v>
          </cell>
          <cell r="AN170">
            <v>-43751.279999999992</v>
          </cell>
          <cell r="AO170">
            <v>374306.42192343646</v>
          </cell>
          <cell r="AP170">
            <v>0</v>
          </cell>
          <cell r="AQ170">
            <v>-155576.72</v>
          </cell>
          <cell r="AR170">
            <v>0</v>
          </cell>
          <cell r="AS170">
            <v>0</v>
          </cell>
          <cell r="AT170">
            <v>2244296.6724930215</v>
          </cell>
          <cell r="AU170">
            <v>5.7169358129020601E-5</v>
          </cell>
          <cell r="AV170">
            <v>0</v>
          </cell>
          <cell r="AW170">
            <v>0</v>
          </cell>
          <cell r="AY170">
            <v>0</v>
          </cell>
          <cell r="AZ170">
            <v>0</v>
          </cell>
          <cell r="BA170">
            <v>0</v>
          </cell>
          <cell r="BB170">
            <v>0</v>
          </cell>
          <cell r="BC170">
            <v>0</v>
          </cell>
          <cell r="BD170">
            <v>0</v>
          </cell>
          <cell r="BE170">
            <v>0</v>
          </cell>
          <cell r="BF170">
            <v>0</v>
          </cell>
          <cell r="BG170">
            <v>0</v>
          </cell>
          <cell r="BH170">
            <v>0</v>
          </cell>
          <cell r="BJ170">
            <v>0</v>
          </cell>
          <cell r="BL170">
            <v>0</v>
          </cell>
          <cell r="BM170">
            <v>0</v>
          </cell>
          <cell r="BN170">
            <v>0</v>
          </cell>
          <cell r="BO170">
            <v>0</v>
          </cell>
          <cell r="BQ170">
            <v>0</v>
          </cell>
          <cell r="BR170">
            <v>0</v>
          </cell>
          <cell r="BS170">
            <v>0</v>
          </cell>
          <cell r="BT170">
            <v>0</v>
          </cell>
          <cell r="CB170">
            <v>0</v>
          </cell>
          <cell r="CC170">
            <v>0</v>
          </cell>
          <cell r="CD170">
            <v>0</v>
          </cell>
          <cell r="CE170">
            <v>0</v>
          </cell>
          <cell r="CF170">
            <v>0</v>
          </cell>
          <cell r="CI170">
            <v>0</v>
          </cell>
          <cell r="CJ170">
            <v>0</v>
          </cell>
          <cell r="CK170">
            <v>0</v>
          </cell>
          <cell r="CV170">
            <v>5.1589004249023141E-5</v>
          </cell>
          <cell r="DG170">
            <v>2244297</v>
          </cell>
          <cell r="DR170">
            <v>756108.58000000007</v>
          </cell>
          <cell r="EC170">
            <v>2.9682205166882247</v>
          </cell>
          <cell r="EN170">
            <v>2.4095909012463064E-2</v>
          </cell>
        </row>
        <row r="171">
          <cell r="B171">
            <v>34505</v>
          </cell>
          <cell r="C171" t="str">
            <v>Blue Ridge Community College</v>
          </cell>
          <cell r="D171">
            <v>5.5545647658876765E-4</v>
          </cell>
          <cell r="E171">
            <v>961069.21972975775</v>
          </cell>
          <cell r="F171">
            <v>749367.71113582677</v>
          </cell>
          <cell r="G171">
            <v>37200</v>
          </cell>
          <cell r="H171">
            <v>-268172.46226383455</v>
          </cell>
          <cell r="I171">
            <v>-11097.482475741779</v>
          </cell>
          <cell r="J171">
            <v>811007.96659338346</v>
          </cell>
          <cell r="K171">
            <v>0</v>
          </cell>
          <cell r="L171">
            <v>-42611.704908191023</v>
          </cell>
          <cell r="M171">
            <v>7646.975790653265</v>
          </cell>
          <cell r="N171">
            <v>288.27080222003866</v>
          </cell>
          <cell r="O171">
            <v>-130.09346138185526</v>
          </cell>
          <cell r="P171">
            <v>0</v>
          </cell>
          <cell r="Q171">
            <v>0</v>
          </cell>
          <cell r="R171">
            <v>0</v>
          </cell>
          <cell r="S171">
            <v>2244568.4009426916</v>
          </cell>
          <cell r="T171">
            <v>186003.14999999991</v>
          </cell>
          <cell r="U171">
            <v>4055039.8329669177</v>
          </cell>
          <cell r="V171">
            <v>30587.90316261306</v>
          </cell>
          <cell r="W171">
            <v>0</v>
          </cell>
          <cell r="X171">
            <v>4271630.8861295311</v>
          </cell>
          <cell r="Y171">
            <v>0</v>
          </cell>
          <cell r="Z171">
            <v>0</v>
          </cell>
          <cell r="AA171">
            <v>0</v>
          </cell>
          <cell r="AB171">
            <v>55487.412378708897</v>
          </cell>
          <cell r="AC171">
            <v>55487.412378708897</v>
          </cell>
          <cell r="AD171" t="str">
            <v>N/A</v>
          </cell>
          <cell r="AE171">
            <v>844757</v>
          </cell>
          <cell r="AF171">
            <v>844758</v>
          </cell>
          <cell r="AG171">
            <v>844758</v>
          </cell>
          <cell r="AH171">
            <v>844758</v>
          </cell>
          <cell r="AI171">
            <v>837111</v>
          </cell>
          <cell r="AJ171">
            <v>0</v>
          </cell>
          <cell r="AK171">
            <v>4216142</v>
          </cell>
          <cell r="AL171">
            <v>18253907</v>
          </cell>
          <cell r="AM171">
            <v>2244568.4009426916</v>
          </cell>
          <cell r="AN171">
            <v>-550374.14999999991</v>
          </cell>
          <cell r="AO171">
            <v>4030140.3237508219</v>
          </cell>
          <cell r="AP171">
            <v>0</v>
          </cell>
          <cell r="AQ171">
            <v>186003.14999999991</v>
          </cell>
          <cell r="AR171">
            <v>0</v>
          </cell>
          <cell r="AS171">
            <v>0</v>
          </cell>
          <cell r="AT171">
            <v>24164244.724693514</v>
          </cell>
          <cell r="AU171">
            <v>5.5057112825791289E-4</v>
          </cell>
          <cell r="AV171">
            <v>0</v>
          </cell>
          <cell r="AW171">
            <v>0</v>
          </cell>
          <cell r="AY171">
            <v>0</v>
          </cell>
          <cell r="AZ171">
            <v>0</v>
          </cell>
          <cell r="BA171">
            <v>0</v>
          </cell>
          <cell r="BB171">
            <v>0</v>
          </cell>
          <cell r="BC171">
            <v>0</v>
          </cell>
          <cell r="BD171">
            <v>0</v>
          </cell>
          <cell r="BE171">
            <v>0</v>
          </cell>
          <cell r="BF171">
            <v>0</v>
          </cell>
          <cell r="BG171">
            <v>0</v>
          </cell>
          <cell r="BH171">
            <v>0</v>
          </cell>
          <cell r="BJ171">
            <v>0</v>
          </cell>
          <cell r="BL171">
            <v>0</v>
          </cell>
          <cell r="BM171">
            <v>0</v>
          </cell>
          <cell r="BN171">
            <v>0</v>
          </cell>
          <cell r="BO171">
            <v>0</v>
          </cell>
          <cell r="BQ171">
            <v>0</v>
          </cell>
          <cell r="BR171">
            <v>0</v>
          </cell>
          <cell r="BS171">
            <v>0</v>
          </cell>
          <cell r="BT171">
            <v>0</v>
          </cell>
          <cell r="CB171">
            <v>0</v>
          </cell>
          <cell r="CC171">
            <v>0</v>
          </cell>
          <cell r="CD171">
            <v>0</v>
          </cell>
          <cell r="CE171">
            <v>0</v>
          </cell>
          <cell r="CF171">
            <v>0</v>
          </cell>
          <cell r="CI171">
            <v>0</v>
          </cell>
          <cell r="CJ171">
            <v>0</v>
          </cell>
          <cell r="CK171">
            <v>0</v>
          </cell>
          <cell r="CV171">
            <v>5.5545647658876765E-4</v>
          </cell>
          <cell r="DG171">
            <v>24164245</v>
          </cell>
          <cell r="DR171">
            <v>9672640.7699999996</v>
          </cell>
          <cell r="EC171">
            <v>2.4982055650144859</v>
          </cell>
          <cell r="EN171">
            <v>2.4095909012463064E-2</v>
          </cell>
        </row>
        <row r="172">
          <cell r="B172">
            <v>34600</v>
          </cell>
          <cell r="C172" t="str">
            <v>Hertford County Schools</v>
          </cell>
          <cell r="D172">
            <v>1.0584263195967936E-3</v>
          </cell>
          <cell r="E172">
            <v>1831324.325108967</v>
          </cell>
          <cell r="F172">
            <v>1427925.5746429535</v>
          </cell>
          <cell r="G172">
            <v>-158584</v>
          </cell>
          <cell r="H172">
            <v>-511004.55969885475</v>
          </cell>
          <cell r="I172">
            <v>-21146.332842717649</v>
          </cell>
          <cell r="J172">
            <v>1545381.5256899509</v>
          </cell>
          <cell r="K172">
            <v>0</v>
          </cell>
          <cell r="L172">
            <v>-81196.910826754203</v>
          </cell>
          <cell r="M172">
            <v>14571.367484727582</v>
          </cell>
          <cell r="N172">
            <v>549.30209134434392</v>
          </cell>
          <cell r="O172">
            <v>-247.89402831276502</v>
          </cell>
          <cell r="P172">
            <v>0</v>
          </cell>
          <cell r="Q172">
            <v>0</v>
          </cell>
          <cell r="R172">
            <v>0</v>
          </cell>
          <cell r="S172">
            <v>4047572.3976213033</v>
          </cell>
          <cell r="T172">
            <v>31111.170000000042</v>
          </cell>
          <cell r="U172">
            <v>7726907.6284497548</v>
          </cell>
          <cell r="V172">
            <v>58285.469938910326</v>
          </cell>
          <cell r="W172">
            <v>0</v>
          </cell>
          <cell r="X172">
            <v>7816304.2683886653</v>
          </cell>
          <cell r="Y172">
            <v>824032</v>
          </cell>
          <cell r="Z172">
            <v>0</v>
          </cell>
          <cell r="AA172">
            <v>0</v>
          </cell>
          <cell r="AB172">
            <v>105731.66421358824</v>
          </cell>
          <cell r="AC172">
            <v>929763.66421358823</v>
          </cell>
          <cell r="AD172" t="str">
            <v>N/A</v>
          </cell>
          <cell r="AE172">
            <v>1380223</v>
          </cell>
          <cell r="AF172">
            <v>1380222</v>
          </cell>
          <cell r="AG172">
            <v>1380222</v>
          </cell>
          <cell r="AH172">
            <v>1380222</v>
          </cell>
          <cell r="AI172">
            <v>1365650</v>
          </cell>
          <cell r="AJ172">
            <v>0</v>
          </cell>
          <cell r="AK172">
            <v>6886539</v>
          </cell>
          <cell r="AL172">
            <v>36080426</v>
          </cell>
          <cell r="AM172">
            <v>4047572.3976213033</v>
          </cell>
          <cell r="AN172">
            <v>-969396.17</v>
          </cell>
          <cell r="AO172">
            <v>7679461.4341750769</v>
          </cell>
          <cell r="AP172">
            <v>0</v>
          </cell>
          <cell r="AQ172">
            <v>-792920.83</v>
          </cell>
          <cell r="AR172">
            <v>0</v>
          </cell>
          <cell r="AS172">
            <v>0</v>
          </cell>
          <cell r="AT172">
            <v>46045142.831796378</v>
          </cell>
          <cell r="AU172">
            <v>1.0882514752291229E-3</v>
          </cell>
          <cell r="AV172">
            <v>0</v>
          </cell>
          <cell r="AW172">
            <v>0</v>
          </cell>
          <cell r="AY172">
            <v>0</v>
          </cell>
          <cell r="AZ172">
            <v>0</v>
          </cell>
          <cell r="BA172">
            <v>0</v>
          </cell>
          <cell r="BB172">
            <v>0</v>
          </cell>
          <cell r="BC172">
            <v>0</v>
          </cell>
          <cell r="BD172">
            <v>0</v>
          </cell>
          <cell r="BE172">
            <v>0</v>
          </cell>
          <cell r="BF172">
            <v>0</v>
          </cell>
          <cell r="BG172">
            <v>0</v>
          </cell>
          <cell r="BH172">
            <v>0</v>
          </cell>
          <cell r="BJ172">
            <v>0</v>
          </cell>
          <cell r="BL172">
            <v>0</v>
          </cell>
          <cell r="BM172">
            <v>0</v>
          </cell>
          <cell r="BN172">
            <v>0</v>
          </cell>
          <cell r="BO172">
            <v>0</v>
          </cell>
          <cell r="BQ172">
            <v>0</v>
          </cell>
          <cell r="BR172">
            <v>0</v>
          </cell>
          <cell r="BS172">
            <v>0</v>
          </cell>
          <cell r="BT172">
            <v>0</v>
          </cell>
          <cell r="CB172">
            <v>0</v>
          </cell>
          <cell r="CC172">
            <v>0</v>
          </cell>
          <cell r="CD172">
            <v>0</v>
          </cell>
          <cell r="CE172">
            <v>0</v>
          </cell>
          <cell r="CF172">
            <v>0</v>
          </cell>
          <cell r="CI172">
            <v>0</v>
          </cell>
          <cell r="CJ172">
            <v>0</v>
          </cell>
          <cell r="CK172">
            <v>0</v>
          </cell>
          <cell r="CV172">
            <v>1.0584263195967936E-3</v>
          </cell>
          <cell r="DG172">
            <v>46045142</v>
          </cell>
          <cell r="DR172">
            <v>16910461.929999992</v>
          </cell>
          <cell r="EC172">
            <v>2.7228790195443242</v>
          </cell>
          <cell r="EN172">
            <v>2.4095909012463064E-2</v>
          </cell>
        </row>
        <row r="173">
          <cell r="B173">
            <v>34605</v>
          </cell>
          <cell r="C173" t="str">
            <v>Roanoke-Chowan Community College</v>
          </cell>
          <cell r="D173">
            <v>2.4764422203784329E-4</v>
          </cell>
          <cell r="E173">
            <v>428482.24708107725</v>
          </cell>
          <cell r="F173">
            <v>334097.43457164289</v>
          </cell>
          <cell r="G173">
            <v>62984</v>
          </cell>
          <cell r="H173">
            <v>-119561.77232310474</v>
          </cell>
          <cell r="I173">
            <v>-4947.6917276424574</v>
          </cell>
          <cell r="J173">
            <v>361579.07130175503</v>
          </cell>
          <cell r="K173">
            <v>0</v>
          </cell>
          <cell r="L173">
            <v>-18997.964658728233</v>
          </cell>
          <cell r="M173">
            <v>3409.3208926980833</v>
          </cell>
          <cell r="N173">
            <v>128.52239835319992</v>
          </cell>
          <cell r="O173">
            <v>-58.000753243483274</v>
          </cell>
          <cell r="P173">
            <v>0</v>
          </cell>
          <cell r="Q173">
            <v>0</v>
          </cell>
          <cell r="R173">
            <v>0</v>
          </cell>
          <cell r="S173">
            <v>1047115.1667828076</v>
          </cell>
          <cell r="T173">
            <v>314917.58999999997</v>
          </cell>
          <cell r="U173">
            <v>1807895.3565087754</v>
          </cell>
          <cell r="V173">
            <v>13637.283570792333</v>
          </cell>
          <cell r="W173">
            <v>0</v>
          </cell>
          <cell r="X173">
            <v>2136450.230079568</v>
          </cell>
          <cell r="Y173">
            <v>0</v>
          </cell>
          <cell r="Z173">
            <v>0</v>
          </cell>
          <cell r="AA173">
            <v>0</v>
          </cell>
          <cell r="AB173">
            <v>24738.458638212287</v>
          </cell>
          <cell r="AC173">
            <v>24738.458638212287</v>
          </cell>
          <cell r="AD173" t="str">
            <v>N/A</v>
          </cell>
          <cell r="AE173">
            <v>423025</v>
          </cell>
          <cell r="AF173">
            <v>423025</v>
          </cell>
          <cell r="AG173">
            <v>423025</v>
          </cell>
          <cell r="AH173">
            <v>423025</v>
          </cell>
          <cell r="AI173">
            <v>419615</v>
          </cell>
          <cell r="AJ173">
            <v>0</v>
          </cell>
          <cell r="AK173">
            <v>2111715</v>
          </cell>
          <cell r="AL173">
            <v>7856029</v>
          </cell>
          <cell r="AM173">
            <v>1047115.1667828076</v>
          </cell>
          <cell r="AN173">
            <v>-241490.59</v>
          </cell>
          <cell r="AO173">
            <v>1796794.1814413555</v>
          </cell>
          <cell r="AP173">
            <v>0</v>
          </cell>
          <cell r="AQ173">
            <v>314917.58999999997</v>
          </cell>
          <cell r="AR173">
            <v>0</v>
          </cell>
          <cell r="AS173">
            <v>0</v>
          </cell>
          <cell r="AT173">
            <v>10773365.348224163</v>
          </cell>
          <cell r="AU173">
            <v>2.3695216199379654E-4</v>
          </cell>
          <cell r="AV173">
            <v>0</v>
          </cell>
          <cell r="AW173">
            <v>0</v>
          </cell>
          <cell r="AY173">
            <v>0</v>
          </cell>
          <cell r="AZ173">
            <v>0</v>
          </cell>
          <cell r="BA173">
            <v>0</v>
          </cell>
          <cell r="BB173">
            <v>0</v>
          </cell>
          <cell r="BC173">
            <v>0</v>
          </cell>
          <cell r="BD173">
            <v>0</v>
          </cell>
          <cell r="BE173">
            <v>0</v>
          </cell>
          <cell r="BF173">
            <v>0</v>
          </cell>
          <cell r="BG173">
            <v>0</v>
          </cell>
          <cell r="BH173">
            <v>0</v>
          </cell>
          <cell r="BJ173">
            <v>0</v>
          </cell>
          <cell r="BL173">
            <v>0</v>
          </cell>
          <cell r="BM173">
            <v>0</v>
          </cell>
          <cell r="BN173">
            <v>0</v>
          </cell>
          <cell r="BO173">
            <v>0</v>
          </cell>
          <cell r="BQ173">
            <v>0</v>
          </cell>
          <cell r="BR173">
            <v>0</v>
          </cell>
          <cell r="BS173">
            <v>0</v>
          </cell>
          <cell r="BT173">
            <v>0</v>
          </cell>
          <cell r="CB173">
            <v>0</v>
          </cell>
          <cell r="CC173">
            <v>0</v>
          </cell>
          <cell r="CD173">
            <v>0</v>
          </cell>
          <cell r="CE173">
            <v>0</v>
          </cell>
          <cell r="CF173">
            <v>0</v>
          </cell>
          <cell r="CI173">
            <v>0</v>
          </cell>
          <cell r="CJ173">
            <v>0</v>
          </cell>
          <cell r="CK173">
            <v>0</v>
          </cell>
          <cell r="CV173">
            <v>2.4764422203784329E-4</v>
          </cell>
          <cell r="DG173">
            <v>10773365</v>
          </cell>
          <cell r="DR173">
            <v>4201772.21</v>
          </cell>
          <cell r="EC173">
            <v>2.5640050106381183</v>
          </cell>
          <cell r="EN173">
            <v>2.4095909012463064E-2</v>
          </cell>
        </row>
        <row r="174">
          <cell r="B174">
            <v>34700</v>
          </cell>
          <cell r="C174" t="str">
            <v>Hoke County Schools</v>
          </cell>
          <cell r="D174">
            <v>2.9499284301126028E-3</v>
          </cell>
          <cell r="E174">
            <v>5104064.0159569234</v>
          </cell>
          <cell r="F174">
            <v>3979755.7663992965</v>
          </cell>
          <cell r="G174">
            <v>731778</v>
          </cell>
          <cell r="H174">
            <v>-1424215.2246809935</v>
          </cell>
          <cell r="I174">
            <v>-58936.713203730906</v>
          </cell>
          <cell r="J174">
            <v>4307115.964142154</v>
          </cell>
          <cell r="K174">
            <v>0</v>
          </cell>
          <cell r="L174">
            <v>-226303.02294108376</v>
          </cell>
          <cell r="M174">
            <v>40611.699097950586</v>
          </cell>
          <cell r="N174">
            <v>1530.9538566598385</v>
          </cell>
          <cell r="O174">
            <v>-690.90273761667265</v>
          </cell>
          <cell r="P174">
            <v>0</v>
          </cell>
          <cell r="Q174">
            <v>0</v>
          </cell>
          <cell r="R174">
            <v>0</v>
          </cell>
          <cell r="S174">
            <v>12454710.535889557</v>
          </cell>
          <cell r="T174">
            <v>3920876</v>
          </cell>
          <cell r="U174">
            <v>21535579.820710771</v>
          </cell>
          <cell r="V174">
            <v>162446.79639180235</v>
          </cell>
          <cell r="W174">
            <v>0</v>
          </cell>
          <cell r="X174">
            <v>25618902.617102575</v>
          </cell>
          <cell r="Y174">
            <v>261986.9700000002</v>
          </cell>
          <cell r="Z174">
            <v>0</v>
          </cell>
          <cell r="AA174">
            <v>0</v>
          </cell>
          <cell r="AB174">
            <v>294683.5660186545</v>
          </cell>
          <cell r="AC174">
            <v>556670.5360186547</v>
          </cell>
          <cell r="AD174" t="str">
            <v>N/A</v>
          </cell>
          <cell r="AE174">
            <v>5020569</v>
          </cell>
          <cell r="AF174">
            <v>5020569</v>
          </cell>
          <cell r="AG174">
            <v>5020569</v>
          </cell>
          <cell r="AH174">
            <v>5020569</v>
          </cell>
          <cell r="AI174">
            <v>4979957</v>
          </cell>
          <cell r="AJ174">
            <v>0</v>
          </cell>
          <cell r="AK174">
            <v>25062233</v>
          </cell>
          <cell r="AL174">
            <v>93098331</v>
          </cell>
          <cell r="AM174">
            <v>12454710.535889557</v>
          </cell>
          <cell r="AN174">
            <v>-2283360.0299999998</v>
          </cell>
          <cell r="AO174">
            <v>21403343.051083922</v>
          </cell>
          <cell r="AP174">
            <v>0</v>
          </cell>
          <cell r="AQ174">
            <v>3658889.03</v>
          </cell>
          <cell r="AR174">
            <v>0</v>
          </cell>
          <cell r="AS174">
            <v>0</v>
          </cell>
          <cell r="AT174">
            <v>128331913.58697347</v>
          </cell>
          <cell r="AU174">
            <v>2.808015515772702E-3</v>
          </cell>
          <cell r="AV174">
            <v>0</v>
          </cell>
          <cell r="AW174">
            <v>0</v>
          </cell>
          <cell r="AY174">
            <v>0</v>
          </cell>
          <cell r="AZ174">
            <v>0</v>
          </cell>
          <cell r="BA174">
            <v>0</v>
          </cell>
          <cell r="BB174">
            <v>0</v>
          </cell>
          <cell r="BC174">
            <v>0</v>
          </cell>
          <cell r="BD174">
            <v>0</v>
          </cell>
          <cell r="BE174">
            <v>0</v>
          </cell>
          <cell r="BF174">
            <v>0</v>
          </cell>
          <cell r="BG174">
            <v>0</v>
          </cell>
          <cell r="BH174">
            <v>0</v>
          </cell>
          <cell r="BJ174">
            <v>0</v>
          </cell>
          <cell r="BL174">
            <v>0</v>
          </cell>
          <cell r="BM174">
            <v>0</v>
          </cell>
          <cell r="BN174">
            <v>0</v>
          </cell>
          <cell r="BO174">
            <v>0</v>
          </cell>
          <cell r="BQ174">
            <v>0</v>
          </cell>
          <cell r="BR174">
            <v>0</v>
          </cell>
          <cell r="BS174">
            <v>0</v>
          </cell>
          <cell r="BT174">
            <v>0</v>
          </cell>
          <cell r="CB174">
            <v>0</v>
          </cell>
          <cell r="CC174">
            <v>0</v>
          </cell>
          <cell r="CD174">
            <v>0</v>
          </cell>
          <cell r="CE174">
            <v>0</v>
          </cell>
          <cell r="CF174">
            <v>0</v>
          </cell>
          <cell r="CI174">
            <v>0</v>
          </cell>
          <cell r="CJ174">
            <v>0</v>
          </cell>
          <cell r="CK174">
            <v>0</v>
          </cell>
          <cell r="CV174">
            <v>2.9499284301126028E-3</v>
          </cell>
          <cell r="DG174">
            <v>128331914</v>
          </cell>
          <cell r="DR174">
            <v>39591307.19000005</v>
          </cell>
          <cell r="EC174">
            <v>3.2414164398293472</v>
          </cell>
          <cell r="EN174">
            <v>2.4095909012463064E-2</v>
          </cell>
        </row>
        <row r="175">
          <cell r="B175">
            <v>34800</v>
          </cell>
          <cell r="C175" t="str">
            <v>Hyde County Schools</v>
          </cell>
          <cell r="D175">
            <v>3.0197101229566622E-4</v>
          </cell>
          <cell r="E175">
            <v>522480.26155046851</v>
          </cell>
          <cell r="F175">
            <v>407389.84214042005</v>
          </cell>
          <cell r="G175">
            <v>96968</v>
          </cell>
          <cell r="H175">
            <v>-145790.55841954879</v>
          </cell>
          <cell r="I175">
            <v>-6033.0883847343493</v>
          </cell>
          <cell r="J175">
            <v>440900.24506702495</v>
          </cell>
          <cell r="K175">
            <v>0</v>
          </cell>
          <cell r="L175">
            <v>-23165.630808365044</v>
          </cell>
          <cell r="M175">
            <v>4157.2384477093956</v>
          </cell>
          <cell r="N175">
            <v>156.71691596120485</v>
          </cell>
          <cell r="O175">
            <v>-70.724630789767986</v>
          </cell>
          <cell r="P175">
            <v>0</v>
          </cell>
          <cell r="Q175">
            <v>0</v>
          </cell>
          <cell r="R175">
            <v>0</v>
          </cell>
          <cell r="S175">
            <v>1296992.3018781461</v>
          </cell>
          <cell r="T175">
            <v>484837.2</v>
          </cell>
          <cell r="U175">
            <v>2204501.2253351249</v>
          </cell>
          <cell r="V175">
            <v>16628.953790837582</v>
          </cell>
          <cell r="W175">
            <v>0</v>
          </cell>
          <cell r="X175">
            <v>2705967.3791259625</v>
          </cell>
          <cell r="Y175">
            <v>0</v>
          </cell>
          <cell r="Z175">
            <v>0</v>
          </cell>
          <cell r="AA175">
            <v>0</v>
          </cell>
          <cell r="AB175">
            <v>30165.441923671748</v>
          </cell>
          <cell r="AC175">
            <v>30165.441923671748</v>
          </cell>
          <cell r="AD175" t="str">
            <v>N/A</v>
          </cell>
          <cell r="AE175">
            <v>535992</v>
          </cell>
          <cell r="AF175">
            <v>535992</v>
          </cell>
          <cell r="AG175">
            <v>535992</v>
          </cell>
          <cell r="AH175">
            <v>535992</v>
          </cell>
          <cell r="AI175">
            <v>531835</v>
          </cell>
          <cell r="AJ175">
            <v>0</v>
          </cell>
          <cell r="AK175">
            <v>2675803</v>
          </cell>
          <cell r="AL175">
            <v>9466808</v>
          </cell>
          <cell r="AM175">
            <v>1296992.3018781461</v>
          </cell>
          <cell r="AN175">
            <v>-302836.2</v>
          </cell>
          <cell r="AO175">
            <v>2190964.7372022909</v>
          </cell>
          <cell r="AP175">
            <v>0</v>
          </cell>
          <cell r="AQ175">
            <v>484837.2</v>
          </cell>
          <cell r="AR175">
            <v>0</v>
          </cell>
          <cell r="AS175">
            <v>0</v>
          </cell>
          <cell r="AT175">
            <v>13136766.039080437</v>
          </cell>
          <cell r="AU175">
            <v>2.8553619787913319E-4</v>
          </cell>
          <cell r="AV175">
            <v>0</v>
          </cell>
          <cell r="AW175">
            <v>0</v>
          </cell>
          <cell r="AY175">
            <v>0</v>
          </cell>
          <cell r="AZ175">
            <v>0</v>
          </cell>
          <cell r="BA175">
            <v>0</v>
          </cell>
          <cell r="BB175">
            <v>0</v>
          </cell>
          <cell r="BC175">
            <v>0</v>
          </cell>
          <cell r="BD175">
            <v>0</v>
          </cell>
          <cell r="BE175">
            <v>0</v>
          </cell>
          <cell r="BF175">
            <v>0</v>
          </cell>
          <cell r="BG175">
            <v>0</v>
          </cell>
          <cell r="BH175">
            <v>0</v>
          </cell>
          <cell r="BJ175">
            <v>0</v>
          </cell>
          <cell r="BL175">
            <v>0</v>
          </cell>
          <cell r="BM175">
            <v>0</v>
          </cell>
          <cell r="BN175">
            <v>0</v>
          </cell>
          <cell r="BO175">
            <v>0</v>
          </cell>
          <cell r="BQ175">
            <v>0</v>
          </cell>
          <cell r="BR175">
            <v>0</v>
          </cell>
          <cell r="BS175">
            <v>0</v>
          </cell>
          <cell r="BT175">
            <v>0</v>
          </cell>
          <cell r="CB175">
            <v>0</v>
          </cell>
          <cell r="CC175">
            <v>0</v>
          </cell>
          <cell r="CD175">
            <v>0</v>
          </cell>
          <cell r="CE175">
            <v>0</v>
          </cell>
          <cell r="CF175">
            <v>0</v>
          </cell>
          <cell r="CI175">
            <v>0</v>
          </cell>
          <cell r="CJ175">
            <v>0</v>
          </cell>
          <cell r="CK175">
            <v>0</v>
          </cell>
          <cell r="CV175">
            <v>3.0197101229566622E-4</v>
          </cell>
          <cell r="DG175">
            <v>13136765</v>
          </cell>
          <cell r="DR175">
            <v>5121679.4700000016</v>
          </cell>
          <cell r="EC175">
            <v>2.5649330609125363</v>
          </cell>
          <cell r="EN175">
            <v>2.4095909012463064E-2</v>
          </cell>
        </row>
        <row r="176">
          <cell r="B176">
            <v>34900</v>
          </cell>
          <cell r="C176" t="str">
            <v>Iredell County Schools</v>
          </cell>
          <cell r="D176">
            <v>6.4268871434988049E-3</v>
          </cell>
          <cell r="E176">
            <v>11120013.309101295</v>
          </cell>
          <cell r="F176">
            <v>8670529.3959828522</v>
          </cell>
          <cell r="G176">
            <v>-645571</v>
          </cell>
          <cell r="H176">
            <v>-3102878.8439888172</v>
          </cell>
          <cell r="I176">
            <v>-128402.98106984103</v>
          </cell>
          <cell r="J176">
            <v>9383735.5282707773</v>
          </cell>
          <cell r="K176">
            <v>0</v>
          </cell>
          <cell r="L176">
            <v>-493037.04246799269</v>
          </cell>
          <cell r="M176">
            <v>88479.030251692457</v>
          </cell>
          <cell r="N176">
            <v>3335.4258897330096</v>
          </cell>
          <cell r="O176">
            <v>-1505.2412378788551</v>
          </cell>
          <cell r="P176">
            <v>0</v>
          </cell>
          <cell r="Q176">
            <v>0</v>
          </cell>
          <cell r="R176">
            <v>0</v>
          </cell>
          <cell r="S176">
            <v>24894697.58073182</v>
          </cell>
          <cell r="T176">
            <v>0</v>
          </cell>
          <cell r="U176">
            <v>46918677.64135389</v>
          </cell>
          <cell r="V176">
            <v>353916.12100676983</v>
          </cell>
          <cell r="W176">
            <v>0</v>
          </cell>
          <cell r="X176">
            <v>47272593.762360662</v>
          </cell>
          <cell r="Y176">
            <v>3227851.1899999995</v>
          </cell>
          <cell r="Z176">
            <v>0</v>
          </cell>
          <cell r="AA176">
            <v>0</v>
          </cell>
          <cell r="AB176">
            <v>642014.90534920513</v>
          </cell>
          <cell r="AC176">
            <v>3869866.0953492047</v>
          </cell>
          <cell r="AD176" t="str">
            <v>N/A</v>
          </cell>
          <cell r="AE176">
            <v>8698242</v>
          </cell>
          <cell r="AF176">
            <v>8698241</v>
          </cell>
          <cell r="AG176">
            <v>8698241</v>
          </cell>
          <cell r="AH176">
            <v>8698241</v>
          </cell>
          <cell r="AI176">
            <v>8609762</v>
          </cell>
          <cell r="AJ176">
            <v>0</v>
          </cell>
          <cell r="AK176">
            <v>43402727</v>
          </cell>
          <cell r="AL176">
            <v>216810108</v>
          </cell>
          <cell r="AM176">
            <v>24894697.58073182</v>
          </cell>
          <cell r="AN176">
            <v>-5516097.8100000005</v>
          </cell>
          <cell r="AO176">
            <v>46630578.85701146</v>
          </cell>
          <cell r="AP176">
            <v>0</v>
          </cell>
          <cell r="AQ176">
            <v>-3227851.1899999995</v>
          </cell>
          <cell r="AR176">
            <v>0</v>
          </cell>
          <cell r="AS176">
            <v>0</v>
          </cell>
          <cell r="AT176">
            <v>279591435.43774325</v>
          </cell>
          <cell r="AU176">
            <v>6.5393884122890216E-3</v>
          </cell>
          <cell r="AV176">
            <v>0</v>
          </cell>
          <cell r="AW176">
            <v>0</v>
          </cell>
          <cell r="AY176">
            <v>0</v>
          </cell>
          <cell r="AZ176">
            <v>0</v>
          </cell>
          <cell r="BA176">
            <v>0</v>
          </cell>
          <cell r="BB176">
            <v>0</v>
          </cell>
          <cell r="BC176">
            <v>0</v>
          </cell>
          <cell r="BD176">
            <v>0</v>
          </cell>
          <cell r="BE176">
            <v>0</v>
          </cell>
          <cell r="BF176">
            <v>0</v>
          </cell>
          <cell r="BG176">
            <v>0</v>
          </cell>
          <cell r="BH176">
            <v>0</v>
          </cell>
          <cell r="BJ176">
            <v>0</v>
          </cell>
          <cell r="BL176">
            <v>0</v>
          </cell>
          <cell r="BM176">
            <v>0</v>
          </cell>
          <cell r="BN176">
            <v>0</v>
          </cell>
          <cell r="BO176">
            <v>0</v>
          </cell>
          <cell r="BQ176">
            <v>0</v>
          </cell>
          <cell r="BR176">
            <v>0</v>
          </cell>
          <cell r="BS176">
            <v>0</v>
          </cell>
          <cell r="BT176">
            <v>0</v>
          </cell>
          <cell r="CB176">
            <v>0</v>
          </cell>
          <cell r="CC176">
            <v>0</v>
          </cell>
          <cell r="CD176">
            <v>0</v>
          </cell>
          <cell r="CE176">
            <v>0</v>
          </cell>
          <cell r="CF176">
            <v>0</v>
          </cell>
          <cell r="CI176">
            <v>0</v>
          </cell>
          <cell r="CJ176">
            <v>0</v>
          </cell>
          <cell r="CK176">
            <v>0</v>
          </cell>
          <cell r="CV176">
            <v>6.4268871434988049E-3</v>
          </cell>
          <cell r="DG176">
            <v>279591436</v>
          </cell>
          <cell r="DR176">
            <v>96933813.520000041</v>
          </cell>
          <cell r="EC176">
            <v>2.8843540334076798</v>
          </cell>
          <cell r="EN176">
            <v>2.4095909012463064E-2</v>
          </cell>
        </row>
        <row r="177">
          <cell r="B177">
            <v>34901</v>
          </cell>
          <cell r="C177" t="str">
            <v>American Renaissance Middle School</v>
          </cell>
          <cell r="D177">
            <v>1.6389090689676063E-4</v>
          </cell>
          <cell r="E177">
            <v>283569.4832102661</v>
          </cell>
          <cell r="F177">
            <v>221105.62925009546</v>
          </cell>
          <cell r="G177">
            <v>47511</v>
          </cell>
          <cell r="H177">
            <v>-79125.961974688282</v>
          </cell>
          <cell r="I177">
            <v>-3274.3816012190641</v>
          </cell>
          <cell r="J177">
            <v>239292.97208265768</v>
          </cell>
          <cell r="K177">
            <v>0</v>
          </cell>
          <cell r="L177">
            <v>-12572.850000254719</v>
          </cell>
          <cell r="M177">
            <v>2256.2880264615142</v>
          </cell>
          <cell r="N177">
            <v>85.056102861280834</v>
          </cell>
          <cell r="O177">
            <v>-38.384889304290304</v>
          </cell>
          <cell r="P177">
            <v>0</v>
          </cell>
          <cell r="Q177">
            <v>0</v>
          </cell>
          <cell r="R177">
            <v>0</v>
          </cell>
          <cell r="S177">
            <v>698808.85020687571</v>
          </cell>
          <cell r="T177">
            <v>255662</v>
          </cell>
          <cell r="U177">
            <v>1196464.8604132885</v>
          </cell>
          <cell r="V177">
            <v>9025.1521058460567</v>
          </cell>
          <cell r="W177">
            <v>0</v>
          </cell>
          <cell r="X177">
            <v>1461152.0125191344</v>
          </cell>
          <cell r="Y177">
            <v>18112.839999999982</v>
          </cell>
          <cell r="Z177">
            <v>0</v>
          </cell>
          <cell r="AA177">
            <v>0</v>
          </cell>
          <cell r="AB177">
            <v>16371.90800609532</v>
          </cell>
          <cell r="AC177">
            <v>34484.748006095302</v>
          </cell>
          <cell r="AD177" t="str">
            <v>N/A</v>
          </cell>
          <cell r="AE177">
            <v>285784</v>
          </cell>
          <cell r="AF177">
            <v>285786</v>
          </cell>
          <cell r="AG177">
            <v>285786</v>
          </cell>
          <cell r="AH177">
            <v>285786</v>
          </cell>
          <cell r="AI177">
            <v>283530</v>
          </cell>
          <cell r="AJ177">
            <v>0</v>
          </cell>
          <cell r="AK177">
            <v>1426672</v>
          </cell>
          <cell r="AL177">
            <v>5126925</v>
          </cell>
          <cell r="AM177">
            <v>698808.85020687571</v>
          </cell>
          <cell r="AN177">
            <v>-122589.16000000002</v>
          </cell>
          <cell r="AO177">
            <v>1189118.1045130391</v>
          </cell>
          <cell r="AP177">
            <v>0</v>
          </cell>
          <cell r="AQ177">
            <v>237549.16000000003</v>
          </cell>
          <cell r="AR177">
            <v>0</v>
          </cell>
          <cell r="AS177">
            <v>0</v>
          </cell>
          <cell r="AT177">
            <v>7129811.9547199151</v>
          </cell>
          <cell r="AU177">
            <v>1.5463741092972694E-4</v>
          </cell>
          <cell r="AV177">
            <v>0</v>
          </cell>
          <cell r="AW177">
            <v>0</v>
          </cell>
          <cell r="AY177">
            <v>0</v>
          </cell>
          <cell r="AZ177">
            <v>0</v>
          </cell>
          <cell r="BA177">
            <v>0</v>
          </cell>
          <cell r="BB177">
            <v>0</v>
          </cell>
          <cell r="BC177">
            <v>0</v>
          </cell>
          <cell r="BD177">
            <v>0</v>
          </cell>
          <cell r="BE177">
            <v>0</v>
          </cell>
          <cell r="BF177">
            <v>0</v>
          </cell>
          <cell r="BG177">
            <v>0</v>
          </cell>
          <cell r="BH177">
            <v>0</v>
          </cell>
          <cell r="BJ177">
            <v>0</v>
          </cell>
          <cell r="BL177">
            <v>0</v>
          </cell>
          <cell r="BM177">
            <v>0</v>
          </cell>
          <cell r="BN177">
            <v>0</v>
          </cell>
          <cell r="BO177">
            <v>0</v>
          </cell>
          <cell r="BQ177">
            <v>0</v>
          </cell>
          <cell r="BR177">
            <v>0</v>
          </cell>
          <cell r="BS177">
            <v>0</v>
          </cell>
          <cell r="BT177">
            <v>0</v>
          </cell>
          <cell r="CB177">
            <v>0</v>
          </cell>
          <cell r="CC177">
            <v>0</v>
          </cell>
          <cell r="CD177">
            <v>0</v>
          </cell>
          <cell r="CE177">
            <v>0</v>
          </cell>
          <cell r="CF177">
            <v>0</v>
          </cell>
          <cell r="CI177">
            <v>0</v>
          </cell>
          <cell r="CJ177">
            <v>0</v>
          </cell>
          <cell r="CK177">
            <v>0</v>
          </cell>
          <cell r="CV177">
            <v>1.6389090689676063E-4</v>
          </cell>
          <cell r="DG177">
            <v>7129812</v>
          </cell>
          <cell r="DR177">
            <v>2162233.81</v>
          </cell>
          <cell r="EC177">
            <v>3.2974287826902495</v>
          </cell>
          <cell r="EN177">
            <v>2.4095909012463064E-2</v>
          </cell>
        </row>
        <row r="178">
          <cell r="B178">
            <v>34903</v>
          </cell>
          <cell r="C178" t="str">
            <v>Success Institute</v>
          </cell>
          <cell r="D178">
            <v>1.0277800466765437E-5</v>
          </cell>
          <cell r="E178">
            <v>17782.99127196124</v>
          </cell>
          <cell r="F178">
            <v>13865.806117862256</v>
          </cell>
          <cell r="G178">
            <v>-27445</v>
          </cell>
          <cell r="H178">
            <v>-4962.0864532099895</v>
          </cell>
          <cell r="I178">
            <v>-205.34049988860383</v>
          </cell>
          <cell r="J178">
            <v>15006.356769470283</v>
          </cell>
          <cell r="K178">
            <v>0</v>
          </cell>
          <cell r="L178">
            <v>-788.45889651821733</v>
          </cell>
          <cell r="M178">
            <v>141.49459888052991</v>
          </cell>
          <cell r="N178">
            <v>5.3339728862419262</v>
          </cell>
          <cell r="O178">
            <v>-2.4071636473211329</v>
          </cell>
          <cell r="P178">
            <v>0</v>
          </cell>
          <cell r="Q178">
            <v>0</v>
          </cell>
          <cell r="R178">
            <v>0</v>
          </cell>
          <cell r="S178">
            <v>13398.689717796418</v>
          </cell>
          <cell r="T178">
            <v>5130.6699999999983</v>
          </cell>
          <cell r="U178">
            <v>75031.783847351413</v>
          </cell>
          <cell r="V178">
            <v>565.97839552211963</v>
          </cell>
          <cell r="W178">
            <v>0</v>
          </cell>
          <cell r="X178">
            <v>80728.432242873532</v>
          </cell>
          <cell r="Y178">
            <v>142353</v>
          </cell>
          <cell r="Z178">
            <v>0</v>
          </cell>
          <cell r="AA178">
            <v>0</v>
          </cell>
          <cell r="AB178">
            <v>1026.7024994430192</v>
          </cell>
          <cell r="AC178">
            <v>143379.70249944302</v>
          </cell>
          <cell r="AD178" t="str">
            <v>N/A</v>
          </cell>
          <cell r="AE178">
            <v>-12502</v>
          </cell>
          <cell r="AF178">
            <v>-12502</v>
          </cell>
          <cell r="AG178">
            <v>-12502</v>
          </cell>
          <cell r="AH178">
            <v>-12502</v>
          </cell>
          <cell r="AI178">
            <v>-12644</v>
          </cell>
          <cell r="AJ178">
            <v>0</v>
          </cell>
          <cell r="AK178">
            <v>-62652</v>
          </cell>
          <cell r="AL178">
            <v>511579</v>
          </cell>
          <cell r="AM178">
            <v>13398.689717796418</v>
          </cell>
          <cell r="AN178">
            <v>-15207.669999999998</v>
          </cell>
          <cell r="AO178">
            <v>74571.059743430524</v>
          </cell>
          <cell r="AP178">
            <v>0</v>
          </cell>
          <cell r="AQ178">
            <v>-137222.33000000002</v>
          </cell>
          <cell r="AR178">
            <v>0</v>
          </cell>
          <cell r="AS178">
            <v>0</v>
          </cell>
          <cell r="AT178">
            <v>447118.74946122692</v>
          </cell>
          <cell r="AU178">
            <v>1.5430163940450943E-5</v>
          </cell>
          <cell r="AV178">
            <v>0</v>
          </cell>
          <cell r="AW178">
            <v>0</v>
          </cell>
          <cell r="AY178">
            <v>0</v>
          </cell>
          <cell r="AZ178">
            <v>0</v>
          </cell>
          <cell r="BA178">
            <v>0</v>
          </cell>
          <cell r="BB178">
            <v>0</v>
          </cell>
          <cell r="BC178">
            <v>0</v>
          </cell>
          <cell r="BD178">
            <v>0</v>
          </cell>
          <cell r="BE178">
            <v>0</v>
          </cell>
          <cell r="BF178">
            <v>0</v>
          </cell>
          <cell r="BG178">
            <v>0</v>
          </cell>
          <cell r="BH178">
            <v>0</v>
          </cell>
          <cell r="BJ178">
            <v>0</v>
          </cell>
          <cell r="BL178">
            <v>0</v>
          </cell>
          <cell r="BM178">
            <v>0</v>
          </cell>
          <cell r="BN178">
            <v>0</v>
          </cell>
          <cell r="BO178">
            <v>0</v>
          </cell>
          <cell r="BQ178">
            <v>0</v>
          </cell>
          <cell r="BR178">
            <v>0</v>
          </cell>
          <cell r="BS178">
            <v>0</v>
          </cell>
          <cell r="BT178">
            <v>0</v>
          </cell>
          <cell r="CB178">
            <v>0</v>
          </cell>
          <cell r="CC178">
            <v>0</v>
          </cell>
          <cell r="CD178">
            <v>0</v>
          </cell>
          <cell r="CE178">
            <v>0</v>
          </cell>
          <cell r="CF178">
            <v>0</v>
          </cell>
          <cell r="CI178">
            <v>0</v>
          </cell>
          <cell r="CJ178">
            <v>0</v>
          </cell>
          <cell r="CK178">
            <v>0</v>
          </cell>
          <cell r="CV178">
            <v>1.0277800466765437E-5</v>
          </cell>
          <cell r="DG178">
            <v>447119</v>
          </cell>
          <cell r="DR178">
            <v>241292.06</v>
          </cell>
          <cell r="EC178">
            <v>1.8530199460355223</v>
          </cell>
          <cell r="EN178">
            <v>2.4095909012463064E-2</v>
          </cell>
        </row>
        <row r="179">
          <cell r="B179">
            <v>34905</v>
          </cell>
          <cell r="C179" t="str">
            <v>Mitchell Community College</v>
          </cell>
          <cell r="D179">
            <v>6.4680458820755033E-4</v>
          </cell>
          <cell r="E179">
            <v>1119122.7523780898</v>
          </cell>
          <cell r="F179">
            <v>872605.67523472523</v>
          </cell>
          <cell r="G179">
            <v>-278301</v>
          </cell>
          <cell r="H179">
            <v>-312275.01403603569</v>
          </cell>
          <cell r="I179">
            <v>-12922.529280681752</v>
          </cell>
          <cell r="J179">
            <v>944383.03624972759</v>
          </cell>
          <cell r="K179">
            <v>0</v>
          </cell>
          <cell r="L179">
            <v>-49619.452482087574</v>
          </cell>
          <cell r="M179">
            <v>8904.5663085650485</v>
          </cell>
          <cell r="N179">
            <v>335.67864518795449</v>
          </cell>
          <cell r="O179">
            <v>-151.48810260409036</v>
          </cell>
          <cell r="P179">
            <v>0</v>
          </cell>
          <cell r="Q179">
            <v>0</v>
          </cell>
          <cell r="R179">
            <v>0</v>
          </cell>
          <cell r="S179">
            <v>2292082.2249148865</v>
          </cell>
          <cell r="T179">
            <v>4387.6899999999441</v>
          </cell>
          <cell r="U179">
            <v>4721915.1812486378</v>
          </cell>
          <cell r="V179">
            <v>35618.265234260194</v>
          </cell>
          <cell r="W179">
            <v>0</v>
          </cell>
          <cell r="X179">
            <v>4761921.1364828981</v>
          </cell>
          <cell r="Y179">
            <v>1395896</v>
          </cell>
          <cell r="Z179">
            <v>0</v>
          </cell>
          <cell r="AA179">
            <v>0</v>
          </cell>
          <cell r="AB179">
            <v>64612.646403408755</v>
          </cell>
          <cell r="AC179">
            <v>1460508.6464034088</v>
          </cell>
          <cell r="AD179" t="str">
            <v>N/A</v>
          </cell>
          <cell r="AE179">
            <v>662064</v>
          </cell>
          <cell r="AF179">
            <v>662063</v>
          </cell>
          <cell r="AG179">
            <v>662063</v>
          </cell>
          <cell r="AH179">
            <v>662063</v>
          </cell>
          <cell r="AI179">
            <v>653159</v>
          </cell>
          <cell r="AJ179">
            <v>0</v>
          </cell>
          <cell r="AK179">
            <v>3301412</v>
          </cell>
          <cell r="AL179">
            <v>23119553</v>
          </cell>
          <cell r="AM179">
            <v>2292082.2249148865</v>
          </cell>
          <cell r="AN179">
            <v>-574849.68999999994</v>
          </cell>
          <cell r="AO179">
            <v>4692920.8000794901</v>
          </cell>
          <cell r="AP179">
            <v>0</v>
          </cell>
          <cell r="AQ179">
            <v>-1391508.31</v>
          </cell>
          <cell r="AR179">
            <v>0</v>
          </cell>
          <cell r="AS179">
            <v>0</v>
          </cell>
          <cell r="AT179">
            <v>28138198.024994377</v>
          </cell>
          <cell r="AU179">
            <v>6.9732791259809873E-4</v>
          </cell>
          <cell r="AV179">
            <v>0</v>
          </cell>
          <cell r="AW179">
            <v>0</v>
          </cell>
          <cell r="AY179">
            <v>0</v>
          </cell>
          <cell r="AZ179">
            <v>0</v>
          </cell>
          <cell r="BA179">
            <v>0</v>
          </cell>
          <cell r="BB179">
            <v>0</v>
          </cell>
          <cell r="BC179">
            <v>0</v>
          </cell>
          <cell r="BD179">
            <v>0</v>
          </cell>
          <cell r="BE179">
            <v>0</v>
          </cell>
          <cell r="BF179">
            <v>0</v>
          </cell>
          <cell r="BG179">
            <v>0</v>
          </cell>
          <cell r="BH179">
            <v>0</v>
          </cell>
          <cell r="BJ179">
            <v>0</v>
          </cell>
          <cell r="BL179">
            <v>0</v>
          </cell>
          <cell r="BM179">
            <v>0</v>
          </cell>
          <cell r="BN179">
            <v>0</v>
          </cell>
          <cell r="BO179">
            <v>0</v>
          </cell>
          <cell r="BQ179">
            <v>0</v>
          </cell>
          <cell r="BR179">
            <v>0</v>
          </cell>
          <cell r="BS179">
            <v>0</v>
          </cell>
          <cell r="BT179">
            <v>0</v>
          </cell>
          <cell r="CB179">
            <v>0</v>
          </cell>
          <cell r="CC179">
            <v>0</v>
          </cell>
          <cell r="CD179">
            <v>0</v>
          </cell>
          <cell r="CE179">
            <v>0</v>
          </cell>
          <cell r="CF179">
            <v>0</v>
          </cell>
          <cell r="CI179">
            <v>0</v>
          </cell>
          <cell r="CJ179">
            <v>0</v>
          </cell>
          <cell r="CK179">
            <v>0</v>
          </cell>
          <cell r="CV179">
            <v>6.4680458820755033E-4</v>
          </cell>
          <cell r="DG179">
            <v>28138198</v>
          </cell>
          <cell r="DR179">
            <v>10185169.599999998</v>
          </cell>
          <cell r="EC179">
            <v>2.7626636673777143</v>
          </cell>
          <cell r="EN179">
            <v>2.4095909012463064E-2</v>
          </cell>
        </row>
        <row r="180">
          <cell r="B180">
            <v>34910</v>
          </cell>
          <cell r="C180" t="str">
            <v>Mooresville City Schools</v>
          </cell>
          <cell r="D180">
            <v>2.0249211906262152E-3</v>
          </cell>
          <cell r="E180">
            <v>3503585.8086324492</v>
          </cell>
          <cell r="F180">
            <v>2731826.2038619011</v>
          </cell>
          <cell r="G180">
            <v>292746</v>
          </cell>
          <cell r="H180">
            <v>-977624.93456796731</v>
          </cell>
          <cell r="I180">
            <v>-40455.964373189592</v>
          </cell>
          <cell r="J180">
            <v>2956536.2661842597</v>
          </cell>
          <cell r="K180">
            <v>0</v>
          </cell>
          <cell r="L180">
            <v>-155341.32353125568</v>
          </cell>
          <cell r="M180">
            <v>27877.113644969562</v>
          </cell>
          <cell r="N180">
            <v>1050.8935995111931</v>
          </cell>
          <cell r="O180">
            <v>-474.25679205656587</v>
          </cell>
          <cell r="P180">
            <v>0</v>
          </cell>
          <cell r="Q180">
            <v>0</v>
          </cell>
          <cell r="R180">
            <v>0</v>
          </cell>
          <cell r="S180">
            <v>8339725.80665862</v>
          </cell>
          <cell r="T180">
            <v>1563174</v>
          </cell>
          <cell r="U180">
            <v>14782681.3309213</v>
          </cell>
          <cell r="V180">
            <v>111508.45457987825</v>
          </cell>
          <cell r="W180">
            <v>0</v>
          </cell>
          <cell r="X180">
            <v>16457363.785501178</v>
          </cell>
          <cell r="Y180">
            <v>99443.689999999944</v>
          </cell>
          <cell r="Z180">
            <v>0</v>
          </cell>
          <cell r="AA180">
            <v>0</v>
          </cell>
          <cell r="AB180">
            <v>202279.82186594795</v>
          </cell>
          <cell r="AC180">
            <v>301723.51186594786</v>
          </cell>
          <cell r="AD180" t="str">
            <v>N/A</v>
          </cell>
          <cell r="AE180">
            <v>3236703</v>
          </cell>
          <cell r="AF180">
            <v>3236703</v>
          </cell>
          <cell r="AG180">
            <v>3236703</v>
          </cell>
          <cell r="AH180">
            <v>3236703</v>
          </cell>
          <cell r="AI180">
            <v>3208826</v>
          </cell>
          <cell r="AJ180">
            <v>0</v>
          </cell>
          <cell r="AK180">
            <v>16155638</v>
          </cell>
          <cell r="AL180">
            <v>65259427</v>
          </cell>
          <cell r="AM180">
            <v>8339725.80665862</v>
          </cell>
          <cell r="AN180">
            <v>-1663838.31</v>
          </cell>
          <cell r="AO180">
            <v>14691909.96363523</v>
          </cell>
          <cell r="AP180">
            <v>0</v>
          </cell>
          <cell r="AQ180">
            <v>1463730.31</v>
          </cell>
          <cell r="AR180">
            <v>0</v>
          </cell>
          <cell r="AS180">
            <v>0</v>
          </cell>
          <cell r="AT180">
            <v>88090954.770293862</v>
          </cell>
          <cell r="AU180">
            <v>1.9683433939587879E-3</v>
          </cell>
          <cell r="AV180">
            <v>0</v>
          </cell>
          <cell r="AW180">
            <v>0</v>
          </cell>
          <cell r="AY180">
            <v>0</v>
          </cell>
          <cell r="AZ180">
            <v>0</v>
          </cell>
          <cell r="BA180">
            <v>0</v>
          </cell>
          <cell r="BB180">
            <v>0</v>
          </cell>
          <cell r="BC180">
            <v>0</v>
          </cell>
          <cell r="BD180">
            <v>0</v>
          </cell>
          <cell r="BE180">
            <v>0</v>
          </cell>
          <cell r="BF180">
            <v>0</v>
          </cell>
          <cell r="BG180">
            <v>0</v>
          </cell>
          <cell r="BH180">
            <v>0</v>
          </cell>
          <cell r="BJ180">
            <v>0</v>
          </cell>
          <cell r="BL180">
            <v>0</v>
          </cell>
          <cell r="BM180">
            <v>0</v>
          </cell>
          <cell r="BN180">
            <v>0</v>
          </cell>
          <cell r="BO180">
            <v>0</v>
          </cell>
          <cell r="BQ180">
            <v>0</v>
          </cell>
          <cell r="BR180">
            <v>0</v>
          </cell>
          <cell r="BS180">
            <v>0</v>
          </cell>
          <cell r="BT180">
            <v>0</v>
          </cell>
          <cell r="CB180">
            <v>0</v>
          </cell>
          <cell r="CC180">
            <v>0</v>
          </cell>
          <cell r="CD180">
            <v>0</v>
          </cell>
          <cell r="CE180">
            <v>0</v>
          </cell>
          <cell r="CF180">
            <v>0</v>
          </cell>
          <cell r="CI180">
            <v>0</v>
          </cell>
          <cell r="CJ180">
            <v>0</v>
          </cell>
          <cell r="CK180">
            <v>0</v>
          </cell>
          <cell r="CV180">
            <v>2.0249211906262152E-3</v>
          </cell>
          <cell r="DG180">
            <v>88090955</v>
          </cell>
          <cell r="DR180">
            <v>28760253.99000001</v>
          </cell>
          <cell r="EC180">
            <v>3.0629407873320376</v>
          </cell>
          <cell r="EN180">
            <v>2.4095909012463064E-2</v>
          </cell>
        </row>
        <row r="181">
          <cell r="B181">
            <v>35000</v>
          </cell>
          <cell r="C181" t="str">
            <v>Jackson County Schools</v>
          </cell>
          <cell r="D181">
            <v>1.3013259753777465E-3</v>
          </cell>
          <cell r="E181">
            <v>2251597.3662798544</v>
          </cell>
          <cell r="F181">
            <v>1755622.1031020361</v>
          </cell>
          <cell r="G181">
            <v>-42224</v>
          </cell>
          <cell r="H181">
            <v>-628275.67187285447</v>
          </cell>
          <cell r="I181">
            <v>-25999.232731377164</v>
          </cell>
          <cell r="J181">
            <v>1900033.1756823007</v>
          </cell>
          <cell r="K181">
            <v>0</v>
          </cell>
          <cell r="L181">
            <v>-99830.897269767709</v>
          </cell>
          <cell r="M181">
            <v>17915.369878438294</v>
          </cell>
          <cell r="N181">
            <v>675.36215470154286</v>
          </cell>
          <cell r="O181">
            <v>-304.78355669322201</v>
          </cell>
          <cell r="P181">
            <v>0</v>
          </cell>
          <cell r="Q181">
            <v>0</v>
          </cell>
          <cell r="R181">
            <v>0</v>
          </cell>
          <cell r="S181">
            <v>5129208.791666639</v>
          </cell>
          <cell r="T181">
            <v>0</v>
          </cell>
          <cell r="U181">
            <v>9500165.8784115035</v>
          </cell>
          <cell r="V181">
            <v>71661.479513753176</v>
          </cell>
          <cell r="W181">
            <v>0</v>
          </cell>
          <cell r="X181">
            <v>9571827.3579252567</v>
          </cell>
          <cell r="Y181">
            <v>211122.25</v>
          </cell>
          <cell r="Z181">
            <v>0</v>
          </cell>
          <cell r="AA181">
            <v>0</v>
          </cell>
          <cell r="AB181">
            <v>129996.16365688581</v>
          </cell>
          <cell r="AC181">
            <v>341118.41365688579</v>
          </cell>
          <cell r="AD181" t="str">
            <v>N/A</v>
          </cell>
          <cell r="AE181">
            <v>1849725</v>
          </cell>
          <cell r="AF181">
            <v>1849724</v>
          </cell>
          <cell r="AG181">
            <v>1849724</v>
          </cell>
          <cell r="AH181">
            <v>1849724</v>
          </cell>
          <cell r="AI181">
            <v>1831809</v>
          </cell>
          <cell r="AJ181">
            <v>0</v>
          </cell>
          <cell r="AK181">
            <v>9230706</v>
          </cell>
          <cell r="AL181">
            <v>43375569</v>
          </cell>
          <cell r="AM181">
            <v>5129208.791666639</v>
          </cell>
          <cell r="AN181">
            <v>-1123383.75</v>
          </cell>
          <cell r="AO181">
            <v>9441831.1942683719</v>
          </cell>
          <cell r="AP181">
            <v>0</v>
          </cell>
          <cell r="AQ181">
            <v>-211122.25</v>
          </cell>
          <cell r="AR181">
            <v>0</v>
          </cell>
          <cell r="AS181">
            <v>0</v>
          </cell>
          <cell r="AT181">
            <v>56612102.985935017</v>
          </cell>
          <cell r="AU181">
            <v>1.3082863040847189E-3</v>
          </cell>
          <cell r="AV181">
            <v>0</v>
          </cell>
          <cell r="AW181">
            <v>0</v>
          </cell>
          <cell r="AY181">
            <v>0</v>
          </cell>
          <cell r="AZ181">
            <v>0</v>
          </cell>
          <cell r="BA181">
            <v>0</v>
          </cell>
          <cell r="BB181">
            <v>0</v>
          </cell>
          <cell r="BC181">
            <v>0</v>
          </cell>
          <cell r="BD181">
            <v>0</v>
          </cell>
          <cell r="BE181">
            <v>0</v>
          </cell>
          <cell r="BF181">
            <v>0</v>
          </cell>
          <cell r="BG181">
            <v>0</v>
          </cell>
          <cell r="BH181">
            <v>0</v>
          </cell>
          <cell r="BJ181">
            <v>0</v>
          </cell>
          <cell r="BL181">
            <v>0</v>
          </cell>
          <cell r="BM181">
            <v>0</v>
          </cell>
          <cell r="BN181">
            <v>0</v>
          </cell>
          <cell r="BO181">
            <v>0</v>
          </cell>
          <cell r="BQ181">
            <v>0</v>
          </cell>
          <cell r="BR181">
            <v>0</v>
          </cell>
          <cell r="BS181">
            <v>0</v>
          </cell>
          <cell r="BT181">
            <v>0</v>
          </cell>
          <cell r="CB181">
            <v>0</v>
          </cell>
          <cell r="CC181">
            <v>0</v>
          </cell>
          <cell r="CD181">
            <v>0</v>
          </cell>
          <cell r="CE181">
            <v>0</v>
          </cell>
          <cell r="CF181">
            <v>0</v>
          </cell>
          <cell r="CI181">
            <v>0</v>
          </cell>
          <cell r="CJ181">
            <v>0</v>
          </cell>
          <cell r="CK181">
            <v>0</v>
          </cell>
          <cell r="CV181">
            <v>1.3013259753777465E-3</v>
          </cell>
          <cell r="DG181">
            <v>56612103</v>
          </cell>
          <cell r="DR181">
            <v>18923949.79000001</v>
          </cell>
          <cell r="EC181">
            <v>2.9915585080401956</v>
          </cell>
          <cell r="EN181">
            <v>2.4095909012463064E-2</v>
          </cell>
        </row>
        <row r="182">
          <cell r="B182">
            <v>35005</v>
          </cell>
          <cell r="C182" t="str">
            <v>Southwestern Community College</v>
          </cell>
          <cell r="D182">
            <v>6.1334207961408302E-4</v>
          </cell>
          <cell r="E182">
            <v>1061224.8100917251</v>
          </cell>
          <cell r="F182">
            <v>827461.32184173318</v>
          </cell>
          <cell r="G182">
            <v>48096</v>
          </cell>
          <cell r="H182">
            <v>-296119.43083328812</v>
          </cell>
          <cell r="I182">
            <v>-12253.980765430049</v>
          </cell>
          <cell r="J182">
            <v>895525.27295895328</v>
          </cell>
          <cell r="K182">
            <v>0</v>
          </cell>
          <cell r="L182">
            <v>-47052.384490677156</v>
          </cell>
          <cell r="M182">
            <v>8443.8875625357414</v>
          </cell>
          <cell r="N182">
            <v>318.31227247811682</v>
          </cell>
          <cell r="O182">
            <v>-143.65084846641437</v>
          </cell>
          <cell r="P182">
            <v>0</v>
          </cell>
          <cell r="Q182">
            <v>0</v>
          </cell>
          <cell r="R182">
            <v>0</v>
          </cell>
          <cell r="S182">
            <v>2485500.1577895633</v>
          </cell>
          <cell r="T182">
            <v>240482.01</v>
          </cell>
          <cell r="U182">
            <v>4477626.3647947665</v>
          </cell>
          <cell r="V182">
            <v>33775.550250142966</v>
          </cell>
          <cell r="W182">
            <v>0</v>
          </cell>
          <cell r="X182">
            <v>4751883.9250449091</v>
          </cell>
          <cell r="Y182">
            <v>0</v>
          </cell>
          <cell r="Z182">
            <v>0</v>
          </cell>
          <cell r="AA182">
            <v>0</v>
          </cell>
          <cell r="AB182">
            <v>61269.90382715025</v>
          </cell>
          <cell r="AC182">
            <v>61269.90382715025</v>
          </cell>
          <cell r="AD182" t="str">
            <v>N/A</v>
          </cell>
          <cell r="AE182">
            <v>939811</v>
          </cell>
          <cell r="AF182">
            <v>939811</v>
          </cell>
          <cell r="AG182">
            <v>939811</v>
          </cell>
          <cell r="AH182">
            <v>939811</v>
          </cell>
          <cell r="AI182">
            <v>931367</v>
          </cell>
          <cell r="AJ182">
            <v>0</v>
          </cell>
          <cell r="AK182">
            <v>4690611</v>
          </cell>
          <cell r="AL182">
            <v>20053303</v>
          </cell>
          <cell r="AM182">
            <v>2485500.1577895633</v>
          </cell>
          <cell r="AN182">
            <v>-546952.01</v>
          </cell>
          <cell r="AO182">
            <v>4450132.0112177599</v>
          </cell>
          <cell r="AP182">
            <v>0</v>
          </cell>
          <cell r="AQ182">
            <v>240482.01</v>
          </cell>
          <cell r="AR182">
            <v>0</v>
          </cell>
          <cell r="AS182">
            <v>0</v>
          </cell>
          <cell r="AT182">
            <v>26682465.16900732</v>
          </cell>
          <cell r="AU182">
            <v>6.0484421486170265E-4</v>
          </cell>
          <cell r="AV182">
            <v>0</v>
          </cell>
          <cell r="AW182">
            <v>0</v>
          </cell>
          <cell r="AY182">
            <v>0</v>
          </cell>
          <cell r="AZ182">
            <v>0</v>
          </cell>
          <cell r="BA182">
            <v>0</v>
          </cell>
          <cell r="BB182">
            <v>0</v>
          </cell>
          <cell r="BC182">
            <v>0</v>
          </cell>
          <cell r="BD182">
            <v>0</v>
          </cell>
          <cell r="BE182">
            <v>0</v>
          </cell>
          <cell r="BF182">
            <v>0</v>
          </cell>
          <cell r="BG182">
            <v>0</v>
          </cell>
          <cell r="BH182">
            <v>0</v>
          </cell>
          <cell r="BJ182">
            <v>0</v>
          </cell>
          <cell r="BL182">
            <v>0</v>
          </cell>
          <cell r="BM182">
            <v>0</v>
          </cell>
          <cell r="BN182">
            <v>0</v>
          </cell>
          <cell r="BO182">
            <v>0</v>
          </cell>
          <cell r="BQ182">
            <v>0</v>
          </cell>
          <cell r="BR182">
            <v>0</v>
          </cell>
          <cell r="BS182">
            <v>0</v>
          </cell>
          <cell r="BT182">
            <v>0</v>
          </cell>
          <cell r="CB182">
            <v>0</v>
          </cell>
          <cell r="CC182">
            <v>0</v>
          </cell>
          <cell r="CD182">
            <v>0</v>
          </cell>
          <cell r="CE182">
            <v>0</v>
          </cell>
          <cell r="CF182">
            <v>0</v>
          </cell>
          <cell r="CI182">
            <v>0</v>
          </cell>
          <cell r="CJ182">
            <v>0</v>
          </cell>
          <cell r="CK182">
            <v>0</v>
          </cell>
          <cell r="CV182">
            <v>6.1334207961408302E-4</v>
          </cell>
          <cell r="DG182">
            <v>26682465</v>
          </cell>
          <cell r="DR182">
            <v>9473854.3199999947</v>
          </cell>
          <cell r="EC182">
            <v>2.8164318448164627</v>
          </cell>
          <cell r="EN182">
            <v>2.4095909012463064E-2</v>
          </cell>
        </row>
        <row r="183">
          <cell r="B183">
            <v>35100</v>
          </cell>
          <cell r="C183" t="str">
            <v>Johnston County Schools</v>
          </cell>
          <cell r="D183">
            <v>1.1413440915809547E-2</v>
          </cell>
          <cell r="E183">
            <v>19747914.044955414</v>
          </cell>
          <cell r="F183">
            <v>15397901.466177898</v>
          </cell>
          <cell r="G183">
            <v>950099</v>
          </cell>
          <cell r="H183">
            <v>-5510369.727062312</v>
          </cell>
          <cell r="I183">
            <v>-228029.49626039513</v>
          </cell>
          <cell r="J183">
            <v>16664476.694575293</v>
          </cell>
          <cell r="K183">
            <v>0</v>
          </cell>
          <cell r="L183">
            <v>-875579.27000573336</v>
          </cell>
          <cell r="M183">
            <v>157128.97418579124</v>
          </cell>
          <cell r="N183">
            <v>5923.3475664868383</v>
          </cell>
          <cell r="O183">
            <v>-2673.1419968917539</v>
          </cell>
          <cell r="P183">
            <v>0</v>
          </cell>
          <cell r="Q183">
            <v>0</v>
          </cell>
          <cell r="R183">
            <v>0</v>
          </cell>
          <cell r="S183">
            <v>46306791.892135561</v>
          </cell>
          <cell r="T183">
            <v>5393316</v>
          </cell>
          <cell r="U183">
            <v>83322383.472876459</v>
          </cell>
          <cell r="V183">
            <v>628515.89674316498</v>
          </cell>
          <cell r="W183">
            <v>0</v>
          </cell>
          <cell r="X183">
            <v>89344215.369619623</v>
          </cell>
          <cell r="Y183">
            <v>642818.80000000075</v>
          </cell>
          <cell r="Z183">
            <v>0</v>
          </cell>
          <cell r="AA183">
            <v>0</v>
          </cell>
          <cell r="AB183">
            <v>1140147.4813019757</v>
          </cell>
          <cell r="AC183">
            <v>1782966.2813019764</v>
          </cell>
          <cell r="AD183" t="str">
            <v>N/A</v>
          </cell>
          <cell r="AE183">
            <v>17543675</v>
          </cell>
          <cell r="AF183">
            <v>17543675</v>
          </cell>
          <cell r="AG183">
            <v>17543675</v>
          </cell>
          <cell r="AH183">
            <v>17543675</v>
          </cell>
          <cell r="AI183">
            <v>17386546</v>
          </cell>
          <cell r="AJ183">
            <v>0</v>
          </cell>
          <cell r="AK183">
            <v>87561246</v>
          </cell>
          <cell r="AL183">
            <v>371934869</v>
          </cell>
          <cell r="AM183">
            <v>46306791.892135561</v>
          </cell>
          <cell r="AN183">
            <v>-9279436.1999999993</v>
          </cell>
          <cell r="AO183">
            <v>82810751.888317659</v>
          </cell>
          <cell r="AP183">
            <v>0</v>
          </cell>
          <cell r="AQ183">
            <v>4750497.1999999993</v>
          </cell>
          <cell r="AR183">
            <v>0</v>
          </cell>
          <cell r="AS183">
            <v>0</v>
          </cell>
          <cell r="AT183">
            <v>496523473.78045321</v>
          </cell>
          <cell r="AU183">
            <v>1.1218234207632584E-2</v>
          </cell>
          <cell r="AV183">
            <v>0</v>
          </cell>
          <cell r="AW183">
            <v>0</v>
          </cell>
          <cell r="AY183">
            <v>0</v>
          </cell>
          <cell r="AZ183">
            <v>0</v>
          </cell>
          <cell r="BA183">
            <v>0</v>
          </cell>
          <cell r="BB183">
            <v>0</v>
          </cell>
          <cell r="BC183">
            <v>0</v>
          </cell>
          <cell r="BD183">
            <v>0</v>
          </cell>
          <cell r="BE183">
            <v>0</v>
          </cell>
          <cell r="BF183">
            <v>0</v>
          </cell>
          <cell r="BG183">
            <v>0</v>
          </cell>
          <cell r="BH183">
            <v>0</v>
          </cell>
          <cell r="BJ183">
            <v>0</v>
          </cell>
          <cell r="BL183">
            <v>0</v>
          </cell>
          <cell r="BM183">
            <v>0</v>
          </cell>
          <cell r="BN183">
            <v>0</v>
          </cell>
          <cell r="BO183">
            <v>0</v>
          </cell>
          <cell r="BQ183">
            <v>0</v>
          </cell>
          <cell r="BR183">
            <v>0</v>
          </cell>
          <cell r="BS183">
            <v>0</v>
          </cell>
          <cell r="BT183">
            <v>0</v>
          </cell>
          <cell r="CB183">
            <v>0</v>
          </cell>
          <cell r="CC183">
            <v>0</v>
          </cell>
          <cell r="CD183">
            <v>0</v>
          </cell>
          <cell r="CE183">
            <v>0</v>
          </cell>
          <cell r="CF183">
            <v>0</v>
          </cell>
          <cell r="CI183">
            <v>0</v>
          </cell>
          <cell r="CJ183">
            <v>0</v>
          </cell>
          <cell r="CK183">
            <v>0</v>
          </cell>
          <cell r="CV183">
            <v>1.1413440915809547E-2</v>
          </cell>
          <cell r="DG183">
            <v>496523474</v>
          </cell>
          <cell r="DR183">
            <v>160761230.99999928</v>
          </cell>
          <cell r="EC183">
            <v>3.0885772080210199</v>
          </cell>
          <cell r="EN183">
            <v>2.4095909012463064E-2</v>
          </cell>
        </row>
        <row r="184">
          <cell r="B184">
            <v>35105</v>
          </cell>
          <cell r="C184" t="str">
            <v>Johnston Technical College</v>
          </cell>
          <cell r="D184">
            <v>1.0623775128854984E-3</v>
          </cell>
          <cell r="E184">
            <v>1838160.8107942143</v>
          </cell>
          <cell r="F184">
            <v>1433256.1393150871</v>
          </cell>
          <cell r="G184">
            <v>183872</v>
          </cell>
          <cell r="H184">
            <v>-512912.18212792359</v>
          </cell>
          <cell r="I184">
            <v>-21225.273858130695</v>
          </cell>
          <cell r="J184">
            <v>1551150.5631748848</v>
          </cell>
          <cell r="K184">
            <v>0</v>
          </cell>
          <cell r="L184">
            <v>-81500.025633313868</v>
          </cell>
          <cell r="M184">
            <v>14625.763608810021</v>
          </cell>
          <cell r="N184">
            <v>551.35268163731598</v>
          </cell>
          <cell r="O184">
            <v>-248.81943729291257</v>
          </cell>
          <cell r="P184">
            <v>0</v>
          </cell>
          <cell r="Q184">
            <v>0</v>
          </cell>
          <cell r="R184">
            <v>0</v>
          </cell>
          <cell r="S184">
            <v>4405730.3285179716</v>
          </cell>
          <cell r="T184">
            <v>959474</v>
          </cell>
          <cell r="U184">
            <v>7755752.8158744238</v>
          </cell>
          <cell r="V184">
            <v>58503.054435240083</v>
          </cell>
          <cell r="W184">
            <v>0</v>
          </cell>
          <cell r="X184">
            <v>8773729.8703096639</v>
          </cell>
          <cell r="Y184">
            <v>40113.789999999804</v>
          </cell>
          <cell r="Z184">
            <v>0</v>
          </cell>
          <cell r="AA184">
            <v>0</v>
          </cell>
          <cell r="AB184">
            <v>106126.36929065347</v>
          </cell>
          <cell r="AC184">
            <v>146240.15929065328</v>
          </cell>
          <cell r="AD184" t="str">
            <v>N/A</v>
          </cell>
          <cell r="AE184">
            <v>1728423</v>
          </cell>
          <cell r="AF184">
            <v>1728423</v>
          </cell>
          <cell r="AG184">
            <v>1728423</v>
          </cell>
          <cell r="AH184">
            <v>1728423</v>
          </cell>
          <cell r="AI184">
            <v>1713797</v>
          </cell>
          <cell r="AJ184">
            <v>0</v>
          </cell>
          <cell r="AK184">
            <v>8627489</v>
          </cell>
          <cell r="AL184">
            <v>34071219</v>
          </cell>
          <cell r="AM184">
            <v>4405730.3285179716</v>
          </cell>
          <cell r="AN184">
            <v>-887406.2100000002</v>
          </cell>
          <cell r="AO184">
            <v>7708129.5010190113</v>
          </cell>
          <cell r="AP184">
            <v>0</v>
          </cell>
          <cell r="AQ184">
            <v>919360.2100000002</v>
          </cell>
          <cell r="AR184">
            <v>0</v>
          </cell>
          <cell r="AS184">
            <v>0</v>
          </cell>
          <cell r="AT184">
            <v>46217032.829536982</v>
          </cell>
          <cell r="AU184">
            <v>1.0276501268383588E-3</v>
          </cell>
          <cell r="AV184">
            <v>0</v>
          </cell>
          <cell r="AW184">
            <v>0</v>
          </cell>
          <cell r="AY184">
            <v>0</v>
          </cell>
          <cell r="AZ184">
            <v>0</v>
          </cell>
          <cell r="BA184">
            <v>0</v>
          </cell>
          <cell r="BB184">
            <v>0</v>
          </cell>
          <cell r="BC184">
            <v>0</v>
          </cell>
          <cell r="BD184">
            <v>0</v>
          </cell>
          <cell r="BE184">
            <v>0</v>
          </cell>
          <cell r="BF184">
            <v>0</v>
          </cell>
          <cell r="BG184">
            <v>0</v>
          </cell>
          <cell r="BH184">
            <v>0</v>
          </cell>
          <cell r="BJ184">
            <v>0</v>
          </cell>
          <cell r="BL184">
            <v>0</v>
          </cell>
          <cell r="BM184">
            <v>0</v>
          </cell>
          <cell r="BN184">
            <v>0</v>
          </cell>
          <cell r="BO184">
            <v>0</v>
          </cell>
          <cell r="BQ184">
            <v>0</v>
          </cell>
          <cell r="BR184">
            <v>0</v>
          </cell>
          <cell r="BS184">
            <v>0</v>
          </cell>
          <cell r="BT184">
            <v>0</v>
          </cell>
          <cell r="CB184">
            <v>0</v>
          </cell>
          <cell r="CC184">
            <v>0</v>
          </cell>
          <cell r="CD184">
            <v>0</v>
          </cell>
          <cell r="CE184">
            <v>0</v>
          </cell>
          <cell r="CF184">
            <v>0</v>
          </cell>
          <cell r="CI184">
            <v>0</v>
          </cell>
          <cell r="CJ184">
            <v>0</v>
          </cell>
          <cell r="CK184">
            <v>0</v>
          </cell>
          <cell r="CV184">
            <v>1.0623775128854984E-3</v>
          </cell>
          <cell r="DG184">
            <v>46217033</v>
          </cell>
          <cell r="DR184">
            <v>15728539.479999999</v>
          </cell>
          <cell r="EC184">
            <v>2.9384186026152253</v>
          </cell>
          <cell r="EN184">
            <v>2.4095909012463064E-2</v>
          </cell>
        </row>
        <row r="185">
          <cell r="B185">
            <v>35106</v>
          </cell>
          <cell r="C185" t="str">
            <v>Neuse Charter School</v>
          </cell>
          <cell r="D185">
            <v>2.6629198982874028E-4</v>
          </cell>
          <cell r="E185">
            <v>460747.23344069708</v>
          </cell>
          <cell r="F185">
            <v>359255.18437964912</v>
          </cell>
          <cell r="G185">
            <v>158620</v>
          </cell>
          <cell r="H185">
            <v>-128564.8499988223</v>
          </cell>
          <cell r="I185">
            <v>-5320.2560688525646</v>
          </cell>
          <cell r="J185">
            <v>388806.20587488858</v>
          </cell>
          <cell r="K185">
            <v>0</v>
          </cell>
          <cell r="L185">
            <v>-20428.523508599137</v>
          </cell>
          <cell r="M185">
            <v>3666.0449293363063</v>
          </cell>
          <cell r="N185">
            <v>138.20021688131962</v>
          </cell>
          <cell r="O185">
            <v>-62.368246937789259</v>
          </cell>
          <cell r="P185">
            <v>0</v>
          </cell>
          <cell r="Q185">
            <v>0</v>
          </cell>
          <cell r="R185">
            <v>0</v>
          </cell>
          <cell r="S185">
            <v>1216856.8710182405</v>
          </cell>
          <cell r="T185">
            <v>828574</v>
          </cell>
          <cell r="U185">
            <v>1944031.0293744428</v>
          </cell>
          <cell r="V185">
            <v>14664.179717345225</v>
          </cell>
          <cell r="W185">
            <v>0</v>
          </cell>
          <cell r="X185">
            <v>2787269.2090917882</v>
          </cell>
          <cell r="Y185">
            <v>35472.290000000008</v>
          </cell>
          <cell r="Z185">
            <v>0</v>
          </cell>
          <cell r="AA185">
            <v>0</v>
          </cell>
          <cell r="AB185">
            <v>26601.280344262821</v>
          </cell>
          <cell r="AC185">
            <v>62073.570344262829</v>
          </cell>
          <cell r="AD185" t="str">
            <v>N/A</v>
          </cell>
          <cell r="AE185">
            <v>545773</v>
          </cell>
          <cell r="AF185">
            <v>545772</v>
          </cell>
          <cell r="AG185">
            <v>545772</v>
          </cell>
          <cell r="AH185">
            <v>545772</v>
          </cell>
          <cell r="AI185">
            <v>542106</v>
          </cell>
          <cell r="AJ185">
            <v>0</v>
          </cell>
          <cell r="AK185">
            <v>2725195</v>
          </cell>
          <cell r="AL185">
            <v>7834487</v>
          </cell>
          <cell r="AM185">
            <v>1216856.8710182405</v>
          </cell>
          <cell r="AN185">
            <v>-191932.71</v>
          </cell>
          <cell r="AO185">
            <v>1932093.9287475254</v>
          </cell>
          <cell r="AP185">
            <v>0</v>
          </cell>
          <cell r="AQ185">
            <v>793101.71</v>
          </cell>
          <cell r="AR185">
            <v>0</v>
          </cell>
          <cell r="AS185">
            <v>0</v>
          </cell>
          <cell r="AT185">
            <v>11584606.799765766</v>
          </cell>
          <cell r="AU185">
            <v>2.3630241392937746E-4</v>
          </cell>
          <cell r="AV185">
            <v>0</v>
          </cell>
          <cell r="AW185">
            <v>0</v>
          </cell>
          <cell r="AY185">
            <v>0</v>
          </cell>
          <cell r="AZ185">
            <v>0</v>
          </cell>
          <cell r="BA185">
            <v>0</v>
          </cell>
          <cell r="BB185">
            <v>0</v>
          </cell>
          <cell r="BC185">
            <v>0</v>
          </cell>
          <cell r="BD185">
            <v>0</v>
          </cell>
          <cell r="BE185">
            <v>0</v>
          </cell>
          <cell r="BF185">
            <v>0</v>
          </cell>
          <cell r="BG185">
            <v>0</v>
          </cell>
          <cell r="BH185">
            <v>0</v>
          </cell>
          <cell r="BJ185">
            <v>0</v>
          </cell>
          <cell r="BL185">
            <v>0</v>
          </cell>
          <cell r="BM185">
            <v>0</v>
          </cell>
          <cell r="BN185">
            <v>0</v>
          </cell>
          <cell r="BO185">
            <v>0</v>
          </cell>
          <cell r="BQ185">
            <v>0</v>
          </cell>
          <cell r="BR185">
            <v>0</v>
          </cell>
          <cell r="BS185">
            <v>0</v>
          </cell>
          <cell r="BT185">
            <v>0</v>
          </cell>
          <cell r="CB185">
            <v>0</v>
          </cell>
          <cell r="CC185">
            <v>0</v>
          </cell>
          <cell r="CD185">
            <v>0</v>
          </cell>
          <cell r="CE185">
            <v>0</v>
          </cell>
          <cell r="CF185">
            <v>0</v>
          </cell>
          <cell r="CI185">
            <v>0</v>
          </cell>
          <cell r="CJ185">
            <v>0</v>
          </cell>
          <cell r="CK185">
            <v>0</v>
          </cell>
          <cell r="CV185">
            <v>2.6629198982874028E-4</v>
          </cell>
          <cell r="DG185">
            <v>11584607</v>
          </cell>
          <cell r="DR185">
            <v>3395559.830000001</v>
          </cell>
          <cell r="EC185">
            <v>3.4116927929377692</v>
          </cell>
          <cell r="EN185">
            <v>2.4095909012463064E-2</v>
          </cell>
        </row>
        <row r="186">
          <cell r="B186">
            <v>35200</v>
          </cell>
          <cell r="C186" t="str">
            <v>Jones County Schools</v>
          </cell>
          <cell r="D186">
            <v>4.906476542015859E-4</v>
          </cell>
          <cell r="E186">
            <v>848934.84559162613</v>
          </cell>
          <cell r="F186">
            <v>661933.96800630644</v>
          </cell>
          <cell r="G186">
            <v>51397</v>
          </cell>
          <cell r="H186">
            <v>-236882.98737513451</v>
          </cell>
          <cell r="I186">
            <v>-9802.6649679288639</v>
          </cell>
          <cell r="J186">
            <v>716382.24256846914</v>
          </cell>
          <cell r="K186">
            <v>0</v>
          </cell>
          <cell r="L186">
            <v>-37639.912281035264</v>
          </cell>
          <cell r="M186">
            <v>6754.7519770808512</v>
          </cell>
          <cell r="N186">
            <v>254.63631957753904</v>
          </cell>
          <cell r="O186">
            <v>-114.91458709055344</v>
          </cell>
          <cell r="P186">
            <v>0</v>
          </cell>
          <cell r="Q186">
            <v>0</v>
          </cell>
          <cell r="R186">
            <v>0</v>
          </cell>
          <cell r="S186">
            <v>2001216.9652518709</v>
          </cell>
          <cell r="T186">
            <v>256982.06</v>
          </cell>
          <cell r="U186">
            <v>3581911.2128423457</v>
          </cell>
          <cell r="V186">
            <v>27019.007908323405</v>
          </cell>
          <cell r="W186">
            <v>0</v>
          </cell>
          <cell r="X186">
            <v>3865912.2807506691</v>
          </cell>
          <cell r="Y186">
            <v>0</v>
          </cell>
          <cell r="Z186">
            <v>0</v>
          </cell>
          <cell r="AA186">
            <v>0</v>
          </cell>
          <cell r="AB186">
            <v>49013.324839644323</v>
          </cell>
          <cell r="AC186">
            <v>49013.324839644323</v>
          </cell>
          <cell r="AD186" t="str">
            <v>N/A</v>
          </cell>
          <cell r="AE186">
            <v>764730</v>
          </cell>
          <cell r="AF186">
            <v>764731</v>
          </cell>
          <cell r="AG186">
            <v>764731</v>
          </cell>
          <cell r="AH186">
            <v>764731</v>
          </cell>
          <cell r="AI186">
            <v>757977</v>
          </cell>
          <cell r="AJ186">
            <v>0</v>
          </cell>
          <cell r="AK186">
            <v>3816900</v>
          </cell>
          <cell r="AL186">
            <v>16003381</v>
          </cell>
          <cell r="AM186">
            <v>2001216.9652518709</v>
          </cell>
          <cell r="AN186">
            <v>-476656.06</v>
          </cell>
          <cell r="AO186">
            <v>3559916.8959110253</v>
          </cell>
          <cell r="AP186">
            <v>0</v>
          </cell>
          <cell r="AQ186">
            <v>256982.06</v>
          </cell>
          <cell r="AR186">
            <v>0</v>
          </cell>
          <cell r="AS186">
            <v>0</v>
          </cell>
          <cell r="AT186">
            <v>21344840.861162897</v>
          </cell>
          <cell r="AU186">
            <v>4.8269115606973812E-4</v>
          </cell>
          <cell r="AV186">
            <v>0</v>
          </cell>
          <cell r="AW186">
            <v>0</v>
          </cell>
          <cell r="AY186">
            <v>0</v>
          </cell>
          <cell r="AZ186">
            <v>0</v>
          </cell>
          <cell r="BA186">
            <v>0</v>
          </cell>
          <cell r="BB186">
            <v>0</v>
          </cell>
          <cell r="BC186">
            <v>0</v>
          </cell>
          <cell r="BD186">
            <v>0</v>
          </cell>
          <cell r="BE186">
            <v>0</v>
          </cell>
          <cell r="BF186">
            <v>0</v>
          </cell>
          <cell r="BG186">
            <v>0</v>
          </cell>
          <cell r="BH186">
            <v>0</v>
          </cell>
          <cell r="BJ186">
            <v>0</v>
          </cell>
          <cell r="BL186">
            <v>0</v>
          </cell>
          <cell r="BM186">
            <v>0</v>
          </cell>
          <cell r="BN186">
            <v>0</v>
          </cell>
          <cell r="BO186">
            <v>0</v>
          </cell>
          <cell r="BQ186">
            <v>0</v>
          </cell>
          <cell r="BR186">
            <v>0</v>
          </cell>
          <cell r="BS186">
            <v>0</v>
          </cell>
          <cell r="BT186">
            <v>0</v>
          </cell>
          <cell r="CB186">
            <v>0</v>
          </cell>
          <cell r="CC186">
            <v>0</v>
          </cell>
          <cell r="CD186">
            <v>0</v>
          </cell>
          <cell r="CE186">
            <v>0</v>
          </cell>
          <cell r="CF186">
            <v>0</v>
          </cell>
          <cell r="CI186">
            <v>0</v>
          </cell>
          <cell r="CJ186">
            <v>0</v>
          </cell>
          <cell r="CK186">
            <v>0</v>
          </cell>
          <cell r="CV186">
            <v>4.906476542015859E-4</v>
          </cell>
          <cell r="DG186">
            <v>21344841</v>
          </cell>
          <cell r="DR186">
            <v>8278732.1899999976</v>
          </cell>
          <cell r="EC186">
            <v>2.5782741258115278</v>
          </cell>
          <cell r="EN186">
            <v>2.4095909012463064E-2</v>
          </cell>
        </row>
        <row r="187">
          <cell r="B187">
            <v>35300</v>
          </cell>
          <cell r="C187" t="str">
            <v>Sanford-Lee County Board Of Education</v>
          </cell>
          <cell r="D187">
            <v>3.3455649867538506E-3</v>
          </cell>
          <cell r="E187">
            <v>5788607.509126558</v>
          </cell>
          <cell r="F187">
            <v>4513510.0268819025</v>
          </cell>
          <cell r="G187">
            <v>750283</v>
          </cell>
          <cell r="H187">
            <v>-1615227.1833634353</v>
          </cell>
          <cell r="I187">
            <v>-66841.148454991155</v>
          </cell>
          <cell r="J187">
            <v>4884774.9038347034</v>
          </cell>
          <cell r="K187">
            <v>0</v>
          </cell>
          <cell r="L187">
            <v>-256654.18259633615</v>
          </cell>
          <cell r="M187">
            <v>46058.432186946346</v>
          </cell>
          <cell r="N187">
            <v>1736.2813168255134</v>
          </cell>
          <cell r="O187">
            <v>-783.56477554761932</v>
          </cell>
          <cell r="P187">
            <v>0</v>
          </cell>
          <cell r="Q187">
            <v>0</v>
          </cell>
          <cell r="R187">
            <v>0</v>
          </cell>
          <cell r="S187">
            <v>14045464.074156627</v>
          </cell>
          <cell r="T187">
            <v>3848715</v>
          </cell>
          <cell r="U187">
            <v>24423874.519173514</v>
          </cell>
          <cell r="V187">
            <v>184233.72874778538</v>
          </cell>
          <cell r="W187">
            <v>0</v>
          </cell>
          <cell r="X187">
            <v>28456823.247921299</v>
          </cell>
          <cell r="Y187">
            <v>97301.279999999795</v>
          </cell>
          <cell r="Z187">
            <v>0</v>
          </cell>
          <cell r="AA187">
            <v>0</v>
          </cell>
          <cell r="AB187">
            <v>334205.74227495573</v>
          </cell>
          <cell r="AC187">
            <v>431507.02227495553</v>
          </cell>
          <cell r="AD187" t="str">
            <v>N/A</v>
          </cell>
          <cell r="AE187">
            <v>5614275</v>
          </cell>
          <cell r="AF187">
            <v>5614275</v>
          </cell>
          <cell r="AG187">
            <v>5614275</v>
          </cell>
          <cell r="AH187">
            <v>5614275</v>
          </cell>
          <cell r="AI187">
            <v>5568217</v>
          </cell>
          <cell r="AJ187">
            <v>0</v>
          </cell>
          <cell r="AK187">
            <v>28025317</v>
          </cell>
          <cell r="AL187">
            <v>106302053</v>
          </cell>
          <cell r="AM187">
            <v>14045464.074156627</v>
          </cell>
          <cell r="AN187">
            <v>-2829384.72</v>
          </cell>
          <cell r="AO187">
            <v>24273902.505646344</v>
          </cell>
          <cell r="AP187">
            <v>0</v>
          </cell>
          <cell r="AQ187">
            <v>3751413.72</v>
          </cell>
          <cell r="AR187">
            <v>0</v>
          </cell>
          <cell r="AS187">
            <v>0</v>
          </cell>
          <cell r="AT187">
            <v>145543448.57980296</v>
          </cell>
          <cell r="AU187">
            <v>3.2062638597825256E-3</v>
          </cell>
          <cell r="AV187">
            <v>0</v>
          </cell>
          <cell r="AW187">
            <v>0</v>
          </cell>
          <cell r="AY187">
            <v>0</v>
          </cell>
          <cell r="AZ187">
            <v>0</v>
          </cell>
          <cell r="BA187">
            <v>0</v>
          </cell>
          <cell r="BB187">
            <v>0</v>
          </cell>
          <cell r="BC187">
            <v>0</v>
          </cell>
          <cell r="BD187">
            <v>0</v>
          </cell>
          <cell r="BE187">
            <v>0</v>
          </cell>
          <cell r="BF187">
            <v>0</v>
          </cell>
          <cell r="BG187">
            <v>0</v>
          </cell>
          <cell r="BH187">
            <v>0</v>
          </cell>
          <cell r="BJ187">
            <v>0</v>
          </cell>
          <cell r="BL187">
            <v>0</v>
          </cell>
          <cell r="BM187">
            <v>0</v>
          </cell>
          <cell r="BN187">
            <v>0</v>
          </cell>
          <cell r="BO187">
            <v>0</v>
          </cell>
          <cell r="BQ187">
            <v>0</v>
          </cell>
          <cell r="BR187">
            <v>0</v>
          </cell>
          <cell r="BS187">
            <v>0</v>
          </cell>
          <cell r="BT187">
            <v>0</v>
          </cell>
          <cell r="CB187">
            <v>0</v>
          </cell>
          <cell r="CC187">
            <v>0</v>
          </cell>
          <cell r="CD187">
            <v>0</v>
          </cell>
          <cell r="CE187">
            <v>0</v>
          </cell>
          <cell r="CF187">
            <v>0</v>
          </cell>
          <cell r="CI187">
            <v>0</v>
          </cell>
          <cell r="CJ187">
            <v>0</v>
          </cell>
          <cell r="CK187">
            <v>0</v>
          </cell>
          <cell r="CV187">
            <v>3.3455649867538506E-3</v>
          </cell>
          <cell r="DG187">
            <v>145543449</v>
          </cell>
          <cell r="DR187">
            <v>47527684.359999925</v>
          </cell>
          <cell r="EC187">
            <v>3.0622878215058114</v>
          </cell>
          <cell r="EN187">
            <v>2.4095909012463064E-2</v>
          </cell>
        </row>
        <row r="188">
          <cell r="B188">
            <v>35305</v>
          </cell>
          <cell r="C188" t="str">
            <v>Central Carolina Community College</v>
          </cell>
          <cell r="D188">
            <v>1.2597015295089031E-3</v>
          </cell>
          <cell r="E188">
            <v>2179577.3693963364</v>
          </cell>
          <cell r="F188">
            <v>1699466.4598739792</v>
          </cell>
          <cell r="G188">
            <v>536665</v>
          </cell>
          <cell r="H188">
            <v>-608179.53363432304</v>
          </cell>
          <cell r="I188">
            <v>-25167.616613713384</v>
          </cell>
          <cell r="J188">
            <v>1839258.3740056974</v>
          </cell>
          <cell r="K188">
            <v>0</v>
          </cell>
          <cell r="L188">
            <v>-96637.688298251334</v>
          </cell>
          <cell r="M188">
            <v>17342.325646758451</v>
          </cell>
          <cell r="N188">
            <v>653.75989978453049</v>
          </cell>
          <cell r="O188">
            <v>-295.03469522628018</v>
          </cell>
          <cell r="P188">
            <v>0</v>
          </cell>
          <cell r="Q188">
            <v>0</v>
          </cell>
          <cell r="R188">
            <v>0</v>
          </cell>
          <cell r="S188">
            <v>5542683.415581041</v>
          </cell>
          <cell r="T188">
            <v>2683324.21</v>
          </cell>
          <cell r="U188">
            <v>9196291.8700284883</v>
          </cell>
          <cell r="V188">
            <v>69369.302587033802</v>
          </cell>
          <cell r="W188">
            <v>0</v>
          </cell>
          <cell r="X188">
            <v>11948985.382615523</v>
          </cell>
          <cell r="Y188">
            <v>0</v>
          </cell>
          <cell r="Z188">
            <v>0</v>
          </cell>
          <cell r="AA188">
            <v>0</v>
          </cell>
          <cell r="AB188">
            <v>125838.08306856692</v>
          </cell>
          <cell r="AC188">
            <v>125838.08306856692</v>
          </cell>
          <cell r="AD188" t="str">
            <v>N/A</v>
          </cell>
          <cell r="AE188">
            <v>2368098</v>
          </cell>
          <cell r="AF188">
            <v>2368098</v>
          </cell>
          <cell r="AG188">
            <v>2368098</v>
          </cell>
          <cell r="AH188">
            <v>2368098</v>
          </cell>
          <cell r="AI188">
            <v>2350756</v>
          </cell>
          <cell r="AJ188">
            <v>0</v>
          </cell>
          <cell r="AK188">
            <v>11823148</v>
          </cell>
          <cell r="AL188">
            <v>38557191</v>
          </cell>
          <cell r="AM188">
            <v>5542683.415581041</v>
          </cell>
          <cell r="AN188">
            <v>-1121723.2100000002</v>
          </cell>
          <cell r="AO188">
            <v>9139823.0895469561</v>
          </cell>
          <cell r="AP188">
            <v>0</v>
          </cell>
          <cell r="AQ188">
            <v>2683324.21</v>
          </cell>
          <cell r="AR188">
            <v>0</v>
          </cell>
          <cell r="AS188">
            <v>0</v>
          </cell>
          <cell r="AT188">
            <v>54801298.505127996</v>
          </cell>
          <cell r="AU188">
            <v>1.1629552377531902E-3</v>
          </cell>
          <cell r="AV188">
            <v>0</v>
          </cell>
          <cell r="AW188">
            <v>0</v>
          </cell>
          <cell r="AY188">
            <v>0</v>
          </cell>
          <cell r="AZ188">
            <v>0</v>
          </cell>
          <cell r="BA188">
            <v>0</v>
          </cell>
          <cell r="BB188">
            <v>0</v>
          </cell>
          <cell r="BC188">
            <v>0</v>
          </cell>
          <cell r="BD188">
            <v>0</v>
          </cell>
          <cell r="BE188">
            <v>0</v>
          </cell>
          <cell r="BF188">
            <v>0</v>
          </cell>
          <cell r="BG188">
            <v>0</v>
          </cell>
          <cell r="BH188">
            <v>0</v>
          </cell>
          <cell r="BJ188">
            <v>0</v>
          </cell>
          <cell r="BL188">
            <v>0</v>
          </cell>
          <cell r="BM188">
            <v>0</v>
          </cell>
          <cell r="BN188">
            <v>0</v>
          </cell>
          <cell r="BO188">
            <v>0</v>
          </cell>
          <cell r="BQ188">
            <v>0</v>
          </cell>
          <cell r="BR188">
            <v>0</v>
          </cell>
          <cell r="BS188">
            <v>0</v>
          </cell>
          <cell r="BT188">
            <v>0</v>
          </cell>
          <cell r="CB188">
            <v>0</v>
          </cell>
          <cell r="CC188">
            <v>0</v>
          </cell>
          <cell r="CD188">
            <v>0</v>
          </cell>
          <cell r="CE188">
            <v>0</v>
          </cell>
          <cell r="CF188">
            <v>0</v>
          </cell>
          <cell r="CI188">
            <v>0</v>
          </cell>
          <cell r="CJ188">
            <v>0</v>
          </cell>
          <cell r="CK188">
            <v>0</v>
          </cell>
          <cell r="CV188">
            <v>1.2597015295089031E-3</v>
          </cell>
          <cell r="DG188">
            <v>54801298</v>
          </cell>
          <cell r="DR188">
            <v>18830477.289999992</v>
          </cell>
          <cell r="EC188">
            <v>2.9102447673539573</v>
          </cell>
          <cell r="EN188">
            <v>2.4095909012463064E-2</v>
          </cell>
        </row>
        <row r="189">
          <cell r="B189">
            <v>35400</v>
          </cell>
          <cell r="C189" t="str">
            <v>Lenoir County Schools</v>
          </cell>
          <cell r="D189">
            <v>2.6768339883394055E-3</v>
          </cell>
          <cell r="E189">
            <v>4631546.9545313986</v>
          </cell>
          <cell r="F189">
            <v>3611323.3772185892</v>
          </cell>
          <cell r="G189">
            <v>-87210</v>
          </cell>
          <cell r="H189">
            <v>-1292366.1744535959</v>
          </cell>
          <cell r="I189">
            <v>-53480.550732797485</v>
          </cell>
          <cell r="J189">
            <v>3908377.6700626169</v>
          </cell>
          <cell r="K189">
            <v>0</v>
          </cell>
          <cell r="L189">
            <v>-205352.65103008682</v>
          </cell>
          <cell r="M189">
            <v>36852.004733368143</v>
          </cell>
          <cell r="N189">
            <v>1389.2233032683846</v>
          </cell>
          <cell r="O189">
            <v>-626.94128840897213</v>
          </cell>
          <cell r="P189">
            <v>0</v>
          </cell>
          <cell r="Q189">
            <v>0</v>
          </cell>
          <cell r="R189">
            <v>0</v>
          </cell>
          <cell r="S189">
            <v>10550452.912344351</v>
          </cell>
          <cell r="T189">
            <v>50329.89000000013</v>
          </cell>
          <cell r="U189">
            <v>19541888.350313082</v>
          </cell>
          <cell r="V189">
            <v>147408.01893347257</v>
          </cell>
          <cell r="W189">
            <v>0</v>
          </cell>
          <cell r="X189">
            <v>19739626.259246554</v>
          </cell>
          <cell r="Y189">
            <v>486381</v>
          </cell>
          <cell r="Z189">
            <v>0</v>
          </cell>
          <cell r="AA189">
            <v>0</v>
          </cell>
          <cell r="AB189">
            <v>267402.75366398745</v>
          </cell>
          <cell r="AC189">
            <v>753783.75366398739</v>
          </cell>
          <cell r="AD189" t="str">
            <v>N/A</v>
          </cell>
          <cell r="AE189">
            <v>3804539</v>
          </cell>
          <cell r="AF189">
            <v>3804539</v>
          </cell>
          <cell r="AG189">
            <v>3804539</v>
          </cell>
          <cell r="AH189">
            <v>3804539</v>
          </cell>
          <cell r="AI189">
            <v>3767687</v>
          </cell>
          <cell r="AJ189">
            <v>0</v>
          </cell>
          <cell r="AK189">
            <v>18985843</v>
          </cell>
          <cell r="AL189">
            <v>89332731</v>
          </cell>
          <cell r="AM189">
            <v>10550452.912344351</v>
          </cell>
          <cell r="AN189">
            <v>-2417648.89</v>
          </cell>
          <cell r="AO189">
            <v>19421893.61558257</v>
          </cell>
          <cell r="AP189">
            <v>0</v>
          </cell>
          <cell r="AQ189">
            <v>-436051.10999999987</v>
          </cell>
          <cell r="AR189">
            <v>0</v>
          </cell>
          <cell r="AS189">
            <v>0</v>
          </cell>
          <cell r="AT189">
            <v>116451377.52792692</v>
          </cell>
          <cell r="AU189">
            <v>2.6944381381537237E-3</v>
          </cell>
          <cell r="AV189">
            <v>0</v>
          </cell>
          <cell r="AW189">
            <v>0</v>
          </cell>
          <cell r="AY189">
            <v>0</v>
          </cell>
          <cell r="AZ189">
            <v>0</v>
          </cell>
          <cell r="BA189">
            <v>0</v>
          </cell>
          <cell r="BB189">
            <v>0</v>
          </cell>
          <cell r="BC189">
            <v>0</v>
          </cell>
          <cell r="BD189">
            <v>0</v>
          </cell>
          <cell r="BE189">
            <v>0</v>
          </cell>
          <cell r="BF189">
            <v>0</v>
          </cell>
          <cell r="BG189">
            <v>0</v>
          </cell>
          <cell r="BH189">
            <v>0</v>
          </cell>
          <cell r="BJ189">
            <v>0</v>
          </cell>
          <cell r="BL189">
            <v>0</v>
          </cell>
          <cell r="BM189">
            <v>0</v>
          </cell>
          <cell r="BN189">
            <v>0</v>
          </cell>
          <cell r="BO189">
            <v>0</v>
          </cell>
          <cell r="BQ189">
            <v>0</v>
          </cell>
          <cell r="BR189">
            <v>0</v>
          </cell>
          <cell r="BS189">
            <v>0</v>
          </cell>
          <cell r="BT189">
            <v>0</v>
          </cell>
          <cell r="CB189">
            <v>0</v>
          </cell>
          <cell r="CC189">
            <v>0</v>
          </cell>
          <cell r="CD189">
            <v>0</v>
          </cell>
          <cell r="CE189">
            <v>0</v>
          </cell>
          <cell r="CF189">
            <v>0</v>
          </cell>
          <cell r="CI189">
            <v>0</v>
          </cell>
          <cell r="CJ189">
            <v>0</v>
          </cell>
          <cell r="CK189">
            <v>0</v>
          </cell>
          <cell r="CV189">
            <v>2.6768339883394055E-3</v>
          </cell>
          <cell r="DG189">
            <v>116451377</v>
          </cell>
          <cell r="DR189">
            <v>41850396.309999958</v>
          </cell>
          <cell r="EC189">
            <v>2.7825633032816581</v>
          </cell>
          <cell r="EN189">
            <v>2.4095909012463064E-2</v>
          </cell>
        </row>
        <row r="190">
          <cell r="B190">
            <v>35401</v>
          </cell>
          <cell r="C190" t="str">
            <v>Childrens Village Academy</v>
          </cell>
          <cell r="D190">
            <v>2.4651261078602637E-5</v>
          </cell>
          <cell r="E190">
            <v>42652.429575877002</v>
          </cell>
          <cell r="F190">
            <v>33257.077502330641</v>
          </cell>
          <cell r="G190">
            <v>-3724</v>
          </cell>
          <cell r="H190">
            <v>-11901.543433171271</v>
          </cell>
          <cell r="I190">
            <v>-492.50832307292279</v>
          </cell>
          <cell r="J190">
            <v>35992.683430571466</v>
          </cell>
          <cell r="K190">
            <v>0</v>
          </cell>
          <cell r="L190">
            <v>-1891.1153384099941</v>
          </cell>
          <cell r="M190">
            <v>339.37419873980349</v>
          </cell>
          <cell r="N190">
            <v>12.793511474573197</v>
          </cell>
          <cell r="O190">
            <v>-5.7735718572195234</v>
          </cell>
          <cell r="P190">
            <v>0</v>
          </cell>
          <cell r="Q190">
            <v>0</v>
          </cell>
          <cell r="R190">
            <v>0</v>
          </cell>
          <cell r="S190">
            <v>94239.417552482104</v>
          </cell>
          <cell r="T190">
            <v>825.77999999999884</v>
          </cell>
          <cell r="U190">
            <v>179963.41715285732</v>
          </cell>
          <cell r="V190">
            <v>1357.496794959214</v>
          </cell>
          <cell r="W190">
            <v>0</v>
          </cell>
          <cell r="X190">
            <v>182146.69394781653</v>
          </cell>
          <cell r="Y190">
            <v>19443</v>
          </cell>
          <cell r="Z190">
            <v>0</v>
          </cell>
          <cell r="AA190">
            <v>0</v>
          </cell>
          <cell r="AB190">
            <v>2462.5416153646138</v>
          </cell>
          <cell r="AC190">
            <v>21905.541615364615</v>
          </cell>
          <cell r="AD190" t="str">
            <v>N/A</v>
          </cell>
          <cell r="AE190">
            <v>32116</v>
          </cell>
          <cell r="AF190">
            <v>32116</v>
          </cell>
          <cell r="AG190">
            <v>32116</v>
          </cell>
          <cell r="AH190">
            <v>32116</v>
          </cell>
          <cell r="AI190">
            <v>31776</v>
          </cell>
          <cell r="AJ190">
            <v>0</v>
          </cell>
          <cell r="AK190">
            <v>160240</v>
          </cell>
          <cell r="AL190">
            <v>840632</v>
          </cell>
          <cell r="AM190">
            <v>94239.417552482104</v>
          </cell>
          <cell r="AN190">
            <v>-22698.78</v>
          </cell>
          <cell r="AO190">
            <v>178858.37233245192</v>
          </cell>
          <cell r="AP190">
            <v>0</v>
          </cell>
          <cell r="AQ190">
            <v>-18617.22</v>
          </cell>
          <cell r="AR190">
            <v>0</v>
          </cell>
          <cell r="AS190">
            <v>0</v>
          </cell>
          <cell r="AT190">
            <v>1072413.789884934</v>
          </cell>
          <cell r="AU190">
            <v>2.5354994484920251E-5</v>
          </cell>
          <cell r="AV190">
            <v>0</v>
          </cell>
          <cell r="AW190">
            <v>0</v>
          </cell>
          <cell r="AY190">
            <v>0</v>
          </cell>
          <cell r="AZ190">
            <v>0</v>
          </cell>
          <cell r="BA190">
            <v>0</v>
          </cell>
          <cell r="BB190">
            <v>0</v>
          </cell>
          <cell r="BC190">
            <v>0</v>
          </cell>
          <cell r="BD190">
            <v>0</v>
          </cell>
          <cell r="BE190">
            <v>0</v>
          </cell>
          <cell r="BF190">
            <v>0</v>
          </cell>
          <cell r="BG190">
            <v>0</v>
          </cell>
          <cell r="BH190">
            <v>0</v>
          </cell>
          <cell r="BJ190">
            <v>0</v>
          </cell>
          <cell r="BL190">
            <v>0</v>
          </cell>
          <cell r="BM190">
            <v>0</v>
          </cell>
          <cell r="BN190">
            <v>0</v>
          </cell>
          <cell r="BO190">
            <v>0</v>
          </cell>
          <cell r="BQ190">
            <v>0</v>
          </cell>
          <cell r="BR190">
            <v>0</v>
          </cell>
          <cell r="BS190">
            <v>0</v>
          </cell>
          <cell r="BT190">
            <v>0</v>
          </cell>
          <cell r="CB190">
            <v>0</v>
          </cell>
          <cell r="CC190">
            <v>0</v>
          </cell>
          <cell r="CD190">
            <v>0</v>
          </cell>
          <cell r="CE190">
            <v>0</v>
          </cell>
          <cell r="CF190">
            <v>0</v>
          </cell>
          <cell r="CI190">
            <v>0</v>
          </cell>
          <cell r="CJ190">
            <v>0</v>
          </cell>
          <cell r="CK190">
            <v>0</v>
          </cell>
          <cell r="CV190">
            <v>2.4651261078602637E-5</v>
          </cell>
          <cell r="DG190">
            <v>1072414</v>
          </cell>
          <cell r="DR190">
            <v>344520.31</v>
          </cell>
          <cell r="EC190">
            <v>3.1127743963773864</v>
          </cell>
          <cell r="EN190">
            <v>2.4095909012463064E-2</v>
          </cell>
        </row>
        <row r="191">
          <cell r="B191">
            <v>35405</v>
          </cell>
          <cell r="C191" t="str">
            <v>Lenoir County Community College</v>
          </cell>
          <cell r="D191">
            <v>9.2830572145810521E-4</v>
          </cell>
          <cell r="E191">
            <v>1606185.3502392888</v>
          </cell>
          <cell r="F191">
            <v>1252379.552751838</v>
          </cell>
          <cell r="G191">
            <v>239268</v>
          </cell>
          <cell r="H191">
            <v>-448182.78577987076</v>
          </cell>
          <cell r="I191">
            <v>-18546.649305952975</v>
          </cell>
          <cell r="J191">
            <v>1355395.7281411346</v>
          </cell>
          <cell r="K191">
            <v>0</v>
          </cell>
          <cell r="L191">
            <v>-71214.741630682183</v>
          </cell>
          <cell r="M191">
            <v>12779.995692750903</v>
          </cell>
          <cell r="N191">
            <v>481.77210332232744</v>
          </cell>
          <cell r="O191">
            <v>-217.41848302270282</v>
          </cell>
          <cell r="P191">
            <v>0</v>
          </cell>
          <cell r="Q191">
            <v>0</v>
          </cell>
          <cell r="R191">
            <v>0</v>
          </cell>
          <cell r="S191">
            <v>3928328.8037288059</v>
          </cell>
          <cell r="T191">
            <v>1197255</v>
          </cell>
          <cell r="U191">
            <v>6776978.640705673</v>
          </cell>
          <cell r="V191">
            <v>51119.982771003612</v>
          </cell>
          <cell r="W191">
            <v>0</v>
          </cell>
          <cell r="X191">
            <v>8025353.6234766766</v>
          </cell>
          <cell r="Y191">
            <v>915.47999999998137</v>
          </cell>
          <cell r="Z191">
            <v>0</v>
          </cell>
          <cell r="AA191">
            <v>0</v>
          </cell>
          <cell r="AB191">
            <v>92733.246529764874</v>
          </cell>
          <cell r="AC191">
            <v>93648.726529764856</v>
          </cell>
          <cell r="AD191" t="str">
            <v>N/A</v>
          </cell>
          <cell r="AE191">
            <v>1588897</v>
          </cell>
          <cell r="AF191">
            <v>1588897</v>
          </cell>
          <cell r="AG191">
            <v>1588897</v>
          </cell>
          <cell r="AH191">
            <v>1588897</v>
          </cell>
          <cell r="AI191">
            <v>1576117</v>
          </cell>
          <cell r="AJ191">
            <v>0</v>
          </cell>
          <cell r="AK191">
            <v>7931705</v>
          </cell>
          <cell r="AL191">
            <v>29340800</v>
          </cell>
          <cell r="AM191">
            <v>3928328.8037288059</v>
          </cell>
          <cell r="AN191">
            <v>-816379.52</v>
          </cell>
          <cell r="AO191">
            <v>6735365.3769469121</v>
          </cell>
          <cell r="AP191">
            <v>0</v>
          </cell>
          <cell r="AQ191">
            <v>1196339.52</v>
          </cell>
          <cell r="AR191">
            <v>0</v>
          </cell>
          <cell r="AS191">
            <v>0</v>
          </cell>
          <cell r="AT191">
            <v>40384454.180675723</v>
          </cell>
          <cell r="AU191">
            <v>8.8497206143644657E-4</v>
          </cell>
          <cell r="AV191">
            <v>0</v>
          </cell>
          <cell r="AW191">
            <v>0</v>
          </cell>
          <cell r="AY191">
            <v>0</v>
          </cell>
          <cell r="AZ191">
            <v>0</v>
          </cell>
          <cell r="BA191">
            <v>0</v>
          </cell>
          <cell r="BB191">
            <v>0</v>
          </cell>
          <cell r="BC191">
            <v>0</v>
          </cell>
          <cell r="BD191">
            <v>0</v>
          </cell>
          <cell r="BE191">
            <v>0</v>
          </cell>
          <cell r="BF191">
            <v>0</v>
          </cell>
          <cell r="BG191">
            <v>0</v>
          </cell>
          <cell r="BH191">
            <v>0</v>
          </cell>
          <cell r="BJ191">
            <v>0</v>
          </cell>
          <cell r="BL191">
            <v>0</v>
          </cell>
          <cell r="BM191">
            <v>0</v>
          </cell>
          <cell r="BN191">
            <v>0</v>
          </cell>
          <cell r="BO191">
            <v>0</v>
          </cell>
          <cell r="BQ191">
            <v>0</v>
          </cell>
          <cell r="BR191">
            <v>0</v>
          </cell>
          <cell r="BS191">
            <v>0</v>
          </cell>
          <cell r="BT191">
            <v>0</v>
          </cell>
          <cell r="CB191">
            <v>0</v>
          </cell>
          <cell r="CC191">
            <v>0</v>
          </cell>
          <cell r="CD191">
            <v>0</v>
          </cell>
          <cell r="CE191">
            <v>0</v>
          </cell>
          <cell r="CF191">
            <v>0</v>
          </cell>
          <cell r="CI191">
            <v>0</v>
          </cell>
          <cell r="CJ191">
            <v>0</v>
          </cell>
          <cell r="CK191">
            <v>0</v>
          </cell>
          <cell r="CV191">
            <v>9.2830572145810521E-4</v>
          </cell>
          <cell r="DG191">
            <v>40384454</v>
          </cell>
          <cell r="DR191">
            <v>14071193.000000006</v>
          </cell>
          <cell r="EC191">
            <v>2.8700092451293919</v>
          </cell>
          <cell r="EN191">
            <v>2.4095909012463064E-2</v>
          </cell>
        </row>
        <row r="192">
          <cell r="B192">
            <v>35500</v>
          </cell>
          <cell r="C192" t="str">
            <v>Lincoln County Schools</v>
          </cell>
          <cell r="D192">
            <v>3.816186104927143E-3</v>
          </cell>
          <cell r="E192">
            <v>6602891.7778218575</v>
          </cell>
          <cell r="F192">
            <v>5148426.1454292098</v>
          </cell>
          <cell r="G192">
            <v>21964</v>
          </cell>
          <cell r="H192">
            <v>-1842441.4285352109</v>
          </cell>
          <cell r="I192">
            <v>-76243.702627581617</v>
          </cell>
          <cell r="J192">
            <v>5571916.907164338</v>
          </cell>
          <cell r="K192">
            <v>0</v>
          </cell>
          <cell r="L192">
            <v>-292757.76416643674</v>
          </cell>
          <cell r="M192">
            <v>52537.478608986232</v>
          </cell>
          <cell r="N192">
            <v>1980.5242647350888</v>
          </cell>
          <cell r="O192">
            <v>-893.78894763498613</v>
          </cell>
          <cell r="P192">
            <v>0</v>
          </cell>
          <cell r="Q192">
            <v>0</v>
          </cell>
          <cell r="R192">
            <v>0</v>
          </cell>
          <cell r="S192">
            <v>15187380.149012258</v>
          </cell>
          <cell r="T192">
            <v>262040</v>
          </cell>
          <cell r="U192">
            <v>27859584.535821691</v>
          </cell>
          <cell r="V192">
            <v>210149.91443594493</v>
          </cell>
          <cell r="W192">
            <v>0</v>
          </cell>
          <cell r="X192">
            <v>28331774.450257637</v>
          </cell>
          <cell r="Y192">
            <v>152220.91999999946</v>
          </cell>
          <cell r="Z192">
            <v>0</v>
          </cell>
          <cell r="AA192">
            <v>0</v>
          </cell>
          <cell r="AB192">
            <v>381218.51313790807</v>
          </cell>
          <cell r="AC192">
            <v>533439.43313790753</v>
          </cell>
          <cell r="AD192" t="str">
            <v>N/A</v>
          </cell>
          <cell r="AE192">
            <v>5570175</v>
          </cell>
          <cell r="AF192">
            <v>5570175</v>
          </cell>
          <cell r="AG192">
            <v>5570175</v>
          </cell>
          <cell r="AH192">
            <v>5570175</v>
          </cell>
          <cell r="AI192">
            <v>5517637</v>
          </cell>
          <cell r="AJ192">
            <v>0</v>
          </cell>
          <cell r="AK192">
            <v>27798337</v>
          </cell>
          <cell r="AL192">
            <v>126209268</v>
          </cell>
          <cell r="AM192">
            <v>15187380.149012258</v>
          </cell>
          <cell r="AN192">
            <v>-3177916.0800000005</v>
          </cell>
          <cell r="AO192">
            <v>27688515.93711973</v>
          </cell>
          <cell r="AP192">
            <v>0</v>
          </cell>
          <cell r="AQ192">
            <v>109819.08000000054</v>
          </cell>
          <cell r="AR192">
            <v>0</v>
          </cell>
          <cell r="AS192">
            <v>0</v>
          </cell>
          <cell r="AT192">
            <v>166017067.08613199</v>
          </cell>
          <cell r="AU192">
            <v>3.8067017956261722E-3</v>
          </cell>
          <cell r="AV192">
            <v>0</v>
          </cell>
          <cell r="AW192">
            <v>0</v>
          </cell>
          <cell r="AY192">
            <v>0</v>
          </cell>
          <cell r="AZ192">
            <v>0</v>
          </cell>
          <cell r="BA192">
            <v>0</v>
          </cell>
          <cell r="BB192">
            <v>0</v>
          </cell>
          <cell r="BC192">
            <v>0</v>
          </cell>
          <cell r="BD192">
            <v>0</v>
          </cell>
          <cell r="BE192">
            <v>0</v>
          </cell>
          <cell r="BF192">
            <v>0</v>
          </cell>
          <cell r="BG192">
            <v>0</v>
          </cell>
          <cell r="BH192">
            <v>0</v>
          </cell>
          <cell r="BJ192">
            <v>0</v>
          </cell>
          <cell r="BL192">
            <v>0</v>
          </cell>
          <cell r="BM192">
            <v>0</v>
          </cell>
          <cell r="BN192">
            <v>0</v>
          </cell>
          <cell r="BO192">
            <v>0</v>
          </cell>
          <cell r="BQ192">
            <v>0</v>
          </cell>
          <cell r="BR192">
            <v>0</v>
          </cell>
          <cell r="BS192">
            <v>0</v>
          </cell>
          <cell r="BT192">
            <v>0</v>
          </cell>
          <cell r="CB192">
            <v>0</v>
          </cell>
          <cell r="CC192">
            <v>0</v>
          </cell>
          <cell r="CD192">
            <v>0</v>
          </cell>
          <cell r="CE192">
            <v>0</v>
          </cell>
          <cell r="CF192">
            <v>0</v>
          </cell>
          <cell r="CI192">
            <v>0</v>
          </cell>
          <cell r="CJ192">
            <v>0</v>
          </cell>
          <cell r="CK192">
            <v>0</v>
          </cell>
          <cell r="CV192">
            <v>3.816186104927143E-3</v>
          </cell>
          <cell r="DG192">
            <v>166017067</v>
          </cell>
          <cell r="DR192">
            <v>55798882.090000018</v>
          </cell>
          <cell r="EC192">
            <v>2.9752758618394024</v>
          </cell>
          <cell r="EN192">
            <v>2.4095909012463064E-2</v>
          </cell>
        </row>
        <row r="193">
          <cell r="B193">
            <v>35600</v>
          </cell>
          <cell r="C193" t="str">
            <v>Macon County Schools</v>
          </cell>
          <cell r="D193">
            <v>1.4624347078516144E-3</v>
          </cell>
          <cell r="E193">
            <v>2530353.039021688</v>
          </cell>
          <cell r="F193">
            <v>1972974.293933216</v>
          </cell>
          <cell r="G193">
            <v>-123243</v>
          </cell>
          <cell r="H193">
            <v>-706058.40967628697</v>
          </cell>
          <cell r="I193">
            <v>-29218.02918199699</v>
          </cell>
          <cell r="J193">
            <v>2135263.9651880707</v>
          </cell>
          <cell r="K193">
            <v>0</v>
          </cell>
          <cell r="L193">
            <v>-112190.3134538583</v>
          </cell>
          <cell r="M193">
            <v>20133.355677175517</v>
          </cell>
          <cell r="N193">
            <v>758.97436468083083</v>
          </cell>
          <cell r="O193">
            <v>-342.51683292592662</v>
          </cell>
          <cell r="P193">
            <v>0</v>
          </cell>
          <cell r="Q193">
            <v>0</v>
          </cell>
          <cell r="R193">
            <v>0</v>
          </cell>
          <cell r="S193">
            <v>5688431.359039763</v>
          </cell>
          <cell r="T193">
            <v>14387.350000000326</v>
          </cell>
          <cell r="U193">
            <v>10676319.825940352</v>
          </cell>
          <cell r="V193">
            <v>80533.42270870207</v>
          </cell>
          <cell r="W193">
            <v>0</v>
          </cell>
          <cell r="X193">
            <v>10771240.598649053</v>
          </cell>
          <cell r="Y193">
            <v>630600</v>
          </cell>
          <cell r="Z193">
            <v>0</v>
          </cell>
          <cell r="AA193">
            <v>0</v>
          </cell>
          <cell r="AB193">
            <v>146090.14590998495</v>
          </cell>
          <cell r="AC193">
            <v>776690.14590998495</v>
          </cell>
          <cell r="AD193" t="str">
            <v>N/A</v>
          </cell>
          <cell r="AE193">
            <v>2002936</v>
          </cell>
          <cell r="AF193">
            <v>2002937</v>
          </cell>
          <cell r="AG193">
            <v>2002937</v>
          </cell>
          <cell r="AH193">
            <v>2002937</v>
          </cell>
          <cell r="AI193">
            <v>1982804</v>
          </cell>
          <cell r="AJ193">
            <v>0</v>
          </cell>
          <cell r="AK193">
            <v>9994551</v>
          </cell>
          <cell r="AL193">
            <v>49243001</v>
          </cell>
          <cell r="AM193">
            <v>5688431.359039763</v>
          </cell>
          <cell r="AN193">
            <v>-1305102.3500000003</v>
          </cell>
          <cell r="AO193">
            <v>10610763.102739071</v>
          </cell>
          <cell r="AP193">
            <v>0</v>
          </cell>
          <cell r="AQ193">
            <v>-616212.64999999967</v>
          </cell>
          <cell r="AR193">
            <v>0</v>
          </cell>
          <cell r="AS193">
            <v>0</v>
          </cell>
          <cell r="AT193">
            <v>63620880.461778834</v>
          </cell>
          <cell r="AU193">
            <v>1.4852587410871857E-3</v>
          </cell>
          <cell r="AV193">
            <v>0</v>
          </cell>
          <cell r="AW193">
            <v>0</v>
          </cell>
          <cell r="AY193">
            <v>0</v>
          </cell>
          <cell r="AZ193">
            <v>0</v>
          </cell>
          <cell r="BA193">
            <v>0</v>
          </cell>
          <cell r="BB193">
            <v>0</v>
          </cell>
          <cell r="BC193">
            <v>0</v>
          </cell>
          <cell r="BD193">
            <v>0</v>
          </cell>
          <cell r="BE193">
            <v>0</v>
          </cell>
          <cell r="BF193">
            <v>0</v>
          </cell>
          <cell r="BG193">
            <v>0</v>
          </cell>
          <cell r="BH193">
            <v>0</v>
          </cell>
          <cell r="BJ193">
            <v>0</v>
          </cell>
          <cell r="BL193">
            <v>0</v>
          </cell>
          <cell r="BM193">
            <v>0</v>
          </cell>
          <cell r="BN193">
            <v>0</v>
          </cell>
          <cell r="BO193">
            <v>0</v>
          </cell>
          <cell r="BQ193">
            <v>0</v>
          </cell>
          <cell r="BR193">
            <v>0</v>
          </cell>
          <cell r="BS193">
            <v>0</v>
          </cell>
          <cell r="BT193">
            <v>0</v>
          </cell>
          <cell r="CB193">
            <v>0</v>
          </cell>
          <cell r="CC193">
            <v>0</v>
          </cell>
          <cell r="CD193">
            <v>0</v>
          </cell>
          <cell r="CE193">
            <v>0</v>
          </cell>
          <cell r="CF193">
            <v>0</v>
          </cell>
          <cell r="CI193">
            <v>0</v>
          </cell>
          <cell r="CJ193">
            <v>0</v>
          </cell>
          <cell r="CK193">
            <v>0</v>
          </cell>
          <cell r="CV193">
            <v>1.4624347078516144E-3</v>
          </cell>
          <cell r="DG193">
            <v>63620881</v>
          </cell>
          <cell r="DR193">
            <v>22403744.750000019</v>
          </cell>
          <cell r="EC193">
            <v>2.8397431639190565</v>
          </cell>
          <cell r="EN193">
            <v>2.4095909012463064E-2</v>
          </cell>
        </row>
        <row r="194">
          <cell r="B194">
            <v>35700</v>
          </cell>
          <cell r="C194" t="str">
            <v>Madison County Schools</v>
          </cell>
          <cell r="D194">
            <v>8.2385240165957683E-4</v>
          </cell>
          <cell r="E194">
            <v>1425456.7517117104</v>
          </cell>
          <cell r="F194">
            <v>1111461.3197722416</v>
          </cell>
          <cell r="G194">
            <v>-334675</v>
          </cell>
          <cell r="H194">
            <v>-397753.08490748104</v>
          </cell>
          <cell r="I194">
            <v>-16459.773133194958</v>
          </cell>
          <cell r="J194">
            <v>1202886.0751544978</v>
          </cell>
          <cell r="K194">
            <v>0</v>
          </cell>
          <cell r="L194">
            <v>-63201.631283548624</v>
          </cell>
          <cell r="M194">
            <v>11341.985621002174</v>
          </cell>
          <cell r="N194">
            <v>427.5629194132872</v>
          </cell>
          <cell r="O194">
            <v>-192.95447099268949</v>
          </cell>
          <cell r="P194">
            <v>0</v>
          </cell>
          <cell r="Q194">
            <v>0</v>
          </cell>
          <cell r="R194">
            <v>0</v>
          </cell>
          <cell r="S194">
            <v>2939291.2513836478</v>
          </cell>
          <cell r="T194">
            <v>12655.170000000042</v>
          </cell>
          <cell r="U194">
            <v>6014430.3757724883</v>
          </cell>
          <cell r="V194">
            <v>45367.942484008694</v>
          </cell>
          <cell r="W194">
            <v>0</v>
          </cell>
          <cell r="X194">
            <v>6072453.4882564973</v>
          </cell>
          <cell r="Y194">
            <v>1686031</v>
          </cell>
          <cell r="Z194">
            <v>0</v>
          </cell>
          <cell r="AA194">
            <v>0</v>
          </cell>
          <cell r="AB194">
            <v>82298.865665974779</v>
          </cell>
          <cell r="AC194">
            <v>1768329.8656659748</v>
          </cell>
          <cell r="AD194" t="str">
            <v>N/A</v>
          </cell>
          <cell r="AE194">
            <v>863093</v>
          </cell>
          <cell r="AF194">
            <v>863093</v>
          </cell>
          <cell r="AG194">
            <v>863093</v>
          </cell>
          <cell r="AH194">
            <v>863093</v>
          </cell>
          <cell r="AI194">
            <v>851751</v>
          </cell>
          <cell r="AJ194">
            <v>0</v>
          </cell>
          <cell r="AK194">
            <v>4304123</v>
          </cell>
          <cell r="AL194">
            <v>29337646</v>
          </cell>
          <cell r="AM194">
            <v>2939291.2513836478</v>
          </cell>
          <cell r="AN194">
            <v>-740681.17</v>
          </cell>
          <cell r="AO194">
            <v>5977499.4525905233</v>
          </cell>
          <cell r="AP194">
            <v>0</v>
          </cell>
          <cell r="AQ194">
            <v>-1673375.83</v>
          </cell>
          <cell r="AR194">
            <v>0</v>
          </cell>
          <cell r="AS194">
            <v>0</v>
          </cell>
          <cell r="AT194">
            <v>35840379.703974172</v>
          </cell>
          <cell r="AU194">
            <v>8.8487693575365961E-4</v>
          </cell>
          <cell r="AV194">
            <v>0</v>
          </cell>
          <cell r="AW194">
            <v>0</v>
          </cell>
          <cell r="AY194">
            <v>0</v>
          </cell>
          <cell r="AZ194">
            <v>0</v>
          </cell>
          <cell r="BA194">
            <v>0</v>
          </cell>
          <cell r="BB194">
            <v>0</v>
          </cell>
          <cell r="BC194">
            <v>0</v>
          </cell>
          <cell r="BD194">
            <v>0</v>
          </cell>
          <cell r="BE194">
            <v>0</v>
          </cell>
          <cell r="BF194">
            <v>0</v>
          </cell>
          <cell r="BG194">
            <v>0</v>
          </cell>
          <cell r="BH194">
            <v>0</v>
          </cell>
          <cell r="BJ194">
            <v>0</v>
          </cell>
          <cell r="BL194">
            <v>0</v>
          </cell>
          <cell r="BM194">
            <v>0</v>
          </cell>
          <cell r="BN194">
            <v>0</v>
          </cell>
          <cell r="BO194">
            <v>0</v>
          </cell>
          <cell r="BQ194">
            <v>0</v>
          </cell>
          <cell r="BR194">
            <v>0</v>
          </cell>
          <cell r="BS194">
            <v>0</v>
          </cell>
          <cell r="BT194">
            <v>0</v>
          </cell>
          <cell r="CB194">
            <v>0</v>
          </cell>
          <cell r="CC194">
            <v>0</v>
          </cell>
          <cell r="CD194">
            <v>0</v>
          </cell>
          <cell r="CE194">
            <v>0</v>
          </cell>
          <cell r="CF194">
            <v>0</v>
          </cell>
          <cell r="CI194">
            <v>0</v>
          </cell>
          <cell r="CJ194">
            <v>0</v>
          </cell>
          <cell r="CK194">
            <v>0</v>
          </cell>
          <cell r="CV194">
            <v>8.2385240165957683E-4</v>
          </cell>
          <cell r="DG194">
            <v>35840380</v>
          </cell>
          <cell r="DR194">
            <v>12609939.180000005</v>
          </cell>
          <cell r="EC194">
            <v>2.8422325824413677</v>
          </cell>
          <cell r="EN194">
            <v>2.4095909012463064E-2</v>
          </cell>
        </row>
        <row r="195">
          <cell r="B195">
            <v>35800</v>
          </cell>
          <cell r="C195" t="str">
            <v>Martin County Schools</v>
          </cell>
          <cell r="D195">
            <v>1.1867186442876363E-3</v>
          </cell>
          <cell r="E195">
            <v>2053299.9606171807</v>
          </cell>
          <cell r="F195">
            <v>1601005.0682880459</v>
          </cell>
          <cell r="G195">
            <v>-339263</v>
          </cell>
          <cell r="H195">
            <v>-572943.64953210903</v>
          </cell>
          <cell r="I195">
            <v>-23709.489246568268</v>
          </cell>
          <cell r="J195">
            <v>1732697.9073730635</v>
          </cell>
          <cell r="K195">
            <v>0</v>
          </cell>
          <cell r="L195">
            <v>-91038.824481780917</v>
          </cell>
          <cell r="M195">
            <v>16337.569414827356</v>
          </cell>
          <cell r="N195">
            <v>615.88324201239743</v>
          </cell>
          <cell r="O195">
            <v>-277.94137367860731</v>
          </cell>
          <cell r="P195">
            <v>0</v>
          </cell>
          <cell r="Q195">
            <v>0</v>
          </cell>
          <cell r="R195">
            <v>0</v>
          </cell>
          <cell r="S195">
            <v>4376723.4843009925</v>
          </cell>
          <cell r="T195">
            <v>73051.520000000019</v>
          </cell>
          <cell r="U195">
            <v>8663489.5368653163</v>
          </cell>
          <cell r="V195">
            <v>65350.277659309424</v>
          </cell>
          <cell r="W195">
            <v>0</v>
          </cell>
          <cell r="X195">
            <v>8801891.3345246259</v>
          </cell>
          <cell r="Y195">
            <v>1769364</v>
          </cell>
          <cell r="Z195">
            <v>0</v>
          </cell>
          <cell r="AA195">
            <v>0</v>
          </cell>
          <cell r="AB195">
            <v>118547.44623284134</v>
          </cell>
          <cell r="AC195">
            <v>1887911.4462328414</v>
          </cell>
          <cell r="AD195" t="str">
            <v>N/A</v>
          </cell>
          <cell r="AE195">
            <v>1386063</v>
          </cell>
          <cell r="AF195">
            <v>1386063</v>
          </cell>
          <cell r="AG195">
            <v>1386063</v>
          </cell>
          <cell r="AH195">
            <v>1386063</v>
          </cell>
          <cell r="AI195">
            <v>1369725</v>
          </cell>
          <cell r="AJ195">
            <v>0</v>
          </cell>
          <cell r="AK195">
            <v>6913977</v>
          </cell>
          <cell r="AL195">
            <v>41468292</v>
          </cell>
          <cell r="AM195">
            <v>4376723.4843009925</v>
          </cell>
          <cell r="AN195">
            <v>-1132700.52</v>
          </cell>
          <cell r="AO195">
            <v>8610292.3682917859</v>
          </cell>
          <cell r="AP195">
            <v>0</v>
          </cell>
          <cell r="AQ195">
            <v>-1696312.48</v>
          </cell>
          <cell r="AR195">
            <v>0</v>
          </cell>
          <cell r="AS195">
            <v>0</v>
          </cell>
          <cell r="AT195">
            <v>51626294.852592781</v>
          </cell>
          <cell r="AU195">
            <v>1.2507593363649612E-3</v>
          </cell>
          <cell r="AV195">
            <v>0</v>
          </cell>
          <cell r="AW195">
            <v>0</v>
          </cell>
          <cell r="AY195">
            <v>0</v>
          </cell>
          <cell r="AZ195">
            <v>0</v>
          </cell>
          <cell r="BA195">
            <v>0</v>
          </cell>
          <cell r="BB195">
            <v>0</v>
          </cell>
          <cell r="BC195">
            <v>0</v>
          </cell>
          <cell r="BD195">
            <v>0</v>
          </cell>
          <cell r="BE195">
            <v>0</v>
          </cell>
          <cell r="BF195">
            <v>0</v>
          </cell>
          <cell r="BG195">
            <v>0</v>
          </cell>
          <cell r="BH195">
            <v>0</v>
          </cell>
          <cell r="BJ195">
            <v>0</v>
          </cell>
          <cell r="BL195">
            <v>0</v>
          </cell>
          <cell r="BM195">
            <v>0</v>
          </cell>
          <cell r="BN195">
            <v>0</v>
          </cell>
          <cell r="BO195">
            <v>0</v>
          </cell>
          <cell r="BQ195">
            <v>0</v>
          </cell>
          <cell r="BR195">
            <v>0</v>
          </cell>
          <cell r="BS195">
            <v>0</v>
          </cell>
          <cell r="BT195">
            <v>0</v>
          </cell>
          <cell r="CB195">
            <v>0</v>
          </cell>
          <cell r="CC195">
            <v>0</v>
          </cell>
          <cell r="CD195">
            <v>0</v>
          </cell>
          <cell r="CE195">
            <v>0</v>
          </cell>
          <cell r="CF195">
            <v>0</v>
          </cell>
          <cell r="CI195">
            <v>0</v>
          </cell>
          <cell r="CJ195">
            <v>0</v>
          </cell>
          <cell r="CK195">
            <v>0</v>
          </cell>
          <cell r="CV195">
            <v>1.1867186442876363E-3</v>
          </cell>
          <cell r="DG195">
            <v>51626295</v>
          </cell>
          <cell r="DR195">
            <v>19721483.920000002</v>
          </cell>
          <cell r="EC195">
            <v>2.6177692920787066</v>
          </cell>
          <cell r="EN195">
            <v>2.4095909012463064E-2</v>
          </cell>
        </row>
        <row r="196">
          <cell r="B196">
            <v>35805</v>
          </cell>
          <cell r="C196" t="str">
            <v>Martin Community College</v>
          </cell>
          <cell r="D196">
            <v>1.8563772340785819E-4</v>
          </cell>
          <cell r="E196">
            <v>321196.54645792395</v>
          </cell>
          <cell r="F196">
            <v>250444.31337795561</v>
          </cell>
          <cell r="G196">
            <v>24617</v>
          </cell>
          <cell r="H196">
            <v>-89625.24963444582</v>
          </cell>
          <cell r="I196">
            <v>-3708.8619346147434</v>
          </cell>
          <cell r="J196">
            <v>271044.94938762678</v>
          </cell>
          <cell r="K196">
            <v>0</v>
          </cell>
          <cell r="L196">
            <v>-14241.151598886587</v>
          </cell>
          <cell r="M196">
            <v>2555.6767029702946</v>
          </cell>
          <cell r="N196">
            <v>96.342265694210241</v>
          </cell>
          <cell r="O196">
            <v>-43.478211199354469</v>
          </cell>
          <cell r="P196">
            <v>0</v>
          </cell>
          <cell r="Q196">
            <v>0</v>
          </cell>
          <cell r="R196">
            <v>0</v>
          </cell>
          <cell r="S196">
            <v>762336.08681302425</v>
          </cell>
          <cell r="T196">
            <v>123083.18</v>
          </cell>
          <cell r="U196">
            <v>1355224.7469381338</v>
          </cell>
          <cell r="V196">
            <v>10222.706811881179</v>
          </cell>
          <cell r="W196">
            <v>0</v>
          </cell>
          <cell r="X196">
            <v>1488530.6337500149</v>
          </cell>
          <cell r="Y196">
            <v>0</v>
          </cell>
          <cell r="Z196">
            <v>0</v>
          </cell>
          <cell r="AA196">
            <v>0</v>
          </cell>
          <cell r="AB196">
            <v>18544.309673073716</v>
          </cell>
          <cell r="AC196">
            <v>18544.309673073716</v>
          </cell>
          <cell r="AD196" t="str">
            <v>N/A</v>
          </cell>
          <cell r="AE196">
            <v>294509</v>
          </cell>
          <cell r="AF196">
            <v>294509</v>
          </cell>
          <cell r="AG196">
            <v>294509</v>
          </cell>
          <cell r="AH196">
            <v>294509</v>
          </cell>
          <cell r="AI196">
            <v>291953</v>
          </cell>
          <cell r="AJ196">
            <v>0</v>
          </cell>
          <cell r="AK196">
            <v>1469989</v>
          </cell>
          <cell r="AL196">
            <v>6053909</v>
          </cell>
          <cell r="AM196">
            <v>762336.08681302425</v>
          </cell>
          <cell r="AN196">
            <v>-210359.18</v>
          </cell>
          <cell r="AO196">
            <v>1346903.1440769415</v>
          </cell>
          <cell r="AP196">
            <v>0</v>
          </cell>
          <cell r="AQ196">
            <v>123083.18</v>
          </cell>
          <cell r="AR196">
            <v>0</v>
          </cell>
          <cell r="AS196">
            <v>0</v>
          </cell>
          <cell r="AT196">
            <v>8075872.2308899658</v>
          </cell>
          <cell r="AU196">
            <v>1.8259693092330072E-4</v>
          </cell>
          <cell r="AV196">
            <v>0</v>
          </cell>
          <cell r="AW196">
            <v>0</v>
          </cell>
          <cell r="AY196">
            <v>0</v>
          </cell>
          <cell r="AZ196">
            <v>0</v>
          </cell>
          <cell r="BA196">
            <v>0</v>
          </cell>
          <cell r="BB196">
            <v>0</v>
          </cell>
          <cell r="BC196">
            <v>0</v>
          </cell>
          <cell r="BD196">
            <v>0</v>
          </cell>
          <cell r="BE196">
            <v>0</v>
          </cell>
          <cell r="BF196">
            <v>0</v>
          </cell>
          <cell r="BG196">
            <v>0</v>
          </cell>
          <cell r="BH196">
            <v>0</v>
          </cell>
          <cell r="BJ196">
            <v>0</v>
          </cell>
          <cell r="BL196">
            <v>0</v>
          </cell>
          <cell r="BM196">
            <v>0</v>
          </cell>
          <cell r="BN196">
            <v>0</v>
          </cell>
          <cell r="BO196">
            <v>0</v>
          </cell>
          <cell r="BQ196">
            <v>0</v>
          </cell>
          <cell r="BR196">
            <v>0</v>
          </cell>
          <cell r="BS196">
            <v>0</v>
          </cell>
          <cell r="BT196">
            <v>0</v>
          </cell>
          <cell r="CB196">
            <v>0</v>
          </cell>
          <cell r="CC196">
            <v>0</v>
          </cell>
          <cell r="CD196">
            <v>0</v>
          </cell>
          <cell r="CE196">
            <v>0</v>
          </cell>
          <cell r="CF196">
            <v>0</v>
          </cell>
          <cell r="CI196">
            <v>0</v>
          </cell>
          <cell r="CJ196">
            <v>0</v>
          </cell>
          <cell r="CK196">
            <v>0</v>
          </cell>
          <cell r="CV196">
            <v>1.8563772340785819E-4</v>
          </cell>
          <cell r="DG196">
            <v>8075872</v>
          </cell>
          <cell r="DR196">
            <v>3495280.6200000006</v>
          </cell>
          <cell r="EC196">
            <v>2.3105074750764931</v>
          </cell>
          <cell r="EN196">
            <v>2.4095909012463064E-2</v>
          </cell>
        </row>
        <row r="197">
          <cell r="B197">
            <v>35900</v>
          </cell>
          <cell r="C197" t="str">
            <v>Mcdowell County Schools</v>
          </cell>
          <cell r="D197">
            <v>2.225742813351026E-3</v>
          </cell>
          <cell r="E197">
            <v>3851054.0413233214</v>
          </cell>
          <cell r="F197">
            <v>3002755.1534927986</v>
          </cell>
          <cell r="G197">
            <v>-62690</v>
          </cell>
          <cell r="H197">
            <v>-1074580.9181810683</v>
          </cell>
          <cell r="I197">
            <v>-44468.185911455264</v>
          </cell>
          <cell r="J197">
            <v>3249750.8433087459</v>
          </cell>
          <cell r="K197">
            <v>0</v>
          </cell>
          <cell r="L197">
            <v>-170747.30417493652</v>
          </cell>
          <cell r="M197">
            <v>30641.827266903387</v>
          </cell>
          <cell r="N197">
            <v>1155.1160052729156</v>
          </cell>
          <cell r="O197">
            <v>-521.29122431494386</v>
          </cell>
          <cell r="P197">
            <v>0</v>
          </cell>
          <cell r="Q197">
            <v>0</v>
          </cell>
          <cell r="R197">
            <v>0</v>
          </cell>
          <cell r="S197">
            <v>8782349.2819052674</v>
          </cell>
          <cell r="T197">
            <v>0</v>
          </cell>
          <cell r="U197">
            <v>16248754.21654373</v>
          </cell>
          <cell r="V197">
            <v>122567.30906761355</v>
          </cell>
          <cell r="W197">
            <v>0</v>
          </cell>
          <cell r="X197">
            <v>16371321.525611345</v>
          </cell>
          <cell r="Y197">
            <v>313446.18000000017</v>
          </cell>
          <cell r="Z197">
            <v>0</v>
          </cell>
          <cell r="AA197">
            <v>0</v>
          </cell>
          <cell r="AB197">
            <v>222340.92955727631</v>
          </cell>
          <cell r="AC197">
            <v>535787.10955727648</v>
          </cell>
          <cell r="AD197" t="str">
            <v>N/A</v>
          </cell>
          <cell r="AE197">
            <v>3173235</v>
          </cell>
          <cell r="AF197">
            <v>3173234</v>
          </cell>
          <cell r="AG197">
            <v>3173234</v>
          </cell>
          <cell r="AH197">
            <v>3173234</v>
          </cell>
          <cell r="AI197">
            <v>3142593</v>
          </cell>
          <cell r="AJ197">
            <v>0</v>
          </cell>
          <cell r="AK197">
            <v>15835530</v>
          </cell>
          <cell r="AL197">
            <v>74108822</v>
          </cell>
          <cell r="AM197">
            <v>8782349.2819052674</v>
          </cell>
          <cell r="AN197">
            <v>-1899327.8199999998</v>
          </cell>
          <cell r="AO197">
            <v>16148980.596054068</v>
          </cell>
          <cell r="AP197">
            <v>0</v>
          </cell>
          <cell r="AQ197">
            <v>-313446.18000000017</v>
          </cell>
          <cell r="AR197">
            <v>0</v>
          </cell>
          <cell r="AS197">
            <v>0</v>
          </cell>
          <cell r="AT197">
            <v>96827377.877959326</v>
          </cell>
          <cell r="AU197">
            <v>2.2352572897208051E-3</v>
          </cell>
          <cell r="AV197">
            <v>0</v>
          </cell>
          <cell r="AW197">
            <v>0</v>
          </cell>
          <cell r="AY197">
            <v>0</v>
          </cell>
          <cell r="AZ197">
            <v>0</v>
          </cell>
          <cell r="BA197">
            <v>0</v>
          </cell>
          <cell r="BB197">
            <v>0</v>
          </cell>
          <cell r="BC197">
            <v>0</v>
          </cell>
          <cell r="BD197">
            <v>0</v>
          </cell>
          <cell r="BE197">
            <v>0</v>
          </cell>
          <cell r="BF197">
            <v>0</v>
          </cell>
          <cell r="BG197">
            <v>0</v>
          </cell>
          <cell r="BH197">
            <v>0</v>
          </cell>
          <cell r="BJ197">
            <v>0</v>
          </cell>
          <cell r="BL197">
            <v>0</v>
          </cell>
          <cell r="BM197">
            <v>0</v>
          </cell>
          <cell r="BN197">
            <v>0</v>
          </cell>
          <cell r="BO197">
            <v>0</v>
          </cell>
          <cell r="BQ197">
            <v>0</v>
          </cell>
          <cell r="BR197">
            <v>0</v>
          </cell>
          <cell r="BS197">
            <v>0</v>
          </cell>
          <cell r="BT197">
            <v>0</v>
          </cell>
          <cell r="CB197">
            <v>0</v>
          </cell>
          <cell r="CC197">
            <v>0</v>
          </cell>
          <cell r="CD197">
            <v>0</v>
          </cell>
          <cell r="CE197">
            <v>0</v>
          </cell>
          <cell r="CF197">
            <v>0</v>
          </cell>
          <cell r="CI197">
            <v>0</v>
          </cell>
          <cell r="CJ197">
            <v>0</v>
          </cell>
          <cell r="CK197">
            <v>0</v>
          </cell>
          <cell r="CV197">
            <v>2.225742813351026E-3</v>
          </cell>
          <cell r="DG197">
            <v>96827378</v>
          </cell>
          <cell r="DR197">
            <v>33198038.550000027</v>
          </cell>
          <cell r="EC197">
            <v>2.9166596048789732</v>
          </cell>
          <cell r="EN197">
            <v>2.4095909012463064E-2</v>
          </cell>
        </row>
        <row r="198">
          <cell r="B198">
            <v>35905</v>
          </cell>
          <cell r="C198" t="str">
            <v>Mcdowell Technical College</v>
          </cell>
          <cell r="D198">
            <v>2.9266541278908449E-4</v>
          </cell>
          <cell r="E198">
            <v>506379.40462675079</v>
          </cell>
          <cell r="F198">
            <v>394835.63475081656</v>
          </cell>
          <cell r="G198">
            <v>-132166</v>
          </cell>
          <cell r="H198">
            <v>-141297.84722128024</v>
          </cell>
          <cell r="I198">
            <v>-5847.1715185115136</v>
          </cell>
          <cell r="J198">
            <v>427313.37435464584</v>
          </cell>
          <cell r="K198">
            <v>0</v>
          </cell>
          <cell r="L198">
            <v>-22451.754065756031</v>
          </cell>
          <cell r="M198">
            <v>4029.1281507850367</v>
          </cell>
          <cell r="N198">
            <v>151.88749592927908</v>
          </cell>
          <cell r="O198">
            <v>-68.545166329331479</v>
          </cell>
          <cell r="P198">
            <v>0</v>
          </cell>
          <cell r="Q198">
            <v>0</v>
          </cell>
          <cell r="R198">
            <v>0</v>
          </cell>
          <cell r="S198">
            <v>1030878.1114070503</v>
          </cell>
          <cell r="T198">
            <v>57614.160000000033</v>
          </cell>
          <cell r="U198">
            <v>2136566.871773229</v>
          </cell>
          <cell r="V198">
            <v>16116.512603140147</v>
          </cell>
          <cell r="W198">
            <v>0</v>
          </cell>
          <cell r="X198">
            <v>2210297.5443763691</v>
          </cell>
          <cell r="Y198">
            <v>718445</v>
          </cell>
          <cell r="Z198">
            <v>0</v>
          </cell>
          <cell r="AA198">
            <v>0</v>
          </cell>
          <cell r="AB198">
            <v>29235.857592557564</v>
          </cell>
          <cell r="AC198">
            <v>747680.85759255756</v>
          </cell>
          <cell r="AD198" t="str">
            <v>N/A</v>
          </cell>
          <cell r="AE198">
            <v>293329</v>
          </cell>
          <cell r="AF198">
            <v>293329</v>
          </cell>
          <cell r="AG198">
            <v>293329</v>
          </cell>
          <cell r="AH198">
            <v>293329</v>
          </cell>
          <cell r="AI198">
            <v>289300</v>
          </cell>
          <cell r="AJ198">
            <v>0</v>
          </cell>
          <cell r="AK198">
            <v>1462616</v>
          </cell>
          <cell r="AL198">
            <v>10565307</v>
          </cell>
          <cell r="AM198">
            <v>1030878.1114070503</v>
          </cell>
          <cell r="AN198">
            <v>-326862.16000000003</v>
          </cell>
          <cell r="AO198">
            <v>2123447.5267838119</v>
          </cell>
          <cell r="AP198">
            <v>0</v>
          </cell>
          <cell r="AQ198">
            <v>-660830.84</v>
          </cell>
          <cell r="AR198">
            <v>0</v>
          </cell>
          <cell r="AS198">
            <v>0</v>
          </cell>
          <cell r="AT198">
            <v>12731939.638190862</v>
          </cell>
          <cell r="AU198">
            <v>3.1866893214690196E-4</v>
          </cell>
          <cell r="AV198">
            <v>0</v>
          </cell>
          <cell r="AW198">
            <v>0</v>
          </cell>
          <cell r="AY198">
            <v>0</v>
          </cell>
          <cell r="AZ198">
            <v>0</v>
          </cell>
          <cell r="BA198">
            <v>0</v>
          </cell>
          <cell r="BB198">
            <v>0</v>
          </cell>
          <cell r="BC198">
            <v>0</v>
          </cell>
          <cell r="BD198">
            <v>0</v>
          </cell>
          <cell r="BE198">
            <v>0</v>
          </cell>
          <cell r="BF198">
            <v>0</v>
          </cell>
          <cell r="BG198">
            <v>0</v>
          </cell>
          <cell r="BH198">
            <v>0</v>
          </cell>
          <cell r="BJ198">
            <v>0</v>
          </cell>
          <cell r="BL198">
            <v>0</v>
          </cell>
          <cell r="BM198">
            <v>0</v>
          </cell>
          <cell r="BN198">
            <v>0</v>
          </cell>
          <cell r="BO198">
            <v>0</v>
          </cell>
          <cell r="BQ198">
            <v>0</v>
          </cell>
          <cell r="BR198">
            <v>0</v>
          </cell>
          <cell r="BS198">
            <v>0</v>
          </cell>
          <cell r="BT198">
            <v>0</v>
          </cell>
          <cell r="CB198">
            <v>0</v>
          </cell>
          <cell r="CC198">
            <v>0</v>
          </cell>
          <cell r="CD198">
            <v>0</v>
          </cell>
          <cell r="CE198">
            <v>0</v>
          </cell>
          <cell r="CF198">
            <v>0</v>
          </cell>
          <cell r="CI198">
            <v>0</v>
          </cell>
          <cell r="CJ198">
            <v>0</v>
          </cell>
          <cell r="CK198">
            <v>0</v>
          </cell>
          <cell r="CV198">
            <v>2.9266541278908449E-4</v>
          </cell>
          <cell r="DG198">
            <v>12731940</v>
          </cell>
          <cell r="DR198">
            <v>5626005.3199999994</v>
          </cell>
          <cell r="EC198">
            <v>2.2630515393824764</v>
          </cell>
          <cell r="EN198">
            <v>2.4095909012463064E-2</v>
          </cell>
        </row>
        <row r="199">
          <cell r="B199">
            <v>36000</v>
          </cell>
          <cell r="C199" t="str">
            <v>Charlotte-Mecklenburg County Schools</v>
          </cell>
          <cell r="D199">
            <v>5.223530484919834E-2</v>
          </cell>
          <cell r="E199">
            <v>90379257.042909518</v>
          </cell>
          <cell r="F199">
            <v>70470779.413210034</v>
          </cell>
          <cell r="G199">
            <v>10876567</v>
          </cell>
          <cell r="H199">
            <v>-25219024.18806868</v>
          </cell>
          <cell r="I199">
            <v>-1043610.8041065739</v>
          </cell>
          <cell r="J199">
            <v>76267448.766282901</v>
          </cell>
          <cell r="K199">
            <v>0</v>
          </cell>
          <cell r="L199">
            <v>-4007218.3687423943</v>
          </cell>
          <cell r="M199">
            <v>719124.05100092094</v>
          </cell>
          <cell r="N199">
            <v>27109.078510636955</v>
          </cell>
          <cell r="O199">
            <v>-12234.030748730744</v>
          </cell>
          <cell r="P199">
            <v>0</v>
          </cell>
          <cell r="Q199">
            <v>0</v>
          </cell>
          <cell r="R199">
            <v>0</v>
          </cell>
          <cell r="S199">
            <v>218458197.96024761</v>
          </cell>
          <cell r="T199">
            <v>58077887</v>
          </cell>
          <cell r="U199">
            <v>381337243.83141446</v>
          </cell>
          <cell r="V199">
            <v>2876496.2040036838</v>
          </cell>
          <cell r="W199">
            <v>0</v>
          </cell>
          <cell r="X199">
            <v>442291627.03541815</v>
          </cell>
          <cell r="Y199">
            <v>3695054.8200000003</v>
          </cell>
          <cell r="Z199">
            <v>0</v>
          </cell>
          <cell r="AA199">
            <v>0</v>
          </cell>
          <cell r="AB199">
            <v>5218054.0205328697</v>
          </cell>
          <cell r="AC199">
            <v>8913108.8405328691</v>
          </cell>
          <cell r="AD199" t="str">
            <v>N/A</v>
          </cell>
          <cell r="AE199">
            <v>86819528</v>
          </cell>
          <cell r="AF199">
            <v>86819529</v>
          </cell>
          <cell r="AG199">
            <v>86819529</v>
          </cell>
          <cell r="AH199">
            <v>86819529</v>
          </cell>
          <cell r="AI199">
            <v>86100405</v>
          </cell>
          <cell r="AJ199">
            <v>0</v>
          </cell>
          <cell r="AK199">
            <v>433378520</v>
          </cell>
          <cell r="AL199">
            <v>1662141589</v>
          </cell>
          <cell r="AM199">
            <v>218458197.96024761</v>
          </cell>
          <cell r="AN199">
            <v>-41564996.18</v>
          </cell>
          <cell r="AO199">
            <v>378995686.01488531</v>
          </cell>
          <cell r="AP199">
            <v>0</v>
          </cell>
          <cell r="AQ199">
            <v>54382832.18</v>
          </cell>
          <cell r="AR199">
            <v>0</v>
          </cell>
          <cell r="AS199">
            <v>0</v>
          </cell>
          <cell r="AT199">
            <v>2272413308.9751325</v>
          </cell>
          <cell r="AU199">
            <v>5.0133222789853771E-2</v>
          </cell>
          <cell r="AV199">
            <v>0</v>
          </cell>
          <cell r="AW199">
            <v>0</v>
          </cell>
          <cell r="AY199">
            <v>0</v>
          </cell>
          <cell r="AZ199">
            <v>0</v>
          </cell>
          <cell r="BA199">
            <v>0</v>
          </cell>
          <cell r="BB199">
            <v>0</v>
          </cell>
          <cell r="BC199">
            <v>0</v>
          </cell>
          <cell r="BD199">
            <v>0</v>
          </cell>
          <cell r="BE199">
            <v>0</v>
          </cell>
          <cell r="BF199">
            <v>0</v>
          </cell>
          <cell r="BG199">
            <v>0</v>
          </cell>
          <cell r="BH199">
            <v>0</v>
          </cell>
          <cell r="BJ199">
            <v>0</v>
          </cell>
          <cell r="BL199">
            <v>0</v>
          </cell>
          <cell r="BM199">
            <v>0</v>
          </cell>
          <cell r="BN199">
            <v>0</v>
          </cell>
          <cell r="BO199">
            <v>0</v>
          </cell>
          <cell r="BQ199">
            <v>0</v>
          </cell>
          <cell r="BR199">
            <v>0</v>
          </cell>
          <cell r="BS199">
            <v>0</v>
          </cell>
          <cell r="BT199">
            <v>0</v>
          </cell>
          <cell r="CB199">
            <v>0</v>
          </cell>
          <cell r="CC199">
            <v>0</v>
          </cell>
          <cell r="CD199">
            <v>0</v>
          </cell>
          <cell r="CE199">
            <v>0</v>
          </cell>
          <cell r="CF199">
            <v>0</v>
          </cell>
          <cell r="CI199">
            <v>0</v>
          </cell>
          <cell r="CJ199">
            <v>0</v>
          </cell>
          <cell r="CK199">
            <v>0</v>
          </cell>
          <cell r="CV199">
            <v>5.223530484919834E-2</v>
          </cell>
          <cell r="DG199">
            <v>2272413309</v>
          </cell>
          <cell r="DR199">
            <v>714265233.25000679</v>
          </cell>
          <cell r="EC199">
            <v>3.1814698563168213</v>
          </cell>
          <cell r="EN199">
            <v>2.4095909012463064E-2</v>
          </cell>
        </row>
        <row r="200">
          <cell r="B200">
            <v>36001</v>
          </cell>
          <cell r="C200" t="str">
            <v>Community Charter School</v>
          </cell>
          <cell r="D200">
            <v>2.6673578625407405E-5</v>
          </cell>
          <cell r="E200">
            <v>46151.51047360932</v>
          </cell>
          <cell r="F200">
            <v>35985.391123851121</v>
          </cell>
          <cell r="G200">
            <v>-10042</v>
          </cell>
          <cell r="H200">
            <v>-12877.911337523759</v>
          </cell>
          <cell r="I200">
            <v>-532.91226916403377</v>
          </cell>
          <cell r="J200">
            <v>38945.418182199021</v>
          </cell>
          <cell r="K200">
            <v>0</v>
          </cell>
          <cell r="L200">
            <v>-2046.2569240555979</v>
          </cell>
          <cell r="M200">
            <v>367.2154679899208</v>
          </cell>
          <cell r="N200">
            <v>13.843053835013935</v>
          </cell>
          <cell r="O200">
            <v>-6.2472188498566679</v>
          </cell>
          <cell r="P200">
            <v>0</v>
          </cell>
          <cell r="Q200">
            <v>0</v>
          </cell>
          <cell r="R200">
            <v>0</v>
          </cell>
          <cell r="S200">
            <v>95958.050551891152</v>
          </cell>
          <cell r="T200">
            <v>0</v>
          </cell>
          <cell r="U200">
            <v>194727.09091099512</v>
          </cell>
          <cell r="V200">
            <v>1468.8618719596832</v>
          </cell>
          <cell r="W200">
            <v>0</v>
          </cell>
          <cell r="X200">
            <v>196195.95278295479</v>
          </cell>
          <cell r="Y200">
            <v>50209.94</v>
          </cell>
          <cell r="Z200">
            <v>0</v>
          </cell>
          <cell r="AA200">
            <v>0</v>
          </cell>
          <cell r="AB200">
            <v>2664.5613458201688</v>
          </cell>
          <cell r="AC200">
            <v>52874.501345820172</v>
          </cell>
          <cell r="AD200" t="str">
            <v>N/A</v>
          </cell>
          <cell r="AE200">
            <v>28738</v>
          </cell>
          <cell r="AF200">
            <v>28738</v>
          </cell>
          <cell r="AG200">
            <v>28738</v>
          </cell>
          <cell r="AH200">
            <v>28738</v>
          </cell>
          <cell r="AI200">
            <v>28371</v>
          </cell>
          <cell r="AJ200">
            <v>0</v>
          </cell>
          <cell r="AK200">
            <v>143323</v>
          </cell>
          <cell r="AL200">
            <v>941855</v>
          </cell>
          <cell r="AM200">
            <v>95958.050551891152</v>
          </cell>
          <cell r="AN200">
            <v>-20743.060000000001</v>
          </cell>
          <cell r="AO200">
            <v>193531.39143713465</v>
          </cell>
          <cell r="AP200">
            <v>0</v>
          </cell>
          <cell r="AQ200">
            <v>-50209.94</v>
          </cell>
          <cell r="AR200">
            <v>0</v>
          </cell>
          <cell r="AS200">
            <v>0</v>
          </cell>
          <cell r="AT200">
            <v>1160391.4419890258</v>
          </cell>
          <cell r="AU200">
            <v>2.8408073839590356E-5</v>
          </cell>
          <cell r="AV200">
            <v>0</v>
          </cell>
          <cell r="AW200">
            <v>0</v>
          </cell>
          <cell r="AY200">
            <v>0</v>
          </cell>
          <cell r="AZ200">
            <v>0</v>
          </cell>
          <cell r="BA200">
            <v>0</v>
          </cell>
          <cell r="BB200">
            <v>0</v>
          </cell>
          <cell r="BC200">
            <v>0</v>
          </cell>
          <cell r="BD200">
            <v>0</v>
          </cell>
          <cell r="BE200">
            <v>0</v>
          </cell>
          <cell r="BF200">
            <v>0</v>
          </cell>
          <cell r="BG200">
            <v>0</v>
          </cell>
          <cell r="BH200">
            <v>0</v>
          </cell>
          <cell r="BJ200">
            <v>0</v>
          </cell>
          <cell r="BL200">
            <v>0</v>
          </cell>
          <cell r="BM200">
            <v>0</v>
          </cell>
          <cell r="BN200">
            <v>0</v>
          </cell>
          <cell r="BO200">
            <v>0</v>
          </cell>
          <cell r="BQ200">
            <v>0</v>
          </cell>
          <cell r="BR200">
            <v>0</v>
          </cell>
          <cell r="BS200">
            <v>0</v>
          </cell>
          <cell r="BT200">
            <v>0</v>
          </cell>
          <cell r="CB200">
            <v>0</v>
          </cell>
          <cell r="CC200">
            <v>0</v>
          </cell>
          <cell r="CD200">
            <v>0</v>
          </cell>
          <cell r="CE200">
            <v>0</v>
          </cell>
          <cell r="CF200">
            <v>0</v>
          </cell>
          <cell r="CI200">
            <v>0</v>
          </cell>
          <cell r="CJ200">
            <v>0</v>
          </cell>
          <cell r="CK200">
            <v>0</v>
          </cell>
          <cell r="CV200">
            <v>2.6673578625407405E-5</v>
          </cell>
          <cell r="DG200">
            <v>1160391</v>
          </cell>
          <cell r="DR200">
            <v>353785.51</v>
          </cell>
          <cell r="EC200">
            <v>3.2799279993123518</v>
          </cell>
          <cell r="EN200">
            <v>2.4095909012463064E-2</v>
          </cell>
        </row>
        <row r="201">
          <cell r="B201">
            <v>36002</v>
          </cell>
          <cell r="C201" t="str">
            <v>Kennedy Charter</v>
          </cell>
          <cell r="D201">
            <v>1.4676337160561461E-4</v>
          </cell>
          <cell r="E201">
            <v>253934.85354630719</v>
          </cell>
          <cell r="F201">
            <v>197998.82888052042</v>
          </cell>
          <cell r="G201">
            <v>-293915</v>
          </cell>
          <cell r="H201">
            <v>-70856.8472823091</v>
          </cell>
          <cell r="I201">
            <v>-2932.1900330993858</v>
          </cell>
          <cell r="J201">
            <v>214285.49057027153</v>
          </cell>
          <cell r="K201">
            <v>0</v>
          </cell>
          <cell r="L201">
            <v>-11258.915407011558</v>
          </cell>
          <cell r="M201">
            <v>2020.4930483755541</v>
          </cell>
          <cell r="N201">
            <v>76.167254595881872</v>
          </cell>
          <cell r="O201">
            <v>-34.373449263750999</v>
          </cell>
          <cell r="P201">
            <v>0</v>
          </cell>
          <cell r="Q201">
            <v>0</v>
          </cell>
          <cell r="R201">
            <v>0</v>
          </cell>
          <cell r="S201">
            <v>289318.50712838676</v>
          </cell>
          <cell r="T201">
            <v>0</v>
          </cell>
          <cell r="U201">
            <v>1071427.4528513576</v>
          </cell>
          <cell r="V201">
            <v>8081.9721935022162</v>
          </cell>
          <cell r="W201">
            <v>0</v>
          </cell>
          <cell r="X201">
            <v>1079509.4250448598</v>
          </cell>
          <cell r="Y201">
            <v>1469574.41</v>
          </cell>
          <cell r="Z201">
            <v>0</v>
          </cell>
          <cell r="AA201">
            <v>0</v>
          </cell>
          <cell r="AB201">
            <v>14660.950165496928</v>
          </cell>
          <cell r="AC201">
            <v>1484235.3601654968</v>
          </cell>
          <cell r="AD201" t="str">
            <v>N/A</v>
          </cell>
          <cell r="AE201">
            <v>-80541</v>
          </cell>
          <cell r="AF201">
            <v>-80541</v>
          </cell>
          <cell r="AG201">
            <v>-80541</v>
          </cell>
          <cell r="AH201">
            <v>-80541</v>
          </cell>
          <cell r="AI201">
            <v>-82562</v>
          </cell>
          <cell r="AJ201">
            <v>0</v>
          </cell>
          <cell r="AK201">
            <v>-404726</v>
          </cell>
          <cell r="AL201">
            <v>6600441</v>
          </cell>
          <cell r="AM201">
            <v>289318.50712838676</v>
          </cell>
          <cell r="AN201">
            <v>-100328.58999999998</v>
          </cell>
          <cell r="AO201">
            <v>1064848.4748793631</v>
          </cell>
          <cell r="AP201">
            <v>0</v>
          </cell>
          <cell r="AQ201">
            <v>-1469574.41</v>
          </cell>
          <cell r="AR201">
            <v>0</v>
          </cell>
          <cell r="AS201">
            <v>0</v>
          </cell>
          <cell r="AT201">
            <v>6384704.9820077494</v>
          </cell>
          <cell r="AU201">
            <v>1.9908134100986438E-4</v>
          </cell>
          <cell r="AV201">
            <v>0</v>
          </cell>
          <cell r="AW201">
            <v>0</v>
          </cell>
          <cell r="AY201">
            <v>0</v>
          </cell>
          <cell r="AZ201">
            <v>0</v>
          </cell>
          <cell r="BA201">
            <v>0</v>
          </cell>
          <cell r="BB201">
            <v>0</v>
          </cell>
          <cell r="BC201">
            <v>0</v>
          </cell>
          <cell r="BD201">
            <v>0</v>
          </cell>
          <cell r="BE201">
            <v>0</v>
          </cell>
          <cell r="BF201">
            <v>0</v>
          </cell>
          <cell r="BG201">
            <v>0</v>
          </cell>
          <cell r="BH201">
            <v>0</v>
          </cell>
          <cell r="BJ201">
            <v>0</v>
          </cell>
          <cell r="BL201">
            <v>0</v>
          </cell>
          <cell r="BM201">
            <v>0</v>
          </cell>
          <cell r="BN201">
            <v>0</v>
          </cell>
          <cell r="BO201">
            <v>0</v>
          </cell>
          <cell r="BQ201">
            <v>0</v>
          </cell>
          <cell r="BR201">
            <v>0</v>
          </cell>
          <cell r="BS201">
            <v>0</v>
          </cell>
          <cell r="BT201">
            <v>0</v>
          </cell>
          <cell r="CB201">
            <v>0</v>
          </cell>
          <cell r="CC201">
            <v>0</v>
          </cell>
          <cell r="CD201">
            <v>0</v>
          </cell>
          <cell r="CE201">
            <v>0</v>
          </cell>
          <cell r="CF201">
            <v>0</v>
          </cell>
          <cell r="CI201">
            <v>0</v>
          </cell>
          <cell r="CJ201">
            <v>0</v>
          </cell>
          <cell r="CK201">
            <v>0</v>
          </cell>
          <cell r="CV201">
            <v>1.4676337160561461E-4</v>
          </cell>
          <cell r="DG201">
            <v>6384706</v>
          </cell>
          <cell r="DR201">
            <v>1857050.5799999996</v>
          </cell>
          <cell r="EC201">
            <v>3.438089446115141</v>
          </cell>
          <cell r="EN201">
            <v>2.4095909012463064E-2</v>
          </cell>
        </row>
        <row r="202">
          <cell r="B202">
            <v>36003</v>
          </cell>
          <cell r="C202" t="str">
            <v>Community School Of Davidson</v>
          </cell>
          <cell r="D202">
            <v>3.876324350915837E-4</v>
          </cell>
          <cell r="E202">
            <v>670694.49657569767</v>
          </cell>
          <cell r="F202">
            <v>522955.8802347774</v>
          </cell>
          <cell r="G202">
            <v>19404</v>
          </cell>
          <cell r="H202">
            <v>-187147.5965322071</v>
          </cell>
          <cell r="I202">
            <v>-7744.5206542127698</v>
          </cell>
          <cell r="J202">
            <v>565972.32406025787</v>
          </cell>
          <cell r="K202">
            <v>0</v>
          </cell>
          <cell r="L202">
            <v>-29737.125469139039</v>
          </cell>
          <cell r="M202">
            <v>5336.5402542814736</v>
          </cell>
          <cell r="N202">
            <v>201.1734811638301</v>
          </cell>
          <cell r="O202">
            <v>-90.787392622799814</v>
          </cell>
          <cell r="P202">
            <v>0</v>
          </cell>
          <cell r="Q202">
            <v>0</v>
          </cell>
          <cell r="R202">
            <v>0</v>
          </cell>
          <cell r="S202">
            <v>1559844.3845579964</v>
          </cell>
          <cell r="T202">
            <v>148457</v>
          </cell>
          <cell r="U202">
            <v>2829861.620301289</v>
          </cell>
          <cell r="V202">
            <v>21346.161017125894</v>
          </cell>
          <cell r="W202">
            <v>0</v>
          </cell>
          <cell r="X202">
            <v>2999664.781318415</v>
          </cell>
          <cell r="Y202">
            <v>51432.159999999974</v>
          </cell>
          <cell r="Z202">
            <v>0</v>
          </cell>
          <cell r="AA202">
            <v>0</v>
          </cell>
          <cell r="AB202">
            <v>38722.603271063846</v>
          </cell>
          <cell r="AC202">
            <v>90154.763271063828</v>
          </cell>
          <cell r="AD202" t="str">
            <v>N/A</v>
          </cell>
          <cell r="AE202">
            <v>582969</v>
          </cell>
          <cell r="AF202">
            <v>582969</v>
          </cell>
          <cell r="AG202">
            <v>582969</v>
          </cell>
          <cell r="AH202">
            <v>582969</v>
          </cell>
          <cell r="AI202">
            <v>577633</v>
          </cell>
          <cell r="AJ202">
            <v>0</v>
          </cell>
          <cell r="AK202">
            <v>2909509</v>
          </cell>
          <cell r="AL202">
            <v>12673609</v>
          </cell>
          <cell r="AM202">
            <v>1559844.3845579964</v>
          </cell>
          <cell r="AN202">
            <v>-279634.84000000003</v>
          </cell>
          <cell r="AO202">
            <v>2812485.1780473515</v>
          </cell>
          <cell r="AP202">
            <v>0</v>
          </cell>
          <cell r="AQ202">
            <v>97024.840000000026</v>
          </cell>
          <cell r="AR202">
            <v>0</v>
          </cell>
          <cell r="AS202">
            <v>0</v>
          </cell>
          <cell r="AT202">
            <v>16863328.562605347</v>
          </cell>
          <cell r="AU202">
            <v>3.8225918370144178E-4</v>
          </cell>
          <cell r="AV202">
            <v>0</v>
          </cell>
          <cell r="AW202">
            <v>0</v>
          </cell>
          <cell r="AY202">
            <v>0</v>
          </cell>
          <cell r="AZ202">
            <v>0</v>
          </cell>
          <cell r="BA202">
            <v>0</v>
          </cell>
          <cell r="BB202">
            <v>0</v>
          </cell>
          <cell r="BC202">
            <v>0</v>
          </cell>
          <cell r="BD202">
            <v>0</v>
          </cell>
          <cell r="BE202">
            <v>0</v>
          </cell>
          <cell r="BF202">
            <v>0</v>
          </cell>
          <cell r="BG202">
            <v>0</v>
          </cell>
          <cell r="BH202">
            <v>0</v>
          </cell>
          <cell r="BJ202">
            <v>0</v>
          </cell>
          <cell r="BL202">
            <v>0</v>
          </cell>
          <cell r="BM202">
            <v>0</v>
          </cell>
          <cell r="BN202">
            <v>0</v>
          </cell>
          <cell r="BO202">
            <v>0</v>
          </cell>
          <cell r="BQ202">
            <v>0</v>
          </cell>
          <cell r="BR202">
            <v>0</v>
          </cell>
          <cell r="BS202">
            <v>0</v>
          </cell>
          <cell r="BT202">
            <v>0</v>
          </cell>
          <cell r="CB202">
            <v>0</v>
          </cell>
          <cell r="CC202">
            <v>0</v>
          </cell>
          <cell r="CD202">
            <v>0</v>
          </cell>
          <cell r="CE202">
            <v>0</v>
          </cell>
          <cell r="CF202">
            <v>0</v>
          </cell>
          <cell r="CI202">
            <v>0</v>
          </cell>
          <cell r="CJ202">
            <v>0</v>
          </cell>
          <cell r="CK202">
            <v>0</v>
          </cell>
          <cell r="CV202">
            <v>3.876324350915837E-4</v>
          </cell>
          <cell r="DG202">
            <v>16863328</v>
          </cell>
          <cell r="DR202">
            <v>4819997.4300000006</v>
          </cell>
          <cell r="EC202">
            <v>3.4986176330803556</v>
          </cell>
          <cell r="EN202">
            <v>2.4095909012463064E-2</v>
          </cell>
        </row>
        <row r="203">
          <cell r="B203">
            <v>36004</v>
          </cell>
          <cell r="C203" t="str">
            <v>Corvian Community School</v>
          </cell>
          <cell r="D203">
            <v>1.9730645184590787E-4</v>
          </cell>
          <cell r="E203">
            <v>341386.1674414911</v>
          </cell>
          <cell r="F203">
            <v>266186.62387397769</v>
          </cell>
          <cell r="G203">
            <v>221317</v>
          </cell>
          <cell r="H203">
            <v>-95258.871292685188</v>
          </cell>
          <cell r="I203">
            <v>-3941.9918283387419</v>
          </cell>
          <cell r="J203">
            <v>288082.16494300379</v>
          </cell>
          <cell r="K203">
            <v>0</v>
          </cell>
          <cell r="L203">
            <v>-15136.315187417593</v>
          </cell>
          <cell r="M203">
            <v>2716.3202234518012</v>
          </cell>
          <cell r="N203">
            <v>102.39810237898926</v>
          </cell>
          <cell r="O203">
            <v>-46.211144086830082</v>
          </cell>
          <cell r="P203">
            <v>0</v>
          </cell>
          <cell r="Q203">
            <v>0</v>
          </cell>
          <cell r="R203">
            <v>0</v>
          </cell>
          <cell r="S203">
            <v>1005407.2851317751</v>
          </cell>
          <cell r="T203">
            <v>1142128</v>
          </cell>
          <cell r="U203">
            <v>1440410.824715019</v>
          </cell>
          <cell r="V203">
            <v>10865.280893807205</v>
          </cell>
          <cell r="W203">
            <v>0</v>
          </cell>
          <cell r="X203">
            <v>2593404.1056088265</v>
          </cell>
          <cell r="Y203">
            <v>35545.830000000016</v>
          </cell>
          <cell r="Z203">
            <v>0</v>
          </cell>
          <cell r="AA203">
            <v>0</v>
          </cell>
          <cell r="AB203">
            <v>19709.959141693711</v>
          </cell>
          <cell r="AC203">
            <v>55255.789141693727</v>
          </cell>
          <cell r="AD203" t="str">
            <v>N/A</v>
          </cell>
          <cell r="AE203">
            <v>508173</v>
          </cell>
          <cell r="AF203">
            <v>508173</v>
          </cell>
          <cell r="AG203">
            <v>508173</v>
          </cell>
          <cell r="AH203">
            <v>508173</v>
          </cell>
          <cell r="AI203">
            <v>505457</v>
          </cell>
          <cell r="AJ203">
            <v>0</v>
          </cell>
          <cell r="AK203">
            <v>2538149</v>
          </cell>
          <cell r="AL203">
            <v>5171041</v>
          </cell>
          <cell r="AM203">
            <v>1005407.2851317751</v>
          </cell>
          <cell r="AN203">
            <v>-131096.16999999998</v>
          </cell>
          <cell r="AO203">
            <v>1431566.1464671325</v>
          </cell>
          <cell r="AP203">
            <v>0</v>
          </cell>
          <cell r="AQ203">
            <v>1106582.17</v>
          </cell>
          <cell r="AR203">
            <v>0</v>
          </cell>
          <cell r="AS203">
            <v>0</v>
          </cell>
          <cell r="AT203">
            <v>8583500.4315989073</v>
          </cell>
          <cell r="AU203">
            <v>1.5596802992803741E-4</v>
          </cell>
          <cell r="AV203">
            <v>0</v>
          </cell>
          <cell r="AW203">
            <v>0</v>
          </cell>
          <cell r="AY203">
            <v>0</v>
          </cell>
          <cell r="AZ203">
            <v>0</v>
          </cell>
          <cell r="BA203">
            <v>0</v>
          </cell>
          <cell r="BB203">
            <v>0</v>
          </cell>
          <cell r="BC203">
            <v>0</v>
          </cell>
          <cell r="BD203">
            <v>0</v>
          </cell>
          <cell r="BE203">
            <v>0</v>
          </cell>
          <cell r="BF203">
            <v>0</v>
          </cell>
          <cell r="BG203">
            <v>0</v>
          </cell>
          <cell r="BH203">
            <v>0</v>
          </cell>
          <cell r="BJ203">
            <v>0</v>
          </cell>
          <cell r="BL203">
            <v>0</v>
          </cell>
          <cell r="BM203">
            <v>0</v>
          </cell>
          <cell r="BN203">
            <v>0</v>
          </cell>
          <cell r="BO203">
            <v>0</v>
          </cell>
          <cell r="BQ203">
            <v>0</v>
          </cell>
          <cell r="BR203">
            <v>0</v>
          </cell>
          <cell r="BS203">
            <v>0</v>
          </cell>
          <cell r="BT203">
            <v>0</v>
          </cell>
          <cell r="CB203">
            <v>0</v>
          </cell>
          <cell r="CC203">
            <v>0</v>
          </cell>
          <cell r="CD203">
            <v>0</v>
          </cell>
          <cell r="CE203">
            <v>0</v>
          </cell>
          <cell r="CF203">
            <v>0</v>
          </cell>
          <cell r="CI203">
            <v>0</v>
          </cell>
          <cell r="CJ203">
            <v>0</v>
          </cell>
          <cell r="CK203">
            <v>0</v>
          </cell>
          <cell r="CV203">
            <v>1.9730645184590787E-4</v>
          </cell>
          <cell r="DG203">
            <v>8583501</v>
          </cell>
          <cell r="DR203">
            <v>2255330.2499999995</v>
          </cell>
          <cell r="EC203">
            <v>3.805873219675922</v>
          </cell>
          <cell r="EN203">
            <v>2.4095909012463064E-2</v>
          </cell>
        </row>
        <row r="204">
          <cell r="B204">
            <v>36005</v>
          </cell>
          <cell r="C204" t="str">
            <v>Central Piedmont Community College</v>
          </cell>
          <cell r="D204">
            <v>4.444733449763769E-3</v>
          </cell>
          <cell r="E204">
            <v>7690425.242145068</v>
          </cell>
          <cell r="F204">
            <v>5996400.9283201443</v>
          </cell>
          <cell r="G204">
            <v>1388775</v>
          </cell>
          <cell r="H204">
            <v>-2145901.9087323411</v>
          </cell>
          <cell r="I204">
            <v>-88801.469866764673</v>
          </cell>
          <cell r="J204">
            <v>6489643.0036790445</v>
          </cell>
          <cell r="K204">
            <v>0</v>
          </cell>
          <cell r="L204">
            <v>-340976.6167820206</v>
          </cell>
          <cell r="M204">
            <v>61190.69723515692</v>
          </cell>
          <cell r="N204">
            <v>2306.7277657584009</v>
          </cell>
          <cell r="O204">
            <v>-1041.0010212691723</v>
          </cell>
          <cell r="P204">
            <v>0</v>
          </cell>
          <cell r="Q204">
            <v>0</v>
          </cell>
          <cell r="R204">
            <v>0</v>
          </cell>
          <cell r="S204">
            <v>19052020.602742776</v>
          </cell>
          <cell r="T204">
            <v>6943875.2200000007</v>
          </cell>
          <cell r="U204">
            <v>32448215.018395223</v>
          </cell>
          <cell r="V204">
            <v>244762.78894062768</v>
          </cell>
          <cell r="W204">
            <v>0</v>
          </cell>
          <cell r="X204">
            <v>39636853.027335852</v>
          </cell>
          <cell r="Y204">
            <v>0</v>
          </cell>
          <cell r="Z204">
            <v>0</v>
          </cell>
          <cell r="AA204">
            <v>0</v>
          </cell>
          <cell r="AB204">
            <v>444007.34933382337</v>
          </cell>
          <cell r="AC204">
            <v>444007.34933382337</v>
          </cell>
          <cell r="AD204" t="str">
            <v>N/A</v>
          </cell>
          <cell r="AE204">
            <v>7850807</v>
          </cell>
          <cell r="AF204">
            <v>7850807</v>
          </cell>
          <cell r="AG204">
            <v>7850807</v>
          </cell>
          <cell r="AH204">
            <v>7850807</v>
          </cell>
          <cell r="AI204">
            <v>7789617</v>
          </cell>
          <cell r="AJ204">
            <v>0</v>
          </cell>
          <cell r="AK204">
            <v>39192845</v>
          </cell>
          <cell r="AL204">
            <v>139117085</v>
          </cell>
          <cell r="AM204">
            <v>19052020.602742776</v>
          </cell>
          <cell r="AN204">
            <v>-4000939.22</v>
          </cell>
          <cell r="AO204">
            <v>32248970.458002031</v>
          </cell>
          <cell r="AP204">
            <v>0</v>
          </cell>
          <cell r="AQ204">
            <v>6943875.2200000007</v>
          </cell>
          <cell r="AR204">
            <v>0</v>
          </cell>
          <cell r="AS204">
            <v>0</v>
          </cell>
          <cell r="AT204">
            <v>193361012.06074482</v>
          </cell>
          <cell r="AU204">
            <v>4.1960250917593847E-3</v>
          </cell>
          <cell r="AV204">
            <v>0</v>
          </cell>
          <cell r="AW204">
            <v>0</v>
          </cell>
          <cell r="AY204">
            <v>0</v>
          </cell>
          <cell r="AZ204">
            <v>0</v>
          </cell>
          <cell r="BA204">
            <v>0</v>
          </cell>
          <cell r="BB204">
            <v>0</v>
          </cell>
          <cell r="BC204">
            <v>0</v>
          </cell>
          <cell r="BD204">
            <v>0</v>
          </cell>
          <cell r="BE204">
            <v>0</v>
          </cell>
          <cell r="BF204">
            <v>0</v>
          </cell>
          <cell r="BG204">
            <v>0</v>
          </cell>
          <cell r="BH204">
            <v>0</v>
          </cell>
          <cell r="BJ204">
            <v>0</v>
          </cell>
          <cell r="BL204">
            <v>0</v>
          </cell>
          <cell r="BM204">
            <v>0</v>
          </cell>
          <cell r="BN204">
            <v>0</v>
          </cell>
          <cell r="BO204">
            <v>0</v>
          </cell>
          <cell r="BQ204">
            <v>0</v>
          </cell>
          <cell r="BR204">
            <v>0</v>
          </cell>
          <cell r="BS204">
            <v>0</v>
          </cell>
          <cell r="BT204">
            <v>0</v>
          </cell>
          <cell r="CB204">
            <v>0</v>
          </cell>
          <cell r="CC204">
            <v>0</v>
          </cell>
          <cell r="CD204">
            <v>0</v>
          </cell>
          <cell r="CE204">
            <v>0</v>
          </cell>
          <cell r="CF204">
            <v>0</v>
          </cell>
          <cell r="CI204">
            <v>0</v>
          </cell>
          <cell r="CJ204">
            <v>0</v>
          </cell>
          <cell r="CK204">
            <v>0</v>
          </cell>
          <cell r="CV204">
            <v>4.444733449763769E-3</v>
          </cell>
          <cell r="DG204">
            <v>193361013</v>
          </cell>
          <cell r="DR204">
            <v>69143334.120000049</v>
          </cell>
          <cell r="EC204">
            <v>2.7965242848199501</v>
          </cell>
          <cell r="EN204">
            <v>2.4095909012463064E-2</v>
          </cell>
        </row>
        <row r="205">
          <cell r="B205">
            <v>36006</v>
          </cell>
          <cell r="C205" t="str">
            <v>Lake Norman Charter School</v>
          </cell>
          <cell r="D205">
            <v>4.8326750042809637E-4</v>
          </cell>
          <cell r="E205">
            <v>836165.458740414</v>
          </cell>
          <cell r="F205">
            <v>651977.38423392072</v>
          </cell>
          <cell r="G205">
            <v>35473</v>
          </cell>
          <cell r="H205">
            <v>-233319.87470521475</v>
          </cell>
          <cell r="I205">
            <v>-9655.2166427737411</v>
          </cell>
          <cell r="J205">
            <v>705606.666520203</v>
          </cell>
          <cell r="K205">
            <v>0</v>
          </cell>
          <cell r="L205">
            <v>-37073.745627071061</v>
          </cell>
          <cell r="M205">
            <v>6653.149314017558</v>
          </cell>
          <cell r="N205">
            <v>250.80616737217346</v>
          </cell>
          <cell r="O205">
            <v>-113.18608127526446</v>
          </cell>
          <cell r="P205">
            <v>0</v>
          </cell>
          <cell r="Q205">
            <v>0</v>
          </cell>
          <cell r="R205">
            <v>0</v>
          </cell>
          <cell r="S205">
            <v>1955964.4419195927</v>
          </cell>
          <cell r="T205">
            <v>238779</v>
          </cell>
          <cell r="U205">
            <v>3528033.332601015</v>
          </cell>
          <cell r="V205">
            <v>26612.597256070232</v>
          </cell>
          <cell r="W205">
            <v>0</v>
          </cell>
          <cell r="X205">
            <v>3793424.929857085</v>
          </cell>
          <cell r="Y205">
            <v>61412.820000000007</v>
          </cell>
          <cell r="Z205">
            <v>0</v>
          </cell>
          <cell r="AA205">
            <v>0</v>
          </cell>
          <cell r="AB205">
            <v>48276.083213868704</v>
          </cell>
          <cell r="AC205">
            <v>109688.9032138687</v>
          </cell>
          <cell r="AD205" t="str">
            <v>N/A</v>
          </cell>
          <cell r="AE205">
            <v>738078</v>
          </cell>
          <cell r="AF205">
            <v>738079</v>
          </cell>
          <cell r="AG205">
            <v>738079</v>
          </cell>
          <cell r="AH205">
            <v>738079</v>
          </cell>
          <cell r="AI205">
            <v>731425</v>
          </cell>
          <cell r="AJ205">
            <v>0</v>
          </cell>
          <cell r="AK205">
            <v>3683740</v>
          </cell>
          <cell r="AL205">
            <v>15735954</v>
          </cell>
          <cell r="AM205">
            <v>1955964.4419195927</v>
          </cell>
          <cell r="AN205">
            <v>-351875.18</v>
          </cell>
          <cell r="AO205">
            <v>3506369.8466432169</v>
          </cell>
          <cell r="AP205">
            <v>0</v>
          </cell>
          <cell r="AQ205">
            <v>177366.18</v>
          </cell>
          <cell r="AR205">
            <v>0</v>
          </cell>
          <cell r="AS205">
            <v>0</v>
          </cell>
          <cell r="AT205">
            <v>21023779.288562808</v>
          </cell>
          <cell r="AU205">
            <v>4.7462507611900477E-4</v>
          </cell>
          <cell r="AV205">
            <v>0</v>
          </cell>
          <cell r="AW205">
            <v>0</v>
          </cell>
          <cell r="AY205">
            <v>0</v>
          </cell>
          <cell r="AZ205">
            <v>0</v>
          </cell>
          <cell r="BA205">
            <v>0</v>
          </cell>
          <cell r="BB205">
            <v>0</v>
          </cell>
          <cell r="BC205">
            <v>0</v>
          </cell>
          <cell r="BD205">
            <v>0</v>
          </cell>
          <cell r="BE205">
            <v>0</v>
          </cell>
          <cell r="BF205">
            <v>0</v>
          </cell>
          <cell r="BG205">
            <v>0</v>
          </cell>
          <cell r="BH205">
            <v>0</v>
          </cell>
          <cell r="BJ205">
            <v>0</v>
          </cell>
          <cell r="BL205">
            <v>0</v>
          </cell>
          <cell r="BM205">
            <v>0</v>
          </cell>
          <cell r="BN205">
            <v>0</v>
          </cell>
          <cell r="BO205">
            <v>0</v>
          </cell>
          <cell r="BQ205">
            <v>0</v>
          </cell>
          <cell r="BR205">
            <v>0</v>
          </cell>
          <cell r="BS205">
            <v>0</v>
          </cell>
          <cell r="BT205">
            <v>0</v>
          </cell>
          <cell r="CB205">
            <v>0</v>
          </cell>
          <cell r="CC205">
            <v>0</v>
          </cell>
          <cell r="CD205">
            <v>0</v>
          </cell>
          <cell r="CE205">
            <v>0</v>
          </cell>
          <cell r="CF205">
            <v>0</v>
          </cell>
          <cell r="CI205">
            <v>0</v>
          </cell>
          <cell r="CJ205">
            <v>0</v>
          </cell>
          <cell r="CK205">
            <v>0</v>
          </cell>
          <cell r="CV205">
            <v>4.8326750042809637E-4</v>
          </cell>
          <cell r="DG205">
            <v>21023779</v>
          </cell>
          <cell r="DR205">
            <v>6132666.4799999995</v>
          </cell>
          <cell r="EC205">
            <v>3.4281627850728973</v>
          </cell>
          <cell r="EN205">
            <v>2.4095909012463064E-2</v>
          </cell>
        </row>
        <row r="206">
          <cell r="B206">
            <v>36007</v>
          </cell>
          <cell r="C206" t="str">
            <v>Socrates Academy</v>
          </cell>
          <cell r="D206">
            <v>1.6440453688332634E-4</v>
          </cell>
          <cell r="E206">
            <v>284458.18284961511</v>
          </cell>
          <cell r="F206">
            <v>221798.56873973334</v>
          </cell>
          <cell r="G206">
            <v>-9512</v>
          </cell>
          <cell r="H206">
            <v>-79373.940752496012</v>
          </cell>
          <cell r="I206">
            <v>-3284.6434309306087</v>
          </cell>
          <cell r="J206">
            <v>240042.91024800998</v>
          </cell>
          <cell r="K206">
            <v>0</v>
          </cell>
          <cell r="L206">
            <v>-12612.252996424553</v>
          </cell>
          <cell r="M206">
            <v>2263.35917647626</v>
          </cell>
          <cell r="N206">
            <v>85.322666551708707</v>
          </cell>
          <cell r="O206">
            <v>-38.505186583443859</v>
          </cell>
          <cell r="P206">
            <v>0</v>
          </cell>
          <cell r="Q206">
            <v>0</v>
          </cell>
          <cell r="R206">
            <v>0</v>
          </cell>
          <cell r="S206">
            <v>643827.00131395168</v>
          </cell>
          <cell r="T206">
            <v>0</v>
          </cell>
          <cell r="U206">
            <v>1200214.55124005</v>
          </cell>
          <cell r="V206">
            <v>9053.4367059050401</v>
          </cell>
          <cell r="W206">
            <v>0</v>
          </cell>
          <cell r="X206">
            <v>1209267.987945955</v>
          </cell>
          <cell r="Y206">
            <v>47562.17</v>
          </cell>
          <cell r="Z206">
            <v>0</v>
          </cell>
          <cell r="AA206">
            <v>0</v>
          </cell>
          <cell r="AB206">
            <v>16423.217154653044</v>
          </cell>
          <cell r="AC206">
            <v>63985.387154653043</v>
          </cell>
          <cell r="AD206" t="str">
            <v>N/A</v>
          </cell>
          <cell r="AE206">
            <v>229510</v>
          </cell>
          <cell r="AF206">
            <v>229509</v>
          </cell>
          <cell r="AG206">
            <v>229509</v>
          </cell>
          <cell r="AH206">
            <v>229509</v>
          </cell>
          <cell r="AI206">
            <v>227245</v>
          </cell>
          <cell r="AJ206">
            <v>0</v>
          </cell>
          <cell r="AK206">
            <v>1145282</v>
          </cell>
          <cell r="AL206">
            <v>5487475</v>
          </cell>
          <cell r="AM206">
            <v>643827.00131395168</v>
          </cell>
          <cell r="AN206">
            <v>-124428.83</v>
          </cell>
          <cell r="AO206">
            <v>1192844.770791302</v>
          </cell>
          <cell r="AP206">
            <v>0</v>
          </cell>
          <cell r="AQ206">
            <v>-47562.17</v>
          </cell>
          <cell r="AR206">
            <v>0</v>
          </cell>
          <cell r="AS206">
            <v>0</v>
          </cell>
          <cell r="AT206">
            <v>7152155.7721052542</v>
          </cell>
          <cell r="AU206">
            <v>1.6551226589657202E-4</v>
          </cell>
          <cell r="AV206">
            <v>0</v>
          </cell>
          <cell r="AW206">
            <v>0</v>
          </cell>
          <cell r="AY206">
            <v>0</v>
          </cell>
          <cell r="AZ206">
            <v>0</v>
          </cell>
          <cell r="BA206">
            <v>0</v>
          </cell>
          <cell r="BB206">
            <v>0</v>
          </cell>
          <cell r="BC206">
            <v>0</v>
          </cell>
          <cell r="BD206">
            <v>0</v>
          </cell>
          <cell r="BE206">
            <v>0</v>
          </cell>
          <cell r="BF206">
            <v>0</v>
          </cell>
          <cell r="BG206">
            <v>0</v>
          </cell>
          <cell r="BH206">
            <v>0</v>
          </cell>
          <cell r="BJ206">
            <v>0</v>
          </cell>
          <cell r="BL206">
            <v>0</v>
          </cell>
          <cell r="BM206">
            <v>0</v>
          </cell>
          <cell r="BN206">
            <v>0</v>
          </cell>
          <cell r="BO206">
            <v>0</v>
          </cell>
          <cell r="BQ206">
            <v>0</v>
          </cell>
          <cell r="BR206">
            <v>0</v>
          </cell>
          <cell r="BS206">
            <v>0</v>
          </cell>
          <cell r="BT206">
            <v>0</v>
          </cell>
          <cell r="CB206">
            <v>0</v>
          </cell>
          <cell r="CC206">
            <v>0</v>
          </cell>
          <cell r="CD206">
            <v>0</v>
          </cell>
          <cell r="CE206">
            <v>0</v>
          </cell>
          <cell r="CF206">
            <v>0</v>
          </cell>
          <cell r="CI206">
            <v>0</v>
          </cell>
          <cell r="CJ206">
            <v>0</v>
          </cell>
          <cell r="CK206">
            <v>0</v>
          </cell>
          <cell r="CV206">
            <v>1.6440453688332634E-4</v>
          </cell>
          <cell r="DG206">
            <v>7152156</v>
          </cell>
          <cell r="DR206">
            <v>2123885.6199999996</v>
          </cell>
          <cell r="EC206">
            <v>3.3674864280120702</v>
          </cell>
          <cell r="EN206">
            <v>2.4095909012463064E-2</v>
          </cell>
        </row>
        <row r="207">
          <cell r="B207">
            <v>36008</v>
          </cell>
          <cell r="C207" t="str">
            <v>Pine Lake Prep Charter</v>
          </cell>
          <cell r="D207">
            <v>5.1236741829565377E-4</v>
          </cell>
          <cell r="E207">
            <v>886515.10185003758</v>
          </cell>
          <cell r="F207">
            <v>691236.15565121127</v>
          </cell>
          <cell r="G207">
            <v>125540</v>
          </cell>
          <cell r="H207">
            <v>-247369.21422168557</v>
          </cell>
          <cell r="I207">
            <v>-10236.604820230945</v>
          </cell>
          <cell r="J207">
            <v>748094.72132287419</v>
          </cell>
          <cell r="K207">
            <v>0</v>
          </cell>
          <cell r="L207">
            <v>-39306.138560249477</v>
          </cell>
          <cell r="M207">
            <v>7053.7682226489123</v>
          </cell>
          <cell r="N207">
            <v>265.90844274707837</v>
          </cell>
          <cell r="O207">
            <v>-120.00157303902508</v>
          </cell>
          <cell r="P207">
            <v>0</v>
          </cell>
          <cell r="Q207">
            <v>0</v>
          </cell>
          <cell r="R207">
            <v>0</v>
          </cell>
          <cell r="S207">
            <v>2161673.6963143134</v>
          </cell>
          <cell r="T207">
            <v>723078</v>
          </cell>
          <cell r="U207">
            <v>3740473.6066143708</v>
          </cell>
          <cell r="V207">
            <v>28215.072890595649</v>
          </cell>
          <cell r="W207">
            <v>0</v>
          </cell>
          <cell r="X207">
            <v>4491766.6795049664</v>
          </cell>
          <cell r="Y207">
            <v>95380.920000000042</v>
          </cell>
          <cell r="Z207">
            <v>0</v>
          </cell>
          <cell r="AA207">
            <v>0</v>
          </cell>
          <cell r="AB207">
            <v>51183.024101154719</v>
          </cell>
          <cell r="AC207">
            <v>146563.94410115475</v>
          </cell>
          <cell r="AD207" t="str">
            <v>N/A</v>
          </cell>
          <cell r="AE207">
            <v>870452</v>
          </cell>
          <cell r="AF207">
            <v>870452</v>
          </cell>
          <cell r="AG207">
            <v>870452</v>
          </cell>
          <cell r="AH207">
            <v>870452</v>
          </cell>
          <cell r="AI207">
            <v>863398</v>
          </cell>
          <cell r="AJ207">
            <v>0</v>
          </cell>
          <cell r="AK207">
            <v>4345206</v>
          </cell>
          <cell r="AL207">
            <v>16119588</v>
          </cell>
          <cell r="AM207">
            <v>2161673.6963143134</v>
          </cell>
          <cell r="AN207">
            <v>-336740.07999999996</v>
          </cell>
          <cell r="AO207">
            <v>3717505.655403812</v>
          </cell>
          <cell r="AP207">
            <v>0</v>
          </cell>
          <cell r="AQ207">
            <v>627697.07999999996</v>
          </cell>
          <cell r="AR207">
            <v>0</v>
          </cell>
          <cell r="AS207">
            <v>0</v>
          </cell>
          <cell r="AT207">
            <v>22289724.351718124</v>
          </cell>
          <cell r="AU207">
            <v>4.8619618220996239E-4</v>
          </cell>
          <cell r="AV207">
            <v>0</v>
          </cell>
          <cell r="AW207">
            <v>0</v>
          </cell>
          <cell r="AY207">
            <v>0</v>
          </cell>
          <cell r="AZ207">
            <v>0</v>
          </cell>
          <cell r="BA207">
            <v>0</v>
          </cell>
          <cell r="BB207">
            <v>0</v>
          </cell>
          <cell r="BC207">
            <v>0</v>
          </cell>
          <cell r="BD207">
            <v>0</v>
          </cell>
          <cell r="BE207">
            <v>0</v>
          </cell>
          <cell r="BF207">
            <v>0</v>
          </cell>
          <cell r="BG207">
            <v>0</v>
          </cell>
          <cell r="BH207">
            <v>0</v>
          </cell>
          <cell r="BJ207">
            <v>0</v>
          </cell>
          <cell r="BL207">
            <v>0</v>
          </cell>
          <cell r="BM207">
            <v>0</v>
          </cell>
          <cell r="BN207">
            <v>0</v>
          </cell>
          <cell r="BO207">
            <v>0</v>
          </cell>
          <cell r="BQ207">
            <v>0</v>
          </cell>
          <cell r="BR207">
            <v>0</v>
          </cell>
          <cell r="BS207">
            <v>0</v>
          </cell>
          <cell r="BT207">
            <v>0</v>
          </cell>
          <cell r="CB207">
            <v>0</v>
          </cell>
          <cell r="CC207">
            <v>0</v>
          </cell>
          <cell r="CD207">
            <v>0</v>
          </cell>
          <cell r="CE207">
            <v>0</v>
          </cell>
          <cell r="CF207">
            <v>0</v>
          </cell>
          <cell r="CI207">
            <v>0</v>
          </cell>
          <cell r="CJ207">
            <v>0</v>
          </cell>
          <cell r="CK207">
            <v>0</v>
          </cell>
          <cell r="CV207">
            <v>5.1236741829565377E-4</v>
          </cell>
          <cell r="DG207">
            <v>22289724</v>
          </cell>
          <cell r="DR207">
            <v>5994908.870000002</v>
          </cell>
          <cell r="EC207">
            <v>3.7181088959572444</v>
          </cell>
          <cell r="EN207">
            <v>2.4095909012463064E-2</v>
          </cell>
        </row>
        <row r="208">
          <cell r="B208">
            <v>36009</v>
          </cell>
          <cell r="C208" t="str">
            <v>Charlotte Secondary Charter</v>
          </cell>
          <cell r="D208">
            <v>1.5927350958971524E-4</v>
          </cell>
          <cell r="E208">
            <v>275580.3092351649</v>
          </cell>
          <cell r="F208">
            <v>214876.2870833877</v>
          </cell>
          <cell r="G208">
            <v>136423</v>
          </cell>
          <cell r="H208">
            <v>-76896.69855393334</v>
          </cell>
          <cell r="I208">
            <v>-3182.1304746984706</v>
          </cell>
          <cell r="J208">
            <v>232551.22694370762</v>
          </cell>
          <cell r="K208">
            <v>0</v>
          </cell>
          <cell r="L208">
            <v>-12218.62751877421</v>
          </cell>
          <cell r="M208">
            <v>2192.7202638896415</v>
          </cell>
          <cell r="N208">
            <v>82.659766006870413</v>
          </cell>
          <cell r="O208">
            <v>-37.303448681007204</v>
          </cell>
          <cell r="P208">
            <v>0</v>
          </cell>
          <cell r="Q208">
            <v>0</v>
          </cell>
          <cell r="R208">
            <v>0</v>
          </cell>
          <cell r="S208">
            <v>769371.44329606974</v>
          </cell>
          <cell r="T208">
            <v>707265</v>
          </cell>
          <cell r="U208">
            <v>1162756.134718538</v>
          </cell>
          <cell r="V208">
            <v>8770.881055558566</v>
          </cell>
          <cell r="W208">
            <v>0</v>
          </cell>
          <cell r="X208">
            <v>1878792.0157740966</v>
          </cell>
          <cell r="Y208">
            <v>25151.42</v>
          </cell>
          <cell r="Z208">
            <v>0</v>
          </cell>
          <cell r="AA208">
            <v>0</v>
          </cell>
          <cell r="AB208">
            <v>15910.652373492352</v>
          </cell>
          <cell r="AC208">
            <v>41062.072373492352</v>
          </cell>
          <cell r="AD208" t="str">
            <v>N/A</v>
          </cell>
          <cell r="AE208">
            <v>367985</v>
          </cell>
          <cell r="AF208">
            <v>367985</v>
          </cell>
          <cell r="AG208">
            <v>367985</v>
          </cell>
          <cell r="AH208">
            <v>367985</v>
          </cell>
          <cell r="AI208">
            <v>365792</v>
          </cell>
          <cell r="AJ208">
            <v>0</v>
          </cell>
          <cell r="AK208">
            <v>1837732</v>
          </cell>
          <cell r="AL208">
            <v>4431914</v>
          </cell>
          <cell r="AM208">
            <v>769371.44329606974</v>
          </cell>
          <cell r="AN208">
            <v>-110076.58</v>
          </cell>
          <cell r="AO208">
            <v>1155616.3634006043</v>
          </cell>
          <cell r="AP208">
            <v>0</v>
          </cell>
          <cell r="AQ208">
            <v>682113.58</v>
          </cell>
          <cell r="AR208">
            <v>0</v>
          </cell>
          <cell r="AS208">
            <v>0</v>
          </cell>
          <cell r="AT208">
            <v>6928938.8066966739</v>
          </cell>
          <cell r="AU208">
            <v>1.3367459981016111E-4</v>
          </cell>
          <cell r="AV208">
            <v>0</v>
          </cell>
          <cell r="AW208">
            <v>0</v>
          </cell>
          <cell r="AY208">
            <v>0</v>
          </cell>
          <cell r="AZ208">
            <v>0</v>
          </cell>
          <cell r="BA208">
            <v>0</v>
          </cell>
          <cell r="BB208">
            <v>0</v>
          </cell>
          <cell r="BC208">
            <v>0</v>
          </cell>
          <cell r="BD208">
            <v>0</v>
          </cell>
          <cell r="BE208">
            <v>0</v>
          </cell>
          <cell r="BF208">
            <v>0</v>
          </cell>
          <cell r="BG208">
            <v>0</v>
          </cell>
          <cell r="BH208">
            <v>0</v>
          </cell>
          <cell r="BJ208">
            <v>0</v>
          </cell>
          <cell r="BL208">
            <v>0</v>
          </cell>
          <cell r="BM208">
            <v>0</v>
          </cell>
          <cell r="BN208">
            <v>0</v>
          </cell>
          <cell r="BO208">
            <v>0</v>
          </cell>
          <cell r="BQ208">
            <v>0</v>
          </cell>
          <cell r="BR208">
            <v>0</v>
          </cell>
          <cell r="BS208">
            <v>0</v>
          </cell>
          <cell r="BT208">
            <v>0</v>
          </cell>
          <cell r="CB208">
            <v>0</v>
          </cell>
          <cell r="CC208">
            <v>0</v>
          </cell>
          <cell r="CD208">
            <v>0</v>
          </cell>
          <cell r="CE208">
            <v>0</v>
          </cell>
          <cell r="CF208">
            <v>0</v>
          </cell>
          <cell r="CI208">
            <v>0</v>
          </cell>
          <cell r="CJ208">
            <v>0</v>
          </cell>
          <cell r="CK208">
            <v>0</v>
          </cell>
          <cell r="CV208">
            <v>1.5927350958971524E-4</v>
          </cell>
          <cell r="DG208">
            <v>6928939</v>
          </cell>
          <cell r="DR208">
            <v>1841895.1</v>
          </cell>
          <cell r="EC208">
            <v>3.761853213030427</v>
          </cell>
          <cell r="EN208">
            <v>2.4095909012463064E-2</v>
          </cell>
        </row>
        <row r="209">
          <cell r="B209">
            <v>36100</v>
          </cell>
          <cell r="C209" t="str">
            <v>Mitchell County Schools</v>
          </cell>
          <cell r="D209">
            <v>6.7253678859313421E-4</v>
          </cell>
          <cell r="E209">
            <v>1163645.4589965816</v>
          </cell>
          <cell r="F209">
            <v>907321.05063885346</v>
          </cell>
          <cell r="G209">
            <v>-82714</v>
          </cell>
          <cell r="H209">
            <v>-324698.43122120848</v>
          </cell>
          <cell r="I209">
            <v>-13436.633724282847</v>
          </cell>
          <cell r="J209">
            <v>981953.9718500271</v>
          </cell>
          <cell r="K209">
            <v>0</v>
          </cell>
          <cell r="L209">
            <v>-51593.491809530198</v>
          </cell>
          <cell r="M209">
            <v>9258.8218113494368</v>
          </cell>
          <cell r="N209">
            <v>349.03314254406479</v>
          </cell>
          <cell r="O209">
            <v>-157.51484125639797</v>
          </cell>
          <cell r="P209">
            <v>0</v>
          </cell>
          <cell r="Q209">
            <v>0</v>
          </cell>
          <cell r="R209">
            <v>0</v>
          </cell>
          <cell r="S209">
            <v>2589928.2648430779</v>
          </cell>
          <cell r="T209">
            <v>30312.339999999967</v>
          </cell>
          <cell r="U209">
            <v>4909769.8592501357</v>
          </cell>
          <cell r="V209">
            <v>37035.287245397747</v>
          </cell>
          <cell r="W209">
            <v>0</v>
          </cell>
          <cell r="X209">
            <v>4977117.486495533</v>
          </cell>
          <cell r="Y209">
            <v>443879</v>
          </cell>
          <cell r="Z209">
            <v>0</v>
          </cell>
          <cell r="AA209">
            <v>0</v>
          </cell>
          <cell r="AB209">
            <v>67183.168621414225</v>
          </cell>
          <cell r="AC209">
            <v>511062.16862141422</v>
          </cell>
          <cell r="AD209" t="str">
            <v>N/A</v>
          </cell>
          <cell r="AE209">
            <v>895062</v>
          </cell>
          <cell r="AF209">
            <v>895063</v>
          </cell>
          <cell r="AG209">
            <v>895063</v>
          </cell>
          <cell r="AH209">
            <v>895063</v>
          </cell>
          <cell r="AI209">
            <v>885804</v>
          </cell>
          <cell r="AJ209">
            <v>0</v>
          </cell>
          <cell r="AK209">
            <v>4466055</v>
          </cell>
          <cell r="AL209">
            <v>22830271</v>
          </cell>
          <cell r="AM209">
            <v>2589928.2648430779</v>
          </cell>
          <cell r="AN209">
            <v>-628618.34</v>
          </cell>
          <cell r="AO209">
            <v>4879621.9778741198</v>
          </cell>
          <cell r="AP209">
            <v>0</v>
          </cell>
          <cell r="AQ209">
            <v>-413566.66000000003</v>
          </cell>
          <cell r="AR209">
            <v>0</v>
          </cell>
          <cell r="AS209">
            <v>0</v>
          </cell>
          <cell r="AT209">
            <v>29257636.242717195</v>
          </cell>
          <cell r="AU209">
            <v>6.8860262771461116E-4</v>
          </cell>
          <cell r="AV209">
            <v>0</v>
          </cell>
          <cell r="AW209">
            <v>0</v>
          </cell>
          <cell r="AY209">
            <v>0</v>
          </cell>
          <cell r="AZ209">
            <v>0</v>
          </cell>
          <cell r="BA209">
            <v>0</v>
          </cell>
          <cell r="BB209">
            <v>0</v>
          </cell>
          <cell r="BC209">
            <v>0</v>
          </cell>
          <cell r="BD209">
            <v>0</v>
          </cell>
          <cell r="BE209">
            <v>0</v>
          </cell>
          <cell r="BF209">
            <v>0</v>
          </cell>
          <cell r="BG209">
            <v>0</v>
          </cell>
          <cell r="BH209">
            <v>0</v>
          </cell>
          <cell r="BJ209">
            <v>0</v>
          </cell>
          <cell r="BL209">
            <v>0</v>
          </cell>
          <cell r="BM209">
            <v>0</v>
          </cell>
          <cell r="BN209">
            <v>0</v>
          </cell>
          <cell r="BO209">
            <v>0</v>
          </cell>
          <cell r="BQ209">
            <v>0</v>
          </cell>
          <cell r="BR209">
            <v>0</v>
          </cell>
          <cell r="BS209">
            <v>0</v>
          </cell>
          <cell r="BT209">
            <v>0</v>
          </cell>
          <cell r="CB209">
            <v>0</v>
          </cell>
          <cell r="CC209">
            <v>0</v>
          </cell>
          <cell r="CD209">
            <v>0</v>
          </cell>
          <cell r="CE209">
            <v>0</v>
          </cell>
          <cell r="CF209">
            <v>0</v>
          </cell>
          <cell r="CI209">
            <v>0</v>
          </cell>
          <cell r="CJ209">
            <v>0</v>
          </cell>
          <cell r="CK209">
            <v>0</v>
          </cell>
          <cell r="CV209">
            <v>6.7253678859313421E-4</v>
          </cell>
          <cell r="DG209">
            <v>29257636</v>
          </cell>
          <cell r="DR209">
            <v>10989867.26999999</v>
          </cell>
          <cell r="EC209">
            <v>2.6622374302797223</v>
          </cell>
          <cell r="EN209">
            <v>2.4095909012463064E-2</v>
          </cell>
        </row>
        <row r="210">
          <cell r="B210">
            <v>36102</v>
          </cell>
          <cell r="C210" t="str">
            <v>Kipp Charlotte Charter</v>
          </cell>
          <cell r="D210">
            <v>1.6273927781060074E-4</v>
          </cell>
          <cell r="E210">
            <v>281576.89636700711</v>
          </cell>
          <cell r="F210">
            <v>219551.96359176523</v>
          </cell>
          <cell r="G210">
            <v>177923</v>
          </cell>
          <cell r="H210">
            <v>-78569.959442236417</v>
          </cell>
          <cell r="I210">
            <v>-3251.3731673617422</v>
          </cell>
          <cell r="J210">
            <v>237611.50755248926</v>
          </cell>
          <cell r="K210">
            <v>0</v>
          </cell>
          <cell r="L210">
            <v>-12484.503062463109</v>
          </cell>
          <cell r="M210">
            <v>2240.433535402628</v>
          </cell>
          <cell r="N210">
            <v>84.458430398145566</v>
          </cell>
          <cell r="O210">
            <v>-38.1151662560208</v>
          </cell>
          <cell r="P210">
            <v>0</v>
          </cell>
          <cell r="Q210">
            <v>0</v>
          </cell>
          <cell r="R210">
            <v>0</v>
          </cell>
          <cell r="S210">
            <v>824644.3086387451</v>
          </cell>
          <cell r="T210">
            <v>923911</v>
          </cell>
          <cell r="U210">
            <v>1188057.5377624463</v>
          </cell>
          <cell r="V210">
            <v>8961.7341416105119</v>
          </cell>
          <cell r="W210">
            <v>0</v>
          </cell>
          <cell r="X210">
            <v>2120930.2719040569</v>
          </cell>
          <cell r="Y210">
            <v>34294.78</v>
          </cell>
          <cell r="Z210">
            <v>0</v>
          </cell>
          <cell r="AA210">
            <v>0</v>
          </cell>
          <cell r="AB210">
            <v>16256.865836808709</v>
          </cell>
          <cell r="AC210">
            <v>50551.645836808704</v>
          </cell>
          <cell r="AD210" t="str">
            <v>N/A</v>
          </cell>
          <cell r="AE210">
            <v>414524</v>
          </cell>
          <cell r="AF210">
            <v>414524</v>
          </cell>
          <cell r="AG210">
            <v>414524</v>
          </cell>
          <cell r="AH210">
            <v>414524</v>
          </cell>
          <cell r="AI210">
            <v>412283</v>
          </cell>
          <cell r="AJ210">
            <v>0</v>
          </cell>
          <cell r="AK210">
            <v>2070379</v>
          </cell>
          <cell r="AL210">
            <v>4286845</v>
          </cell>
          <cell r="AM210">
            <v>824644.3086387451</v>
          </cell>
          <cell r="AN210">
            <v>-102156.22</v>
          </cell>
          <cell r="AO210">
            <v>1180762.4060672482</v>
          </cell>
          <cell r="AP210">
            <v>0</v>
          </cell>
          <cell r="AQ210">
            <v>889616.22</v>
          </cell>
          <cell r="AR210">
            <v>0</v>
          </cell>
          <cell r="AS210">
            <v>0</v>
          </cell>
          <cell r="AT210">
            <v>7079711.7147059934</v>
          </cell>
          <cell r="AU210">
            <v>1.2929906699602807E-4</v>
          </cell>
          <cell r="AV210">
            <v>0</v>
          </cell>
          <cell r="AW210">
            <v>0</v>
          </cell>
          <cell r="AY210">
            <v>0</v>
          </cell>
          <cell r="AZ210">
            <v>0</v>
          </cell>
          <cell r="BA210">
            <v>0</v>
          </cell>
          <cell r="BB210">
            <v>0</v>
          </cell>
          <cell r="BC210">
            <v>0</v>
          </cell>
          <cell r="BD210">
            <v>0</v>
          </cell>
          <cell r="BE210">
            <v>0</v>
          </cell>
          <cell r="BF210">
            <v>0</v>
          </cell>
          <cell r="BG210">
            <v>0</v>
          </cell>
          <cell r="BH210">
            <v>0</v>
          </cell>
          <cell r="BJ210">
            <v>0</v>
          </cell>
          <cell r="BL210">
            <v>0</v>
          </cell>
          <cell r="BM210">
            <v>0</v>
          </cell>
          <cell r="BN210">
            <v>0</v>
          </cell>
          <cell r="BO210">
            <v>0</v>
          </cell>
          <cell r="BQ210">
            <v>0</v>
          </cell>
          <cell r="BR210">
            <v>0</v>
          </cell>
          <cell r="BS210">
            <v>0</v>
          </cell>
          <cell r="BT210">
            <v>0</v>
          </cell>
          <cell r="CB210">
            <v>0</v>
          </cell>
          <cell r="CC210">
            <v>0</v>
          </cell>
          <cell r="CD210">
            <v>0</v>
          </cell>
          <cell r="CE210">
            <v>0</v>
          </cell>
          <cell r="CF210">
            <v>0</v>
          </cell>
          <cell r="CI210">
            <v>0</v>
          </cell>
          <cell r="CJ210">
            <v>0</v>
          </cell>
          <cell r="CK210">
            <v>0</v>
          </cell>
          <cell r="CV210">
            <v>1.6273927781060074E-4</v>
          </cell>
          <cell r="DG210">
            <v>7079712</v>
          </cell>
          <cell r="DR210">
            <v>1834403.22</v>
          </cell>
          <cell r="EC210">
            <v>3.8594088381506442</v>
          </cell>
          <cell r="EN210">
            <v>2.4095909012463064E-2</v>
          </cell>
        </row>
        <row r="211">
          <cell r="B211">
            <v>36105</v>
          </cell>
          <cell r="C211" t="str">
            <v>Mayland Technical College</v>
          </cell>
          <cell r="D211">
            <v>3.4452709511830436E-4</v>
          </cell>
          <cell r="E211">
            <v>596112.20759290818</v>
          </cell>
          <cell r="F211">
            <v>464802.3590950417</v>
          </cell>
          <cell r="G211">
            <v>-77364</v>
          </cell>
          <cell r="H211">
            <v>-166336.48775128959</v>
          </cell>
          <cell r="I211">
            <v>-6883.3177065000664</v>
          </cell>
          <cell r="J211">
            <v>503035.30631993269</v>
          </cell>
          <cell r="K211">
            <v>0</v>
          </cell>
          <cell r="L211">
            <v>-26430.310076169018</v>
          </cell>
          <cell r="M211">
            <v>4743.1085361964151</v>
          </cell>
          <cell r="N211">
            <v>178.80267182449759</v>
          </cell>
          <cell r="O211">
            <v>-80.69169094765806</v>
          </cell>
          <cell r="P211">
            <v>0</v>
          </cell>
          <cell r="Q211">
            <v>0</v>
          </cell>
          <cell r="R211">
            <v>0</v>
          </cell>
          <cell r="S211">
            <v>1291776.9769909973</v>
          </cell>
          <cell r="T211">
            <v>39895.189999999944</v>
          </cell>
          <cell r="U211">
            <v>2515176.5315996632</v>
          </cell>
          <cell r="V211">
            <v>18972.43414478566</v>
          </cell>
          <cell r="W211">
            <v>0</v>
          </cell>
          <cell r="X211">
            <v>2574044.1557444488</v>
          </cell>
          <cell r="Y211">
            <v>426715</v>
          </cell>
          <cell r="Z211">
            <v>0</v>
          </cell>
          <cell r="AA211">
            <v>0</v>
          </cell>
          <cell r="AB211">
            <v>34416.588532500333</v>
          </cell>
          <cell r="AC211">
            <v>461131.58853250032</v>
          </cell>
          <cell r="AD211" t="str">
            <v>N/A</v>
          </cell>
          <cell r="AE211">
            <v>423531</v>
          </cell>
          <cell r="AF211">
            <v>423531</v>
          </cell>
          <cell r="AG211">
            <v>423531</v>
          </cell>
          <cell r="AH211">
            <v>423531</v>
          </cell>
          <cell r="AI211">
            <v>418788</v>
          </cell>
          <cell r="AJ211">
            <v>0</v>
          </cell>
          <cell r="AK211">
            <v>2112912</v>
          </cell>
          <cell r="AL211">
            <v>11934679</v>
          </cell>
          <cell r="AM211">
            <v>1291776.9769909973</v>
          </cell>
          <cell r="AN211">
            <v>-351269.18999999994</v>
          </cell>
          <cell r="AO211">
            <v>2499732.3772119489</v>
          </cell>
          <cell r="AP211">
            <v>0</v>
          </cell>
          <cell r="AQ211">
            <v>-386819.81000000006</v>
          </cell>
          <cell r="AR211">
            <v>0</v>
          </cell>
          <cell r="AS211">
            <v>0</v>
          </cell>
          <cell r="AT211">
            <v>14988099.354202947</v>
          </cell>
          <cell r="AU211">
            <v>3.599716783877378E-4</v>
          </cell>
          <cell r="AV211">
            <v>0</v>
          </cell>
          <cell r="AW211">
            <v>0</v>
          </cell>
          <cell r="AY211">
            <v>0</v>
          </cell>
          <cell r="AZ211">
            <v>0</v>
          </cell>
          <cell r="BA211">
            <v>0</v>
          </cell>
          <cell r="BB211">
            <v>0</v>
          </cell>
          <cell r="BC211">
            <v>0</v>
          </cell>
          <cell r="BD211">
            <v>0</v>
          </cell>
          <cell r="BE211">
            <v>0</v>
          </cell>
          <cell r="BF211">
            <v>0</v>
          </cell>
          <cell r="BG211">
            <v>0</v>
          </cell>
          <cell r="BH211">
            <v>0</v>
          </cell>
          <cell r="BJ211">
            <v>0</v>
          </cell>
          <cell r="BL211">
            <v>0</v>
          </cell>
          <cell r="BM211">
            <v>0</v>
          </cell>
          <cell r="BN211">
            <v>0</v>
          </cell>
          <cell r="BO211">
            <v>0</v>
          </cell>
          <cell r="BQ211">
            <v>0</v>
          </cell>
          <cell r="BR211">
            <v>0</v>
          </cell>
          <cell r="BS211">
            <v>0</v>
          </cell>
          <cell r="BT211">
            <v>0</v>
          </cell>
          <cell r="CB211">
            <v>0</v>
          </cell>
          <cell r="CC211">
            <v>0</v>
          </cell>
          <cell r="CD211">
            <v>0</v>
          </cell>
          <cell r="CE211">
            <v>0</v>
          </cell>
          <cell r="CF211">
            <v>0</v>
          </cell>
          <cell r="CI211">
            <v>0</v>
          </cell>
          <cell r="CJ211">
            <v>0</v>
          </cell>
          <cell r="CK211">
            <v>0</v>
          </cell>
          <cell r="CV211">
            <v>3.4452709511830436E-4</v>
          </cell>
          <cell r="DG211">
            <v>14988100</v>
          </cell>
          <cell r="DR211">
            <v>5969869.6899999995</v>
          </cell>
          <cell r="EC211">
            <v>2.5106243148164933</v>
          </cell>
          <cell r="EN211">
            <v>2.4095909012463064E-2</v>
          </cell>
        </row>
        <row r="212">
          <cell r="B212">
            <v>36200</v>
          </cell>
          <cell r="C212" t="str">
            <v>Montgomery County Schools</v>
          </cell>
          <cell r="D212">
            <v>1.3812649658540327E-3</v>
          </cell>
          <cell r="E212">
            <v>2389910.4590983</v>
          </cell>
          <cell r="F212">
            <v>1863467.9935516545</v>
          </cell>
          <cell r="G212">
            <v>90690</v>
          </cell>
          <cell r="H212">
            <v>-666869.93948958092</v>
          </cell>
          <cell r="I212">
            <v>-27596.336344944091</v>
          </cell>
          <cell r="J212">
            <v>2016750.0758359348</v>
          </cell>
          <cell r="K212">
            <v>0</v>
          </cell>
          <cell r="L212">
            <v>-105963.39696398962</v>
          </cell>
          <cell r="M212">
            <v>19015.890892533866</v>
          </cell>
          <cell r="N212">
            <v>716.84889197892585</v>
          </cell>
          <cell r="O212">
            <v>-323.50606765267298</v>
          </cell>
          <cell r="P212">
            <v>0</v>
          </cell>
          <cell r="Q212">
            <v>0</v>
          </cell>
          <cell r="R212">
            <v>0</v>
          </cell>
          <cell r="S212">
            <v>5579798.0894042356</v>
          </cell>
          <cell r="T212">
            <v>453449.17999999993</v>
          </cell>
          <cell r="U212">
            <v>10083750.379179675</v>
          </cell>
          <cell r="V212">
            <v>76063.563570135462</v>
          </cell>
          <cell r="W212">
            <v>0</v>
          </cell>
          <cell r="X212">
            <v>10613263.122749811</v>
          </cell>
          <cell r="Y212">
            <v>0</v>
          </cell>
          <cell r="Z212">
            <v>0</v>
          </cell>
          <cell r="AA212">
            <v>0</v>
          </cell>
          <cell r="AB212">
            <v>137981.68172472046</v>
          </cell>
          <cell r="AC212">
            <v>137981.68172472046</v>
          </cell>
          <cell r="AD212" t="str">
            <v>N/A</v>
          </cell>
          <cell r="AE212">
            <v>2098860</v>
          </cell>
          <cell r="AF212">
            <v>2098860</v>
          </cell>
          <cell r="AG212">
            <v>2098860</v>
          </cell>
          <cell r="AH212">
            <v>2098860</v>
          </cell>
          <cell r="AI212">
            <v>2079844</v>
          </cell>
          <cell r="AJ212">
            <v>0</v>
          </cell>
          <cell r="AK212">
            <v>10475284</v>
          </cell>
          <cell r="AL212">
            <v>45314695</v>
          </cell>
          <cell r="AM212">
            <v>5579798.0894042356</v>
          </cell>
          <cell r="AN212">
            <v>-1280053.18</v>
          </cell>
          <cell r="AO212">
            <v>10021832.26102509</v>
          </cell>
          <cell r="AP212">
            <v>0</v>
          </cell>
          <cell r="AQ212">
            <v>453449.17999999993</v>
          </cell>
          <cell r="AR212">
            <v>0</v>
          </cell>
          <cell r="AS212">
            <v>0</v>
          </cell>
          <cell r="AT212">
            <v>60089721.350429319</v>
          </cell>
          <cell r="AU212">
            <v>1.3667738617282928E-3</v>
          </cell>
          <cell r="AV212">
            <v>0</v>
          </cell>
          <cell r="AW212">
            <v>0</v>
          </cell>
          <cell r="AY212">
            <v>0</v>
          </cell>
          <cell r="AZ212">
            <v>0</v>
          </cell>
          <cell r="BA212">
            <v>0</v>
          </cell>
          <cell r="BB212">
            <v>0</v>
          </cell>
          <cell r="BC212">
            <v>0</v>
          </cell>
          <cell r="BD212">
            <v>0</v>
          </cell>
          <cell r="BE212">
            <v>0</v>
          </cell>
          <cell r="BF212">
            <v>0</v>
          </cell>
          <cell r="BG212">
            <v>0</v>
          </cell>
          <cell r="BH212">
            <v>0</v>
          </cell>
          <cell r="BJ212">
            <v>0</v>
          </cell>
          <cell r="BL212">
            <v>0</v>
          </cell>
          <cell r="BM212">
            <v>0</v>
          </cell>
          <cell r="BN212">
            <v>0</v>
          </cell>
          <cell r="BO212">
            <v>0</v>
          </cell>
          <cell r="BQ212">
            <v>0</v>
          </cell>
          <cell r="BR212">
            <v>0</v>
          </cell>
          <cell r="BS212">
            <v>0</v>
          </cell>
          <cell r="BT212">
            <v>0</v>
          </cell>
          <cell r="CB212">
            <v>0</v>
          </cell>
          <cell r="CC212">
            <v>0</v>
          </cell>
          <cell r="CD212">
            <v>0</v>
          </cell>
          <cell r="CE212">
            <v>0</v>
          </cell>
          <cell r="CF212">
            <v>0</v>
          </cell>
          <cell r="CI212">
            <v>0</v>
          </cell>
          <cell r="CJ212">
            <v>0</v>
          </cell>
          <cell r="CK212">
            <v>0</v>
          </cell>
          <cell r="CV212">
            <v>1.3812649658540327E-3</v>
          </cell>
          <cell r="DG212">
            <v>60089721</v>
          </cell>
          <cell r="DR212">
            <v>22195620.610000007</v>
          </cell>
          <cell r="EC212">
            <v>2.7072782534824551</v>
          </cell>
          <cell r="EN212">
            <v>2.4095909012463064E-2</v>
          </cell>
        </row>
        <row r="213">
          <cell r="B213">
            <v>36205</v>
          </cell>
          <cell r="C213" t="str">
            <v>Montgomery Community College</v>
          </cell>
          <cell r="D213">
            <v>2.4367880035541003E-4</v>
          </cell>
          <cell r="E213">
            <v>421621.14295705943</v>
          </cell>
          <cell r="F213">
            <v>328747.67433821713</v>
          </cell>
          <cell r="G213">
            <v>-2007</v>
          </cell>
          <cell r="H213">
            <v>-117647.28047484455</v>
          </cell>
          <cell r="I213">
            <v>-4868.4664427020689</v>
          </cell>
          <cell r="J213">
            <v>355789.25929865107</v>
          </cell>
          <cell r="K213">
            <v>0</v>
          </cell>
          <cell r="L213">
            <v>-18693.758324496419</v>
          </cell>
          <cell r="M213">
            <v>3354.7288861532597</v>
          </cell>
          <cell r="N213">
            <v>126.4644238084507</v>
          </cell>
          <cell r="O213">
            <v>-57.072011831240587</v>
          </cell>
          <cell r="P213">
            <v>0</v>
          </cell>
          <cell r="Q213">
            <v>0</v>
          </cell>
          <cell r="R213">
            <v>0</v>
          </cell>
          <cell r="S213">
            <v>966365.69265001523</v>
          </cell>
          <cell r="T213">
            <v>7384.5199999999895</v>
          </cell>
          <cell r="U213">
            <v>1778946.2964932553</v>
          </cell>
          <cell r="V213">
            <v>13418.915544613039</v>
          </cell>
          <cell r="W213">
            <v>0</v>
          </cell>
          <cell r="X213">
            <v>1799749.7320378684</v>
          </cell>
          <cell r="Y213">
            <v>17419</v>
          </cell>
          <cell r="Z213">
            <v>0</v>
          </cell>
          <cell r="AA213">
            <v>0</v>
          </cell>
          <cell r="AB213">
            <v>24342.332213510344</v>
          </cell>
          <cell r="AC213">
            <v>41761.332213510344</v>
          </cell>
          <cell r="AD213" t="str">
            <v>N/A</v>
          </cell>
          <cell r="AE213">
            <v>352269</v>
          </cell>
          <cell r="AF213">
            <v>352269</v>
          </cell>
          <cell r="AG213">
            <v>352269</v>
          </cell>
          <cell r="AH213">
            <v>352269</v>
          </cell>
          <cell r="AI213">
            <v>348914</v>
          </cell>
          <cell r="AJ213">
            <v>0</v>
          </cell>
          <cell r="AK213">
            <v>1757990</v>
          </cell>
          <cell r="AL213">
            <v>8099950</v>
          </cell>
          <cell r="AM213">
            <v>966365.69265001523</v>
          </cell>
          <cell r="AN213">
            <v>-223448.52</v>
          </cell>
          <cell r="AO213">
            <v>1768022.879824358</v>
          </cell>
          <cell r="AP213">
            <v>0</v>
          </cell>
          <cell r="AQ213">
            <v>-10034.48000000001</v>
          </cell>
          <cell r="AR213">
            <v>0</v>
          </cell>
          <cell r="AS213">
            <v>0</v>
          </cell>
          <cell r="AT213">
            <v>10600855.572474372</v>
          </cell>
          <cell r="AU213">
            <v>2.4430927666928694E-4</v>
          </cell>
          <cell r="AV213">
            <v>0</v>
          </cell>
          <cell r="AW213">
            <v>0</v>
          </cell>
          <cell r="AY213">
            <v>0</v>
          </cell>
          <cell r="AZ213">
            <v>0</v>
          </cell>
          <cell r="BA213">
            <v>0</v>
          </cell>
          <cell r="BB213">
            <v>0</v>
          </cell>
          <cell r="BC213">
            <v>0</v>
          </cell>
          <cell r="BD213">
            <v>0</v>
          </cell>
          <cell r="BE213">
            <v>0</v>
          </cell>
          <cell r="BF213">
            <v>0</v>
          </cell>
          <cell r="BG213">
            <v>0</v>
          </cell>
          <cell r="BH213">
            <v>0</v>
          </cell>
          <cell r="BJ213">
            <v>0</v>
          </cell>
          <cell r="BL213">
            <v>0</v>
          </cell>
          <cell r="BM213">
            <v>0</v>
          </cell>
          <cell r="BN213">
            <v>0</v>
          </cell>
          <cell r="BO213">
            <v>0</v>
          </cell>
          <cell r="BQ213">
            <v>0</v>
          </cell>
          <cell r="BR213">
            <v>0</v>
          </cell>
          <cell r="BS213">
            <v>0</v>
          </cell>
          <cell r="BT213">
            <v>0</v>
          </cell>
          <cell r="CB213">
            <v>0</v>
          </cell>
          <cell r="CC213">
            <v>0</v>
          </cell>
          <cell r="CD213">
            <v>0</v>
          </cell>
          <cell r="CE213">
            <v>0</v>
          </cell>
          <cell r="CF213">
            <v>0</v>
          </cell>
          <cell r="CI213">
            <v>0</v>
          </cell>
          <cell r="CJ213">
            <v>0</v>
          </cell>
          <cell r="CK213">
            <v>0</v>
          </cell>
          <cell r="CV213">
            <v>2.4367880035541003E-4</v>
          </cell>
          <cell r="DG213">
            <v>10600856</v>
          </cell>
          <cell r="DR213">
            <v>3891820.2999999989</v>
          </cell>
          <cell r="EC213">
            <v>2.7238811617278431</v>
          </cell>
          <cell r="EN213">
            <v>2.4095909012463064E-2</v>
          </cell>
        </row>
        <row r="214">
          <cell r="B214">
            <v>36300</v>
          </cell>
          <cell r="C214" t="str">
            <v>Moore County Schools</v>
          </cell>
          <cell r="D214">
            <v>4.3680148372305747E-3</v>
          </cell>
          <cell r="E214">
            <v>7557684.1540604765</v>
          </cell>
          <cell r="F214">
            <v>5892899.6577461055</v>
          </cell>
          <cell r="G214">
            <v>563426</v>
          </cell>
          <cell r="H214">
            <v>-2108862.428428066</v>
          </cell>
          <cell r="I214">
            <v>-87268.706285756576</v>
          </cell>
          <cell r="J214">
            <v>6377628.0959899304</v>
          </cell>
          <cell r="K214">
            <v>0</v>
          </cell>
          <cell r="L214">
            <v>-335091.16757759877</v>
          </cell>
          <cell r="M214">
            <v>60134.511201758338</v>
          </cell>
          <cell r="N214">
            <v>2266.9123402259238</v>
          </cell>
          <cell r="O214">
            <v>-1023.0327550277729</v>
          </cell>
          <cell r="P214">
            <v>0</v>
          </cell>
          <cell r="Q214">
            <v>0</v>
          </cell>
          <cell r="R214">
            <v>0</v>
          </cell>
          <cell r="S214">
            <v>17921793.996292051</v>
          </cell>
          <cell r="T214">
            <v>2833370</v>
          </cell>
          <cell r="U214">
            <v>31888140.479949649</v>
          </cell>
          <cell r="V214">
            <v>240538.04480703335</v>
          </cell>
          <cell r="W214">
            <v>0</v>
          </cell>
          <cell r="X214">
            <v>34962048.524756685</v>
          </cell>
          <cell r="Y214">
            <v>16239.030000000726</v>
          </cell>
          <cell r="Z214">
            <v>0</v>
          </cell>
          <cell r="AA214">
            <v>0</v>
          </cell>
          <cell r="AB214">
            <v>436343.53142878285</v>
          </cell>
          <cell r="AC214">
            <v>452582.56142878358</v>
          </cell>
          <cell r="AD214" t="str">
            <v>N/A</v>
          </cell>
          <cell r="AE214">
            <v>6913920</v>
          </cell>
          <cell r="AF214">
            <v>6913920</v>
          </cell>
          <cell r="AG214">
            <v>6913920</v>
          </cell>
          <cell r="AH214">
            <v>6913920</v>
          </cell>
          <cell r="AI214">
            <v>6853785</v>
          </cell>
          <cell r="AJ214">
            <v>0</v>
          </cell>
          <cell r="AK214">
            <v>34509465</v>
          </cell>
          <cell r="AL214">
            <v>141419274</v>
          </cell>
          <cell r="AM214">
            <v>17921793.996292051</v>
          </cell>
          <cell r="AN214">
            <v>-3827040.9699999993</v>
          </cell>
          <cell r="AO214">
            <v>31692334.993327904</v>
          </cell>
          <cell r="AP214">
            <v>0</v>
          </cell>
          <cell r="AQ214">
            <v>2817130.9699999993</v>
          </cell>
          <cell r="AR214">
            <v>0</v>
          </cell>
          <cell r="AS214">
            <v>0</v>
          </cell>
          <cell r="AT214">
            <v>190023492.98961997</v>
          </cell>
          <cell r="AU214">
            <v>4.2654633217207253E-3</v>
          </cell>
          <cell r="AV214">
            <v>0</v>
          </cell>
          <cell r="AW214">
            <v>0</v>
          </cell>
          <cell r="AY214">
            <v>0</v>
          </cell>
          <cell r="AZ214">
            <v>0</v>
          </cell>
          <cell r="BA214">
            <v>0</v>
          </cell>
          <cell r="BB214">
            <v>0</v>
          </cell>
          <cell r="BC214">
            <v>0</v>
          </cell>
          <cell r="BD214">
            <v>0</v>
          </cell>
          <cell r="BE214">
            <v>0</v>
          </cell>
          <cell r="BF214">
            <v>0</v>
          </cell>
          <cell r="BG214">
            <v>0</v>
          </cell>
          <cell r="BH214">
            <v>0</v>
          </cell>
          <cell r="BJ214">
            <v>0</v>
          </cell>
          <cell r="BL214">
            <v>0</v>
          </cell>
          <cell r="BM214">
            <v>0</v>
          </cell>
          <cell r="BN214">
            <v>0</v>
          </cell>
          <cell r="BO214">
            <v>0</v>
          </cell>
          <cell r="BQ214">
            <v>0</v>
          </cell>
          <cell r="BR214">
            <v>0</v>
          </cell>
          <cell r="BS214">
            <v>0</v>
          </cell>
          <cell r="BT214">
            <v>0</v>
          </cell>
          <cell r="CB214">
            <v>0</v>
          </cell>
          <cell r="CC214">
            <v>0</v>
          </cell>
          <cell r="CD214">
            <v>0</v>
          </cell>
          <cell r="CE214">
            <v>0</v>
          </cell>
          <cell r="CF214">
            <v>0</v>
          </cell>
          <cell r="CI214">
            <v>0</v>
          </cell>
          <cell r="CJ214">
            <v>0</v>
          </cell>
          <cell r="CK214">
            <v>0</v>
          </cell>
          <cell r="CV214">
            <v>4.3680148372305747E-3</v>
          </cell>
          <cell r="DG214">
            <v>190023492</v>
          </cell>
          <cell r="DR214">
            <v>65112504.539999925</v>
          </cell>
          <cell r="EC214">
            <v>2.9183870800617835</v>
          </cell>
          <cell r="EN214">
            <v>2.4095909012463064E-2</v>
          </cell>
        </row>
        <row r="215">
          <cell r="B215">
            <v>36301</v>
          </cell>
          <cell r="C215" t="str">
            <v>Academy Of Moore County</v>
          </cell>
          <cell r="D215">
            <v>5.6376106519571636E-5</v>
          </cell>
          <cell r="E215">
            <v>97543.809439239994</v>
          </cell>
          <cell r="F215">
            <v>76057.145223635802</v>
          </cell>
          <cell r="G215">
            <v>57027</v>
          </cell>
          <cell r="H215">
            <v>-27218.188886822074</v>
          </cell>
          <cell r="I215">
            <v>-1126.3400113609362</v>
          </cell>
          <cell r="J215">
            <v>82313.328658403043</v>
          </cell>
          <cell r="K215">
            <v>0</v>
          </cell>
          <cell r="L215">
            <v>-4324.8789349579602</v>
          </cell>
          <cell r="M215">
            <v>776.13051588490873</v>
          </cell>
          <cell r="N215">
            <v>29.258071761527287</v>
          </cell>
          <cell r="O215">
            <v>-13.203847907948873</v>
          </cell>
          <cell r="P215">
            <v>0</v>
          </cell>
          <cell r="Q215">
            <v>0</v>
          </cell>
          <cell r="R215">
            <v>0</v>
          </cell>
          <cell r="S215">
            <v>281064.06022787635</v>
          </cell>
          <cell r="T215">
            <v>292499</v>
          </cell>
          <cell r="U215">
            <v>411566.64329201519</v>
          </cell>
          <cell r="V215">
            <v>3104.5220635396349</v>
          </cell>
          <cell r="W215">
            <v>0</v>
          </cell>
          <cell r="X215">
            <v>707170.16535555478</v>
          </cell>
          <cell r="Y215">
            <v>7364.4700000000012</v>
          </cell>
          <cell r="Z215">
            <v>0</v>
          </cell>
          <cell r="AA215">
            <v>0</v>
          </cell>
          <cell r="AB215">
            <v>5631.7000568046806</v>
          </cell>
          <cell r="AC215">
            <v>12996.170056804682</v>
          </cell>
          <cell r="AD215" t="str">
            <v>N/A</v>
          </cell>
          <cell r="AE215">
            <v>138990</v>
          </cell>
          <cell r="AF215">
            <v>138990</v>
          </cell>
          <cell r="AG215">
            <v>138990</v>
          </cell>
          <cell r="AH215">
            <v>138990</v>
          </cell>
          <cell r="AI215">
            <v>138214</v>
          </cell>
          <cell r="AJ215">
            <v>0</v>
          </cell>
          <cell r="AK215">
            <v>694174</v>
          </cell>
          <cell r="AL215">
            <v>1518122</v>
          </cell>
          <cell r="AM215">
            <v>281064.06022787635</v>
          </cell>
          <cell r="AN215">
            <v>-40808.53</v>
          </cell>
          <cell r="AO215">
            <v>409039.46529875015</v>
          </cell>
          <cell r="AP215">
            <v>0</v>
          </cell>
          <cell r="AQ215">
            <v>285134.53000000003</v>
          </cell>
          <cell r="AR215">
            <v>0</v>
          </cell>
          <cell r="AS215">
            <v>0</v>
          </cell>
          <cell r="AT215">
            <v>2452551.525526626</v>
          </cell>
          <cell r="AU215">
            <v>4.5789344165860129E-5</v>
          </cell>
          <cell r="AV215">
            <v>0</v>
          </cell>
          <cell r="AW215">
            <v>0</v>
          </cell>
          <cell r="AY215">
            <v>0</v>
          </cell>
          <cell r="AZ215">
            <v>0</v>
          </cell>
          <cell r="BA215">
            <v>0</v>
          </cell>
          <cell r="BB215">
            <v>0</v>
          </cell>
          <cell r="BC215">
            <v>0</v>
          </cell>
          <cell r="BD215">
            <v>0</v>
          </cell>
          <cell r="BE215">
            <v>0</v>
          </cell>
          <cell r="BF215">
            <v>0</v>
          </cell>
          <cell r="BG215">
            <v>0</v>
          </cell>
          <cell r="BH215">
            <v>0</v>
          </cell>
          <cell r="BJ215">
            <v>0</v>
          </cell>
          <cell r="BL215">
            <v>0</v>
          </cell>
          <cell r="BM215">
            <v>0</v>
          </cell>
          <cell r="BN215">
            <v>0</v>
          </cell>
          <cell r="BO215">
            <v>0</v>
          </cell>
          <cell r="BQ215">
            <v>0</v>
          </cell>
          <cell r="BR215">
            <v>0</v>
          </cell>
          <cell r="BS215">
            <v>0</v>
          </cell>
          <cell r="BT215">
            <v>0</v>
          </cell>
          <cell r="CB215">
            <v>0</v>
          </cell>
          <cell r="CC215">
            <v>0</v>
          </cell>
          <cell r="CD215">
            <v>0</v>
          </cell>
          <cell r="CE215">
            <v>0</v>
          </cell>
          <cell r="CF215">
            <v>0</v>
          </cell>
          <cell r="CI215">
            <v>0</v>
          </cell>
          <cell r="CJ215">
            <v>0</v>
          </cell>
          <cell r="CK215">
            <v>0</v>
          </cell>
          <cell r="CV215">
            <v>5.6376106519571636E-5</v>
          </cell>
          <cell r="DG215">
            <v>2452552</v>
          </cell>
          <cell r="DR215">
            <v>726906.58000000007</v>
          </cell>
          <cell r="EC215">
            <v>3.3739576274024095</v>
          </cell>
          <cell r="EN215">
            <v>2.4095909012463064E-2</v>
          </cell>
        </row>
        <row r="216">
          <cell r="B216">
            <v>36302</v>
          </cell>
          <cell r="C216" t="str">
            <v>Stars Charter School</v>
          </cell>
          <cell r="D216">
            <v>1.1096453713236779E-4</v>
          </cell>
          <cell r="E216">
            <v>191994.52272915488</v>
          </cell>
          <cell r="F216">
            <v>149702.53244466431</v>
          </cell>
          <cell r="G216">
            <v>24268</v>
          </cell>
          <cell r="H216">
            <v>-53573.294040074434</v>
          </cell>
          <cell r="I216">
            <v>-2216.9639893620988</v>
          </cell>
          <cell r="J216">
            <v>162016.51689502943</v>
          </cell>
          <cell r="K216">
            <v>0</v>
          </cell>
          <cell r="L216">
            <v>-8512.6167590969053</v>
          </cell>
          <cell r="M216">
            <v>1527.6500767142568</v>
          </cell>
          <cell r="N216">
            <v>57.588375480956238</v>
          </cell>
          <cell r="O216">
            <v>-25.989004241771859</v>
          </cell>
          <cell r="P216">
            <v>0</v>
          </cell>
          <cell r="Q216">
            <v>0</v>
          </cell>
          <cell r="R216">
            <v>0</v>
          </cell>
          <cell r="S216">
            <v>465237.94672826858</v>
          </cell>
          <cell r="T216">
            <v>135052</v>
          </cell>
          <cell r="U216">
            <v>810082.58447514719</v>
          </cell>
          <cell r="V216">
            <v>6110.6003068570271</v>
          </cell>
          <cell r="W216">
            <v>0</v>
          </cell>
          <cell r="X216">
            <v>951245.18478200422</v>
          </cell>
          <cell r="Y216">
            <v>13712.070000000007</v>
          </cell>
          <cell r="Z216">
            <v>0</v>
          </cell>
          <cell r="AA216">
            <v>0</v>
          </cell>
          <cell r="AB216">
            <v>11084.819946810494</v>
          </cell>
          <cell r="AC216">
            <v>24796.889946810501</v>
          </cell>
          <cell r="AD216" t="str">
            <v>N/A</v>
          </cell>
          <cell r="AE216">
            <v>185595</v>
          </cell>
          <cell r="AF216">
            <v>185595</v>
          </cell>
          <cell r="AG216">
            <v>185595</v>
          </cell>
          <cell r="AH216">
            <v>185595</v>
          </cell>
          <cell r="AI216">
            <v>184068</v>
          </cell>
          <cell r="AJ216">
            <v>0</v>
          </cell>
          <cell r="AK216">
            <v>926448</v>
          </cell>
          <cell r="AL216">
            <v>3516911</v>
          </cell>
          <cell r="AM216">
            <v>465237.94672826858</v>
          </cell>
          <cell r="AN216">
            <v>-81262.929999999993</v>
          </cell>
          <cell r="AO216">
            <v>805108.36483519385</v>
          </cell>
          <cell r="AP216">
            <v>0</v>
          </cell>
          <cell r="AQ216">
            <v>121339.93</v>
          </cell>
          <cell r="AR216">
            <v>0</v>
          </cell>
          <cell r="AS216">
            <v>0</v>
          </cell>
          <cell r="AT216">
            <v>4827334.311563462</v>
          </cell>
          <cell r="AU216">
            <v>1.0607645393740597E-4</v>
          </cell>
          <cell r="AV216">
            <v>0</v>
          </cell>
          <cell r="AW216">
            <v>0</v>
          </cell>
          <cell r="AY216">
            <v>0</v>
          </cell>
          <cell r="AZ216">
            <v>0</v>
          </cell>
          <cell r="BA216">
            <v>0</v>
          </cell>
          <cell r="BB216">
            <v>0</v>
          </cell>
          <cell r="BC216">
            <v>0</v>
          </cell>
          <cell r="BD216">
            <v>0</v>
          </cell>
          <cell r="BE216">
            <v>0</v>
          </cell>
          <cell r="BF216">
            <v>0</v>
          </cell>
          <cell r="BG216">
            <v>0</v>
          </cell>
          <cell r="BH216">
            <v>0</v>
          </cell>
          <cell r="BJ216">
            <v>0</v>
          </cell>
          <cell r="BL216">
            <v>0</v>
          </cell>
          <cell r="BM216">
            <v>0</v>
          </cell>
          <cell r="BN216">
            <v>0</v>
          </cell>
          <cell r="BO216">
            <v>0</v>
          </cell>
          <cell r="BQ216">
            <v>0</v>
          </cell>
          <cell r="BR216">
            <v>0</v>
          </cell>
          <cell r="BS216">
            <v>0</v>
          </cell>
          <cell r="BT216">
            <v>0</v>
          </cell>
          <cell r="CB216">
            <v>0</v>
          </cell>
          <cell r="CC216">
            <v>0</v>
          </cell>
          <cell r="CD216">
            <v>0</v>
          </cell>
          <cell r="CE216">
            <v>0</v>
          </cell>
          <cell r="CF216">
            <v>0</v>
          </cell>
          <cell r="CI216">
            <v>0</v>
          </cell>
          <cell r="CJ216">
            <v>0</v>
          </cell>
          <cell r="CK216">
            <v>0</v>
          </cell>
          <cell r="CV216">
            <v>1.1096453713236779E-4</v>
          </cell>
          <cell r="DG216">
            <v>4827335</v>
          </cell>
          <cell r="DR216">
            <v>1436669.5200000003</v>
          </cell>
          <cell r="EC216">
            <v>3.3600872941189697</v>
          </cell>
          <cell r="EN216">
            <v>2.4095909012463064E-2</v>
          </cell>
        </row>
        <row r="217">
          <cell r="B217">
            <v>36305</v>
          </cell>
          <cell r="C217" t="str">
            <v>Sandhills Community College</v>
          </cell>
          <cell r="D217">
            <v>8.7947635124209923E-4</v>
          </cell>
          <cell r="E217">
            <v>1521699.1542701744</v>
          </cell>
          <cell r="F217">
            <v>1186503.7282053495</v>
          </cell>
          <cell r="G217">
            <v>176391</v>
          </cell>
          <cell r="H217">
            <v>-424608.13503128773</v>
          </cell>
          <cell r="I217">
            <v>-17571.085777372828</v>
          </cell>
          <cell r="J217">
            <v>1284101.1984740745</v>
          </cell>
          <cell r="K217">
            <v>0</v>
          </cell>
          <cell r="L217">
            <v>-67468.808686888806</v>
          </cell>
          <cell r="M217">
            <v>12107.761183563449</v>
          </cell>
          <cell r="N217">
            <v>456.43063676762466</v>
          </cell>
          <cell r="O217">
            <v>-205.98215622441205</v>
          </cell>
          <cell r="P217">
            <v>0</v>
          </cell>
          <cell r="Q217">
            <v>0</v>
          </cell>
          <cell r="R217">
            <v>0</v>
          </cell>
          <cell r="S217">
            <v>3671405.2611181564</v>
          </cell>
          <cell r="T217">
            <v>881950.71000000008</v>
          </cell>
          <cell r="U217">
            <v>6420505.9923703726</v>
          </cell>
          <cell r="V217">
            <v>48431.044734253795</v>
          </cell>
          <cell r="W217">
            <v>0</v>
          </cell>
          <cell r="X217">
            <v>7350887.7471046261</v>
          </cell>
          <cell r="Y217">
            <v>0</v>
          </cell>
          <cell r="Z217">
            <v>0</v>
          </cell>
          <cell r="AA217">
            <v>0</v>
          </cell>
          <cell r="AB217">
            <v>87855.428886864131</v>
          </cell>
          <cell r="AC217">
            <v>87855.428886864131</v>
          </cell>
          <cell r="AD217" t="str">
            <v>N/A</v>
          </cell>
          <cell r="AE217">
            <v>1455028</v>
          </cell>
          <cell r="AF217">
            <v>1455029</v>
          </cell>
          <cell r="AG217">
            <v>1455029</v>
          </cell>
          <cell r="AH217">
            <v>1455029</v>
          </cell>
          <cell r="AI217">
            <v>1442921</v>
          </cell>
          <cell r="AJ217">
            <v>0</v>
          </cell>
          <cell r="AK217">
            <v>7263036</v>
          </cell>
          <cell r="AL217">
            <v>28178928</v>
          </cell>
          <cell r="AM217">
            <v>3671405.2611181564</v>
          </cell>
          <cell r="AN217">
            <v>-853154.71000000008</v>
          </cell>
          <cell r="AO217">
            <v>6381081.6082177628</v>
          </cell>
          <cell r="AP217">
            <v>0</v>
          </cell>
          <cell r="AQ217">
            <v>881950.71000000008</v>
          </cell>
          <cell r="AR217">
            <v>0</v>
          </cell>
          <cell r="AS217">
            <v>0</v>
          </cell>
          <cell r="AT217">
            <v>38260210.86933592</v>
          </cell>
          <cell r="AU217">
            <v>8.4992788967464417E-4</v>
          </cell>
          <cell r="AV217">
            <v>0</v>
          </cell>
          <cell r="AW217">
            <v>0</v>
          </cell>
          <cell r="AY217">
            <v>0</v>
          </cell>
          <cell r="AZ217">
            <v>0</v>
          </cell>
          <cell r="BA217">
            <v>0</v>
          </cell>
          <cell r="BB217">
            <v>0</v>
          </cell>
          <cell r="BC217">
            <v>0</v>
          </cell>
          <cell r="BD217">
            <v>0</v>
          </cell>
          <cell r="BE217">
            <v>0</v>
          </cell>
          <cell r="BF217">
            <v>0</v>
          </cell>
          <cell r="BG217">
            <v>0</v>
          </cell>
          <cell r="BH217">
            <v>0</v>
          </cell>
          <cell r="BJ217">
            <v>0</v>
          </cell>
          <cell r="BL217">
            <v>0</v>
          </cell>
          <cell r="BM217">
            <v>0</v>
          </cell>
          <cell r="BN217">
            <v>0</v>
          </cell>
          <cell r="BO217">
            <v>0</v>
          </cell>
          <cell r="BQ217">
            <v>0</v>
          </cell>
          <cell r="BR217">
            <v>0</v>
          </cell>
          <cell r="BS217">
            <v>0</v>
          </cell>
          <cell r="BT217">
            <v>0</v>
          </cell>
          <cell r="CB217">
            <v>0</v>
          </cell>
          <cell r="CC217">
            <v>0</v>
          </cell>
          <cell r="CD217">
            <v>0</v>
          </cell>
          <cell r="CE217">
            <v>0</v>
          </cell>
          <cell r="CF217">
            <v>0</v>
          </cell>
          <cell r="CI217">
            <v>0</v>
          </cell>
          <cell r="CJ217">
            <v>0</v>
          </cell>
          <cell r="CK217">
            <v>0</v>
          </cell>
          <cell r="CV217">
            <v>8.7947635124209923E-4</v>
          </cell>
          <cell r="DG217">
            <v>38260211</v>
          </cell>
          <cell r="DR217">
            <v>14893977.860000012</v>
          </cell>
          <cell r="EC217">
            <v>2.5688376442906815</v>
          </cell>
          <cell r="EN217">
            <v>2.4095909012463064E-2</v>
          </cell>
        </row>
        <row r="218">
          <cell r="B218">
            <v>36400</v>
          </cell>
          <cell r="C218" t="str">
            <v>Nash-Rocky Mount Schools</v>
          </cell>
          <cell r="D218">
            <v>4.6871375997386069E-3</v>
          </cell>
          <cell r="E218">
            <v>8109840.9427347835</v>
          </cell>
          <cell r="F218">
            <v>6323428.9686664166</v>
          </cell>
          <cell r="G218">
            <v>-150925</v>
          </cell>
          <cell r="H218">
            <v>-2262933.7924200553</v>
          </cell>
          <cell r="I218">
            <v>-93644.470029285862</v>
          </cell>
          <cell r="J218">
            <v>6843571.178163969</v>
          </cell>
          <cell r="K218">
            <v>0</v>
          </cell>
          <cell r="L218">
            <v>-359572.59062084206</v>
          </cell>
          <cell r="M218">
            <v>64527.877994656512</v>
          </cell>
          <cell r="N218">
            <v>2432.5306715123425</v>
          </cell>
          <cell r="O218">
            <v>-1097.7744972347791</v>
          </cell>
          <cell r="P218">
            <v>0</v>
          </cell>
          <cell r="Q218">
            <v>0</v>
          </cell>
          <cell r="R218">
            <v>0</v>
          </cell>
          <cell r="S218">
            <v>18475627.870663922</v>
          </cell>
          <cell r="T218">
            <v>163868.46999999881</v>
          </cell>
          <cell r="U218">
            <v>34217855.890819848</v>
          </cell>
          <cell r="V218">
            <v>258111.51197862605</v>
          </cell>
          <cell r="W218">
            <v>0</v>
          </cell>
          <cell r="X218">
            <v>34639835.872798473</v>
          </cell>
          <cell r="Y218">
            <v>918494</v>
          </cell>
          <cell r="Z218">
            <v>0</v>
          </cell>
          <cell r="AA218">
            <v>0</v>
          </cell>
          <cell r="AB218">
            <v>468222.35014642932</v>
          </cell>
          <cell r="AC218">
            <v>1386716.3501464294</v>
          </cell>
          <cell r="AD218" t="str">
            <v>N/A</v>
          </cell>
          <cell r="AE218">
            <v>6663530</v>
          </cell>
          <cell r="AF218">
            <v>6663530</v>
          </cell>
          <cell r="AG218">
            <v>6663530</v>
          </cell>
          <cell r="AH218">
            <v>6663530</v>
          </cell>
          <cell r="AI218">
            <v>6599002</v>
          </cell>
          <cell r="AJ218">
            <v>0</v>
          </cell>
          <cell r="AK218">
            <v>33253122</v>
          </cell>
          <cell r="AL218">
            <v>156501864</v>
          </cell>
          <cell r="AM218">
            <v>18475627.870663922</v>
          </cell>
          <cell r="AN218">
            <v>-4324194.4699999988</v>
          </cell>
          <cell r="AO218">
            <v>34007745.052652046</v>
          </cell>
          <cell r="AP218">
            <v>0</v>
          </cell>
          <cell r="AQ218">
            <v>-754625.53000000119</v>
          </cell>
          <cell r="AR218">
            <v>0</v>
          </cell>
          <cell r="AS218">
            <v>0</v>
          </cell>
          <cell r="AT218">
            <v>203906416.92331597</v>
          </cell>
          <cell r="AU218">
            <v>4.7203817312791458E-3</v>
          </cell>
          <cell r="AV218">
            <v>0</v>
          </cell>
          <cell r="AW218">
            <v>0</v>
          </cell>
          <cell r="AY218">
            <v>0</v>
          </cell>
          <cell r="AZ218">
            <v>0</v>
          </cell>
          <cell r="BA218">
            <v>0</v>
          </cell>
          <cell r="BB218">
            <v>0</v>
          </cell>
          <cell r="BC218">
            <v>0</v>
          </cell>
          <cell r="BD218">
            <v>0</v>
          </cell>
          <cell r="BE218">
            <v>0</v>
          </cell>
          <cell r="BF218">
            <v>0</v>
          </cell>
          <cell r="BG218">
            <v>0</v>
          </cell>
          <cell r="BH218">
            <v>0</v>
          </cell>
          <cell r="BJ218">
            <v>0</v>
          </cell>
          <cell r="BL218">
            <v>0</v>
          </cell>
          <cell r="BM218">
            <v>0</v>
          </cell>
          <cell r="BN218">
            <v>0</v>
          </cell>
          <cell r="BO218">
            <v>0</v>
          </cell>
          <cell r="BQ218">
            <v>0</v>
          </cell>
          <cell r="BR218">
            <v>0</v>
          </cell>
          <cell r="BS218">
            <v>0</v>
          </cell>
          <cell r="BT218">
            <v>0</v>
          </cell>
          <cell r="CB218">
            <v>0</v>
          </cell>
          <cell r="CC218">
            <v>0</v>
          </cell>
          <cell r="CD218">
            <v>0</v>
          </cell>
          <cell r="CE218">
            <v>0</v>
          </cell>
          <cell r="CF218">
            <v>0</v>
          </cell>
          <cell r="CI218">
            <v>0</v>
          </cell>
          <cell r="CJ218">
            <v>0</v>
          </cell>
          <cell r="CK218">
            <v>0</v>
          </cell>
          <cell r="CV218">
            <v>4.6871375997386069E-3</v>
          </cell>
          <cell r="DG218">
            <v>203906417</v>
          </cell>
          <cell r="DR218">
            <v>73556121.539999887</v>
          </cell>
          <cell r="EC218">
            <v>2.7721202903434148</v>
          </cell>
          <cell r="EN218">
            <v>2.4095909012463064E-2</v>
          </cell>
        </row>
        <row r="219">
          <cell r="B219">
            <v>36405</v>
          </cell>
          <cell r="C219" t="str">
            <v>Nash Technical College</v>
          </cell>
          <cell r="D219">
            <v>7.9709936527595955E-4</v>
          </cell>
          <cell r="E219">
            <v>1379167.760789312</v>
          </cell>
          <cell r="F219">
            <v>1075368.7319895858</v>
          </cell>
          <cell r="G219">
            <v>260459</v>
          </cell>
          <cell r="H219">
            <v>-384836.81163961132</v>
          </cell>
          <cell r="I219">
            <v>-15925.273374971996</v>
          </cell>
          <cell r="J219">
            <v>1163824.6427072177</v>
          </cell>
          <cell r="K219">
            <v>0</v>
          </cell>
          <cell r="L219">
            <v>-61149.278777411964</v>
          </cell>
          <cell r="M219">
            <v>10973.676257128382</v>
          </cell>
          <cell r="N219">
            <v>413.67862859091747</v>
          </cell>
          <cell r="O219">
            <v>-186.68864234128247</v>
          </cell>
          <cell r="P219">
            <v>0</v>
          </cell>
          <cell r="Q219">
            <v>0</v>
          </cell>
          <cell r="R219">
            <v>0</v>
          </cell>
          <cell r="S219">
            <v>3428109.4379374981</v>
          </cell>
          <cell r="T219">
            <v>1302291.57</v>
          </cell>
          <cell r="U219">
            <v>5819123.2135360893</v>
          </cell>
          <cell r="V219">
            <v>43894.705028513526</v>
          </cell>
          <cell r="W219">
            <v>0</v>
          </cell>
          <cell r="X219">
            <v>7165309.488564603</v>
          </cell>
          <cell r="Y219">
            <v>0</v>
          </cell>
          <cell r="Z219">
            <v>0</v>
          </cell>
          <cell r="AA219">
            <v>0</v>
          </cell>
          <cell r="AB219">
            <v>79626.366874859974</v>
          </cell>
          <cell r="AC219">
            <v>79626.366874859974</v>
          </cell>
          <cell r="AD219" t="str">
            <v>N/A</v>
          </cell>
          <cell r="AE219">
            <v>1419331</v>
          </cell>
          <cell r="AF219">
            <v>1419332</v>
          </cell>
          <cell r="AG219">
            <v>1419332</v>
          </cell>
          <cell r="AH219">
            <v>1419332</v>
          </cell>
          <cell r="AI219">
            <v>1408358</v>
          </cell>
          <cell r="AJ219">
            <v>0</v>
          </cell>
          <cell r="AK219">
            <v>7085685</v>
          </cell>
          <cell r="AL219">
            <v>24893168</v>
          </cell>
          <cell r="AM219">
            <v>3428109.4379374981</v>
          </cell>
          <cell r="AN219">
            <v>-730429.57000000007</v>
          </cell>
          <cell r="AO219">
            <v>5783391.5516897431</v>
          </cell>
          <cell r="AP219">
            <v>0</v>
          </cell>
          <cell r="AQ219">
            <v>1302291.57</v>
          </cell>
          <cell r="AR219">
            <v>0</v>
          </cell>
          <cell r="AS219">
            <v>0</v>
          </cell>
          <cell r="AT219">
            <v>34676530.989627242</v>
          </cell>
          <cell r="AU219">
            <v>7.5082335496289888E-4</v>
          </cell>
          <cell r="AV219">
            <v>0</v>
          </cell>
          <cell r="AW219">
            <v>0</v>
          </cell>
          <cell r="AY219">
            <v>0</v>
          </cell>
          <cell r="AZ219">
            <v>0</v>
          </cell>
          <cell r="BA219">
            <v>0</v>
          </cell>
          <cell r="BB219">
            <v>0</v>
          </cell>
          <cell r="BC219">
            <v>0</v>
          </cell>
          <cell r="BD219">
            <v>0</v>
          </cell>
          <cell r="BE219">
            <v>0</v>
          </cell>
          <cell r="BF219">
            <v>0</v>
          </cell>
          <cell r="BG219">
            <v>0</v>
          </cell>
          <cell r="BH219">
            <v>0</v>
          </cell>
          <cell r="BJ219">
            <v>0</v>
          </cell>
          <cell r="BL219">
            <v>0</v>
          </cell>
          <cell r="BM219">
            <v>0</v>
          </cell>
          <cell r="BN219">
            <v>0</v>
          </cell>
          <cell r="BO219">
            <v>0</v>
          </cell>
          <cell r="BQ219">
            <v>0</v>
          </cell>
          <cell r="BR219">
            <v>0</v>
          </cell>
          <cell r="BS219">
            <v>0</v>
          </cell>
          <cell r="BT219">
            <v>0</v>
          </cell>
          <cell r="CB219">
            <v>0</v>
          </cell>
          <cell r="CC219">
            <v>0</v>
          </cell>
          <cell r="CD219">
            <v>0</v>
          </cell>
          <cell r="CE219">
            <v>0</v>
          </cell>
          <cell r="CF219">
            <v>0</v>
          </cell>
          <cell r="CI219">
            <v>0</v>
          </cell>
          <cell r="CJ219">
            <v>0</v>
          </cell>
          <cell r="CK219">
            <v>0</v>
          </cell>
          <cell r="CV219">
            <v>7.9709936527595955E-4</v>
          </cell>
          <cell r="DG219">
            <v>34676532</v>
          </cell>
          <cell r="DR219">
            <v>12522920.060000004</v>
          </cell>
          <cell r="EC219">
            <v>2.7690452253833193</v>
          </cell>
          <cell r="EN219">
            <v>2.4095909012463064E-2</v>
          </cell>
        </row>
        <row r="220">
          <cell r="B220">
            <v>36500</v>
          </cell>
          <cell r="C220" t="str">
            <v>New Hanover County Schools</v>
          </cell>
          <cell r="D220">
            <v>9.2600936236601917E-3</v>
          </cell>
          <cell r="E220">
            <v>16022121.135702267</v>
          </cell>
          <cell r="F220">
            <v>12492815.290014435</v>
          </cell>
          <cell r="G220">
            <v>792952</v>
          </cell>
          <cell r="H220">
            <v>-4470741.1156699881</v>
          </cell>
          <cell r="I220">
            <v>-185007.70275180053</v>
          </cell>
          <cell r="J220">
            <v>13520428.72253526</v>
          </cell>
          <cell r="K220">
            <v>0</v>
          </cell>
          <cell r="L220">
            <v>-710385.77016316436</v>
          </cell>
          <cell r="M220">
            <v>127483.81690351163</v>
          </cell>
          <cell r="N220">
            <v>4805.8033888071659</v>
          </cell>
          <cell r="O220">
            <v>-2168.8065275974536</v>
          </cell>
          <cell r="P220">
            <v>0</v>
          </cell>
          <cell r="Q220">
            <v>0</v>
          </cell>
          <cell r="R220">
            <v>0</v>
          </cell>
          <cell r="S220">
            <v>37592303.37343172</v>
          </cell>
          <cell r="T220">
            <v>4166781</v>
          </cell>
          <cell r="U220">
            <v>67602143.612676308</v>
          </cell>
          <cell r="V220">
            <v>509935.26761404652</v>
          </cell>
          <cell r="W220">
            <v>0</v>
          </cell>
          <cell r="X220">
            <v>72278859.880290359</v>
          </cell>
          <cell r="Y220">
            <v>202021.27000000048</v>
          </cell>
          <cell r="Z220">
            <v>0</v>
          </cell>
          <cell r="AA220">
            <v>0</v>
          </cell>
          <cell r="AB220">
            <v>925038.51375900256</v>
          </cell>
          <cell r="AC220">
            <v>1127059.783759003</v>
          </cell>
          <cell r="AD220" t="str">
            <v>N/A</v>
          </cell>
          <cell r="AE220">
            <v>14255857</v>
          </cell>
          <cell r="AF220">
            <v>14255857</v>
          </cell>
          <cell r="AG220">
            <v>14255857</v>
          </cell>
          <cell r="AH220">
            <v>14255857</v>
          </cell>
          <cell r="AI220">
            <v>14128373</v>
          </cell>
          <cell r="AJ220">
            <v>0</v>
          </cell>
          <cell r="AK220">
            <v>71151801</v>
          </cell>
          <cell r="AL220">
            <v>302013573</v>
          </cell>
          <cell r="AM220">
            <v>37592303.37343172</v>
          </cell>
          <cell r="AN220">
            <v>-7912128.7299999995</v>
          </cell>
          <cell r="AO220">
            <v>67187040.366531342</v>
          </cell>
          <cell r="AP220">
            <v>0</v>
          </cell>
          <cell r="AQ220">
            <v>3964759.7299999995</v>
          </cell>
          <cell r="AR220">
            <v>0</v>
          </cell>
          <cell r="AS220">
            <v>0</v>
          </cell>
          <cell r="AT220">
            <v>402845547.73996305</v>
          </cell>
          <cell r="AU220">
            <v>9.1092803688785605E-3</v>
          </cell>
          <cell r="AV220">
            <v>0</v>
          </cell>
          <cell r="AW220">
            <v>0</v>
          </cell>
          <cell r="AY220">
            <v>0</v>
          </cell>
          <cell r="AZ220">
            <v>0</v>
          </cell>
          <cell r="BA220">
            <v>0</v>
          </cell>
          <cell r="BB220">
            <v>0</v>
          </cell>
          <cell r="BC220">
            <v>0</v>
          </cell>
          <cell r="BD220">
            <v>0</v>
          </cell>
          <cell r="BE220">
            <v>0</v>
          </cell>
          <cell r="BF220">
            <v>0</v>
          </cell>
          <cell r="BG220">
            <v>0</v>
          </cell>
          <cell r="BH220">
            <v>0</v>
          </cell>
          <cell r="BJ220">
            <v>0</v>
          </cell>
          <cell r="BL220">
            <v>0</v>
          </cell>
          <cell r="BM220">
            <v>0</v>
          </cell>
          <cell r="BN220">
            <v>0</v>
          </cell>
          <cell r="BO220">
            <v>0</v>
          </cell>
          <cell r="BQ220">
            <v>0</v>
          </cell>
          <cell r="BR220">
            <v>0</v>
          </cell>
          <cell r="BS220">
            <v>0</v>
          </cell>
          <cell r="BT220">
            <v>0</v>
          </cell>
          <cell r="CB220">
            <v>0</v>
          </cell>
          <cell r="CC220">
            <v>0</v>
          </cell>
          <cell r="CD220">
            <v>0</v>
          </cell>
          <cell r="CE220">
            <v>0</v>
          </cell>
          <cell r="CF220">
            <v>0</v>
          </cell>
          <cell r="CI220">
            <v>0</v>
          </cell>
          <cell r="CJ220">
            <v>0</v>
          </cell>
          <cell r="CK220">
            <v>0</v>
          </cell>
          <cell r="CV220">
            <v>9.2600936236601917E-3</v>
          </cell>
          <cell r="DG220">
            <v>402845548</v>
          </cell>
          <cell r="DR220">
            <v>137779977.63999993</v>
          </cell>
          <cell r="EC220">
            <v>2.9238322933436658</v>
          </cell>
          <cell r="EN220">
            <v>2.4095909012463064E-2</v>
          </cell>
        </row>
        <row r="221">
          <cell r="B221">
            <v>36501</v>
          </cell>
          <cell r="C221" t="str">
            <v>Cape Fear Center For Inquiry</v>
          </cell>
          <cell r="D221">
            <v>1.1067121475554864E-4</v>
          </cell>
          <cell r="E221">
            <v>191487.0066235725</v>
          </cell>
          <cell r="F221">
            <v>149306.81049811002</v>
          </cell>
          <cell r="G221">
            <v>-6393</v>
          </cell>
          <cell r="H221">
            <v>-53431.679012895795</v>
          </cell>
          <cell r="I221">
            <v>-2211.1036923384972</v>
          </cell>
          <cell r="J221">
            <v>161588.2443040942</v>
          </cell>
          <cell r="K221">
            <v>0</v>
          </cell>
          <cell r="L221">
            <v>-8490.1146061996224</v>
          </cell>
          <cell r="M221">
            <v>1523.6119041320087</v>
          </cell>
          <cell r="N221">
            <v>57.436147033834636</v>
          </cell>
          <cell r="O221">
            <v>-25.920305207897048</v>
          </cell>
          <cell r="P221">
            <v>0</v>
          </cell>
          <cell r="Q221">
            <v>0</v>
          </cell>
          <cell r="R221">
            <v>0</v>
          </cell>
          <cell r="S221">
            <v>433411.29186030076</v>
          </cell>
          <cell r="T221">
            <v>0</v>
          </cell>
          <cell r="U221">
            <v>807941.22152047104</v>
          </cell>
          <cell r="V221">
            <v>6094.4476165280348</v>
          </cell>
          <cell r="W221">
            <v>0</v>
          </cell>
          <cell r="X221">
            <v>814035.66913699906</v>
          </cell>
          <cell r="Y221">
            <v>31959.699999999997</v>
          </cell>
          <cell r="Z221">
            <v>0</v>
          </cell>
          <cell r="AA221">
            <v>0</v>
          </cell>
          <cell r="AB221">
            <v>11055.518461692485</v>
          </cell>
          <cell r="AC221">
            <v>43015.218461692479</v>
          </cell>
          <cell r="AD221" t="str">
            <v>N/A</v>
          </cell>
          <cell r="AE221">
            <v>154509</v>
          </cell>
          <cell r="AF221">
            <v>154509</v>
          </cell>
          <cell r="AG221">
            <v>154509</v>
          </cell>
          <cell r="AH221">
            <v>154509</v>
          </cell>
          <cell r="AI221">
            <v>152985</v>
          </cell>
          <cell r="AJ221">
            <v>0</v>
          </cell>
          <cell r="AK221">
            <v>771021</v>
          </cell>
          <cell r="AL221">
            <v>3695273</v>
          </cell>
          <cell r="AM221">
            <v>433411.29186030076</v>
          </cell>
          <cell r="AN221">
            <v>-85130.3</v>
          </cell>
          <cell r="AO221">
            <v>802980.15067530656</v>
          </cell>
          <cell r="AP221">
            <v>0</v>
          </cell>
          <cell r="AQ221">
            <v>-31959.699999999997</v>
          </cell>
          <cell r="AR221">
            <v>0</v>
          </cell>
          <cell r="AS221">
            <v>0</v>
          </cell>
          <cell r="AT221">
            <v>4814574.4425356071</v>
          </cell>
          <cell r="AU221">
            <v>1.1145617199183244E-4</v>
          </cell>
          <cell r="AV221">
            <v>0</v>
          </cell>
          <cell r="AW221">
            <v>0</v>
          </cell>
          <cell r="AY221">
            <v>0</v>
          </cell>
          <cell r="AZ221">
            <v>0</v>
          </cell>
          <cell r="BA221">
            <v>0</v>
          </cell>
          <cell r="BB221">
            <v>0</v>
          </cell>
          <cell r="BC221">
            <v>0</v>
          </cell>
          <cell r="BD221">
            <v>0</v>
          </cell>
          <cell r="BE221">
            <v>0</v>
          </cell>
          <cell r="BF221">
            <v>0</v>
          </cell>
          <cell r="BG221">
            <v>0</v>
          </cell>
          <cell r="BH221">
            <v>0</v>
          </cell>
          <cell r="BJ221">
            <v>0</v>
          </cell>
          <cell r="BL221">
            <v>0</v>
          </cell>
          <cell r="BM221">
            <v>0</v>
          </cell>
          <cell r="BN221">
            <v>0</v>
          </cell>
          <cell r="BO221">
            <v>0</v>
          </cell>
          <cell r="BQ221">
            <v>0</v>
          </cell>
          <cell r="BR221">
            <v>0</v>
          </cell>
          <cell r="BS221">
            <v>0</v>
          </cell>
          <cell r="BT221">
            <v>0</v>
          </cell>
          <cell r="CB221">
            <v>0</v>
          </cell>
          <cell r="CC221">
            <v>0</v>
          </cell>
          <cell r="CD221">
            <v>0</v>
          </cell>
          <cell r="CE221">
            <v>0</v>
          </cell>
          <cell r="CF221">
            <v>0</v>
          </cell>
          <cell r="CI221">
            <v>0</v>
          </cell>
          <cell r="CJ221">
            <v>0</v>
          </cell>
          <cell r="CK221">
            <v>0</v>
          </cell>
          <cell r="CV221">
            <v>1.1067121475554864E-4</v>
          </cell>
          <cell r="DG221">
            <v>4814574</v>
          </cell>
          <cell r="DR221">
            <v>1499516.45</v>
          </cell>
          <cell r="EC221">
            <v>3.2107510391099745</v>
          </cell>
          <cell r="EN221">
            <v>2.4095909012463064E-2</v>
          </cell>
        </row>
        <row r="222">
          <cell r="B222">
            <v>36502</v>
          </cell>
          <cell r="C222" t="str">
            <v>Wilmington Preparatory Academy</v>
          </cell>
          <cell r="D222">
            <v>4.5678848884780135E-5</v>
          </cell>
          <cell r="E222">
            <v>79035.059462185251</v>
          </cell>
          <cell r="F222">
            <v>61625.448399352055</v>
          </cell>
          <cell r="G222">
            <v>-5546</v>
          </cell>
          <cell r="H222">
            <v>-22053.589966290467</v>
          </cell>
          <cell r="I222">
            <v>-912.61916347444628</v>
          </cell>
          <cell r="J222">
            <v>66694.533076439271</v>
          </cell>
          <cell r="K222">
            <v>0</v>
          </cell>
          <cell r="L222">
            <v>-3504.2414865299324</v>
          </cell>
          <cell r="M222">
            <v>628.86124528066432</v>
          </cell>
          <cell r="N222">
            <v>23.706408994223196</v>
          </cell>
          <cell r="O222">
            <v>-10.698443197304355</v>
          </cell>
          <cell r="P222">
            <v>0</v>
          </cell>
          <cell r="Q222">
            <v>0</v>
          </cell>
          <cell r="R222">
            <v>0</v>
          </cell>
          <cell r="S222">
            <v>175980.4595327593</v>
          </cell>
          <cell r="T222">
            <v>0</v>
          </cell>
          <cell r="U222">
            <v>333472.66538219637</v>
          </cell>
          <cell r="V222">
            <v>2515.4449811226573</v>
          </cell>
          <cell r="W222">
            <v>0</v>
          </cell>
          <cell r="X222">
            <v>335988.11036331905</v>
          </cell>
          <cell r="Y222">
            <v>27727.260000000006</v>
          </cell>
          <cell r="Z222">
            <v>0</v>
          </cell>
          <cell r="AA222">
            <v>0</v>
          </cell>
          <cell r="AB222">
            <v>4563.0958173722311</v>
          </cell>
          <cell r="AC222">
            <v>32290.355817372238</v>
          </cell>
          <cell r="AD222" t="str">
            <v>N/A</v>
          </cell>
          <cell r="AE222">
            <v>60866</v>
          </cell>
          <cell r="AF222">
            <v>60865</v>
          </cell>
          <cell r="AG222">
            <v>60865</v>
          </cell>
          <cell r="AH222">
            <v>60865</v>
          </cell>
          <cell r="AI222">
            <v>60236</v>
          </cell>
          <cell r="AJ222">
            <v>0</v>
          </cell>
          <cell r="AK222">
            <v>303697</v>
          </cell>
          <cell r="AL222">
            <v>1539314</v>
          </cell>
          <cell r="AM222">
            <v>175980.4595327593</v>
          </cell>
          <cell r="AN222">
            <v>-31806.739999999994</v>
          </cell>
          <cell r="AO222">
            <v>331425.01454594685</v>
          </cell>
          <cell r="AP222">
            <v>0</v>
          </cell>
          <cell r="AQ222">
            <v>-27727.260000000006</v>
          </cell>
          <cell r="AR222">
            <v>0</v>
          </cell>
          <cell r="AS222">
            <v>0</v>
          </cell>
          <cell r="AT222">
            <v>1987185.4740787062</v>
          </cell>
          <cell r="AU222">
            <v>4.6428511604156449E-5</v>
          </cell>
          <cell r="AV222">
            <v>0</v>
          </cell>
          <cell r="AW222">
            <v>0</v>
          </cell>
          <cell r="AY222">
            <v>0</v>
          </cell>
          <cell r="AZ222">
            <v>0</v>
          </cell>
          <cell r="BA222">
            <v>0</v>
          </cell>
          <cell r="BB222">
            <v>0</v>
          </cell>
          <cell r="BC222">
            <v>0</v>
          </cell>
          <cell r="BD222">
            <v>0</v>
          </cell>
          <cell r="BE222">
            <v>0</v>
          </cell>
          <cell r="BF222">
            <v>0</v>
          </cell>
          <cell r="BG222">
            <v>0</v>
          </cell>
          <cell r="BH222">
            <v>0</v>
          </cell>
          <cell r="BJ222">
            <v>0</v>
          </cell>
          <cell r="BL222">
            <v>0</v>
          </cell>
          <cell r="BM222">
            <v>0</v>
          </cell>
          <cell r="BN222">
            <v>0</v>
          </cell>
          <cell r="BO222">
            <v>0</v>
          </cell>
          <cell r="BQ222">
            <v>0</v>
          </cell>
          <cell r="BR222">
            <v>0</v>
          </cell>
          <cell r="BS222">
            <v>0</v>
          </cell>
          <cell r="BT222">
            <v>0</v>
          </cell>
          <cell r="CB222">
            <v>0</v>
          </cell>
          <cell r="CC222">
            <v>0</v>
          </cell>
          <cell r="CD222">
            <v>0</v>
          </cell>
          <cell r="CE222">
            <v>0</v>
          </cell>
          <cell r="CF222">
            <v>0</v>
          </cell>
          <cell r="CI222">
            <v>0</v>
          </cell>
          <cell r="CJ222">
            <v>0</v>
          </cell>
          <cell r="CK222">
            <v>0</v>
          </cell>
          <cell r="CV222">
            <v>4.5678848884780135E-5</v>
          </cell>
          <cell r="DG222">
            <v>1987185</v>
          </cell>
          <cell r="DR222">
            <v>539505.5</v>
          </cell>
          <cell r="EC222">
            <v>3.6833452114946001</v>
          </cell>
          <cell r="EN222">
            <v>2.4095909012463064E-2</v>
          </cell>
        </row>
        <row r="223">
          <cell r="B223">
            <v>36505</v>
          </cell>
          <cell r="C223" t="str">
            <v>Cape Fear Community College</v>
          </cell>
          <cell r="D223">
            <v>1.8479689584723819E-3</v>
          </cell>
          <cell r="E223">
            <v>3197417.187231299</v>
          </cell>
          <cell r="F223">
            <v>2493099.5082909972</v>
          </cell>
          <cell r="G223">
            <v>-104580</v>
          </cell>
          <cell r="H223">
            <v>-892193.01001610456</v>
          </cell>
          <cell r="I223">
            <v>-36920.630142449496</v>
          </cell>
          <cell r="J223">
            <v>2698172.7831179025</v>
          </cell>
          <cell r="K223">
            <v>0</v>
          </cell>
          <cell r="L223">
            <v>-141766.4772252196</v>
          </cell>
          <cell r="M223">
            <v>25441.010201379286</v>
          </cell>
          <cell r="N223">
            <v>959.05893006799681</v>
          </cell>
          <cell r="O223">
            <v>-432.81280976381657</v>
          </cell>
          <cell r="P223">
            <v>0</v>
          </cell>
          <cell r="Q223">
            <v>0</v>
          </cell>
          <cell r="R223">
            <v>0</v>
          </cell>
          <cell r="S223">
            <v>7239196.6175781097</v>
          </cell>
          <cell r="T223">
            <v>93130.929999999935</v>
          </cell>
          <cell r="U223">
            <v>13490863.915589513</v>
          </cell>
          <cell r="V223">
            <v>101764.04080551714</v>
          </cell>
          <cell r="W223">
            <v>0</v>
          </cell>
          <cell r="X223">
            <v>13685758.88639503</v>
          </cell>
          <cell r="Y223">
            <v>616031</v>
          </cell>
          <cell r="Z223">
            <v>0</v>
          </cell>
          <cell r="AA223">
            <v>0</v>
          </cell>
          <cell r="AB223">
            <v>184603.15071224747</v>
          </cell>
          <cell r="AC223">
            <v>800634.15071224747</v>
          </cell>
          <cell r="AD223" t="str">
            <v>N/A</v>
          </cell>
          <cell r="AE223">
            <v>2582113</v>
          </cell>
          <cell r="AF223">
            <v>2582113</v>
          </cell>
          <cell r="AG223">
            <v>2582113</v>
          </cell>
          <cell r="AH223">
            <v>2582113</v>
          </cell>
          <cell r="AI223">
            <v>2556672</v>
          </cell>
          <cell r="AJ223">
            <v>0</v>
          </cell>
          <cell r="AK223">
            <v>12885124</v>
          </cell>
          <cell r="AL223">
            <v>62007711</v>
          </cell>
          <cell r="AM223">
            <v>7239196.6175781097</v>
          </cell>
          <cell r="AN223">
            <v>-1739101.93</v>
          </cell>
          <cell r="AO223">
            <v>13408024.805682784</v>
          </cell>
          <cell r="AP223">
            <v>0</v>
          </cell>
          <cell r="AQ223">
            <v>-522900.07000000007</v>
          </cell>
          <cell r="AR223">
            <v>0</v>
          </cell>
          <cell r="AS223">
            <v>0</v>
          </cell>
          <cell r="AT223">
            <v>80392930.423260882</v>
          </cell>
          <cell r="AU223">
            <v>1.8702656823009782E-3</v>
          </cell>
          <cell r="AV223">
            <v>0</v>
          </cell>
          <cell r="AW223">
            <v>0</v>
          </cell>
          <cell r="AY223">
            <v>0</v>
          </cell>
          <cell r="AZ223">
            <v>0</v>
          </cell>
          <cell r="BA223">
            <v>0</v>
          </cell>
          <cell r="BB223">
            <v>0</v>
          </cell>
          <cell r="BC223">
            <v>0</v>
          </cell>
          <cell r="BD223">
            <v>0</v>
          </cell>
          <cell r="BE223">
            <v>0</v>
          </cell>
          <cell r="BF223">
            <v>0</v>
          </cell>
          <cell r="BG223">
            <v>0</v>
          </cell>
          <cell r="BH223">
            <v>0</v>
          </cell>
          <cell r="BJ223">
            <v>0</v>
          </cell>
          <cell r="BL223">
            <v>0</v>
          </cell>
          <cell r="BM223">
            <v>0</v>
          </cell>
          <cell r="BN223">
            <v>0</v>
          </cell>
          <cell r="BO223">
            <v>0</v>
          </cell>
          <cell r="BQ223">
            <v>0</v>
          </cell>
          <cell r="BR223">
            <v>0</v>
          </cell>
          <cell r="BS223">
            <v>0</v>
          </cell>
          <cell r="BT223">
            <v>0</v>
          </cell>
          <cell r="CB223">
            <v>0</v>
          </cell>
          <cell r="CC223">
            <v>0</v>
          </cell>
          <cell r="CD223">
            <v>0</v>
          </cell>
          <cell r="CE223">
            <v>0</v>
          </cell>
          <cell r="CF223">
            <v>0</v>
          </cell>
          <cell r="CI223">
            <v>0</v>
          </cell>
          <cell r="CJ223">
            <v>0</v>
          </cell>
          <cell r="CK223">
            <v>0</v>
          </cell>
          <cell r="CV223">
            <v>1.8479689584723819E-3</v>
          </cell>
          <cell r="DG223">
            <v>80392931</v>
          </cell>
          <cell r="DR223">
            <v>29087117.839999989</v>
          </cell>
          <cell r="EC223">
            <v>2.7638672020452071</v>
          </cell>
          <cell r="EN223">
            <v>2.4095909012463064E-2</v>
          </cell>
        </row>
        <row r="224">
          <cell r="B224">
            <v>36600</v>
          </cell>
          <cell r="C224" t="str">
            <v>Northampton County Schools</v>
          </cell>
          <cell r="D224">
            <v>6.8401931828023085E-4</v>
          </cell>
          <cell r="E224">
            <v>1183512.9127252235</v>
          </cell>
          <cell r="F224">
            <v>922812.15993784403</v>
          </cell>
          <cell r="G224">
            <v>-294057</v>
          </cell>
          <cell r="H224">
            <v>-330242.15676765854</v>
          </cell>
          <cell r="I224">
            <v>-13666.043547285199</v>
          </cell>
          <cell r="J224">
            <v>998719.32331387349</v>
          </cell>
          <cell r="K224">
            <v>0</v>
          </cell>
          <cell r="L224">
            <v>-52474.371207374272</v>
          </cell>
          <cell r="M224">
            <v>9416.901931455217</v>
          </cell>
          <cell r="N224">
            <v>354.99234580107418</v>
          </cell>
          <cell r="O224">
            <v>-160.20416453441285</v>
          </cell>
          <cell r="P224">
            <v>0</v>
          </cell>
          <cell r="Q224">
            <v>0</v>
          </cell>
          <cell r="R224">
            <v>0</v>
          </cell>
          <cell r="S224">
            <v>2424216.5145673454</v>
          </cell>
          <cell r="T224">
            <v>57133.199999999953</v>
          </cell>
          <cell r="U224">
            <v>4993596.6165693672</v>
          </cell>
          <cell r="V224">
            <v>37667.607725820868</v>
          </cell>
          <cell r="W224">
            <v>0</v>
          </cell>
          <cell r="X224">
            <v>5088397.4242951879</v>
          </cell>
          <cell r="Y224">
            <v>1527418</v>
          </cell>
          <cell r="Z224">
            <v>0</v>
          </cell>
          <cell r="AA224">
            <v>0</v>
          </cell>
          <cell r="AB224">
            <v>68330.217736425999</v>
          </cell>
          <cell r="AC224">
            <v>1595748.217736426</v>
          </cell>
          <cell r="AD224" t="str">
            <v>N/A</v>
          </cell>
          <cell r="AE224">
            <v>700413</v>
          </cell>
          <cell r="AF224">
            <v>700413</v>
          </cell>
          <cell r="AG224">
            <v>700413</v>
          </cell>
          <cell r="AH224">
            <v>700413</v>
          </cell>
          <cell r="AI224">
            <v>690996</v>
          </cell>
          <cell r="AJ224">
            <v>0</v>
          </cell>
          <cell r="AK224">
            <v>3492648</v>
          </cell>
          <cell r="AL224">
            <v>24511216</v>
          </cell>
          <cell r="AM224">
            <v>2424216.5145673454</v>
          </cell>
          <cell r="AN224">
            <v>-670916.19999999995</v>
          </cell>
          <cell r="AO224">
            <v>4962934.0065587629</v>
          </cell>
          <cell r="AP224">
            <v>0</v>
          </cell>
          <cell r="AQ224">
            <v>-1470284.8</v>
          </cell>
          <cell r="AR224">
            <v>0</v>
          </cell>
          <cell r="AS224">
            <v>0</v>
          </cell>
          <cell r="AT224">
            <v>29757165.52112611</v>
          </cell>
          <cell r="AU224">
            <v>7.393029996716463E-4</v>
          </cell>
          <cell r="AV224">
            <v>0</v>
          </cell>
          <cell r="AW224">
            <v>0</v>
          </cell>
          <cell r="AY224">
            <v>0</v>
          </cell>
          <cell r="AZ224">
            <v>0</v>
          </cell>
          <cell r="BA224">
            <v>0</v>
          </cell>
          <cell r="BB224">
            <v>0</v>
          </cell>
          <cell r="BC224">
            <v>0</v>
          </cell>
          <cell r="BD224">
            <v>0</v>
          </cell>
          <cell r="BE224">
            <v>0</v>
          </cell>
          <cell r="BF224">
            <v>0</v>
          </cell>
          <cell r="BG224">
            <v>0</v>
          </cell>
          <cell r="BH224">
            <v>0</v>
          </cell>
          <cell r="BJ224">
            <v>0</v>
          </cell>
          <cell r="BL224">
            <v>0</v>
          </cell>
          <cell r="BM224">
            <v>0</v>
          </cell>
          <cell r="BN224">
            <v>0</v>
          </cell>
          <cell r="BO224">
            <v>0</v>
          </cell>
          <cell r="BQ224">
            <v>0</v>
          </cell>
          <cell r="BR224">
            <v>0</v>
          </cell>
          <cell r="BS224">
            <v>0</v>
          </cell>
          <cell r="BT224">
            <v>0</v>
          </cell>
          <cell r="CB224">
            <v>0</v>
          </cell>
          <cell r="CC224">
            <v>0</v>
          </cell>
          <cell r="CD224">
            <v>0</v>
          </cell>
          <cell r="CE224">
            <v>0</v>
          </cell>
          <cell r="CF224">
            <v>0</v>
          </cell>
          <cell r="CI224">
            <v>0</v>
          </cell>
          <cell r="CJ224">
            <v>0</v>
          </cell>
          <cell r="CK224">
            <v>0</v>
          </cell>
          <cell r="CV224">
            <v>6.8401931828023085E-4</v>
          </cell>
          <cell r="DG224">
            <v>29757165</v>
          </cell>
          <cell r="DR224">
            <v>11393591.629999992</v>
          </cell>
          <cell r="EC224">
            <v>2.6117457924020768</v>
          </cell>
          <cell r="EN224">
            <v>2.4095909012463064E-2</v>
          </cell>
        </row>
        <row r="225">
          <cell r="B225">
            <v>36601</v>
          </cell>
          <cell r="C225" t="str">
            <v>Gaston College Preparatory Charter</v>
          </cell>
          <cell r="D225">
            <v>3.6765854569084986E-4</v>
          </cell>
          <cell r="E225">
            <v>636135.01062061044</v>
          </cell>
          <cell r="F225">
            <v>496009.05647168087</v>
          </cell>
          <cell r="G225">
            <v>305635</v>
          </cell>
          <cell r="H225">
            <v>-177504.27193821565</v>
          </cell>
          <cell r="I225">
            <v>-7345.4616875078873</v>
          </cell>
          <cell r="J225">
            <v>536808.95283208648</v>
          </cell>
          <cell r="K225">
            <v>0</v>
          </cell>
          <cell r="L225">
            <v>-28204.833531092125</v>
          </cell>
          <cell r="M225">
            <v>5061.5594859760595</v>
          </cell>
          <cell r="N225">
            <v>190.80743204263726</v>
          </cell>
          <cell r="O225">
            <v>-86.109307986253938</v>
          </cell>
          <cell r="P225">
            <v>0</v>
          </cell>
          <cell r="Q225">
            <v>0</v>
          </cell>
          <cell r="R225">
            <v>0</v>
          </cell>
          <cell r="S225">
            <v>1766699.7103775947</v>
          </cell>
          <cell r="T225">
            <v>1577724</v>
          </cell>
          <cell r="U225">
            <v>2684044.7641604324</v>
          </cell>
          <cell r="V225">
            <v>20246.237943904238</v>
          </cell>
          <cell r="W225">
            <v>0</v>
          </cell>
          <cell r="X225">
            <v>4282015.0021043364</v>
          </cell>
          <cell r="Y225">
            <v>49549.429999999993</v>
          </cell>
          <cell r="Z225">
            <v>0</v>
          </cell>
          <cell r="AA225">
            <v>0</v>
          </cell>
          <cell r="AB225">
            <v>36727.308437539439</v>
          </cell>
          <cell r="AC225">
            <v>86276.738437539432</v>
          </cell>
          <cell r="AD225" t="str">
            <v>N/A</v>
          </cell>
          <cell r="AE225">
            <v>840160</v>
          </cell>
          <cell r="AF225">
            <v>840160</v>
          </cell>
          <cell r="AG225">
            <v>840160</v>
          </cell>
          <cell r="AH225">
            <v>840160</v>
          </cell>
          <cell r="AI225">
            <v>835098</v>
          </cell>
          <cell r="AJ225">
            <v>0</v>
          </cell>
          <cell r="AK225">
            <v>4195738</v>
          </cell>
          <cell r="AL225">
            <v>10296264</v>
          </cell>
          <cell r="AM225">
            <v>1766699.7103775947</v>
          </cell>
          <cell r="AN225">
            <v>-264305.57</v>
          </cell>
          <cell r="AO225">
            <v>2667563.6936667976</v>
          </cell>
          <cell r="AP225">
            <v>0</v>
          </cell>
          <cell r="AQ225">
            <v>1528174.57</v>
          </cell>
          <cell r="AR225">
            <v>0</v>
          </cell>
          <cell r="AS225">
            <v>0</v>
          </cell>
          <cell r="AT225">
            <v>15994396.404044392</v>
          </cell>
          <cell r="AU225">
            <v>3.1055410582913327E-4</v>
          </cell>
          <cell r="AV225">
            <v>0</v>
          </cell>
          <cell r="AW225">
            <v>0</v>
          </cell>
          <cell r="AY225">
            <v>0</v>
          </cell>
          <cell r="AZ225">
            <v>0</v>
          </cell>
          <cell r="BA225">
            <v>0</v>
          </cell>
          <cell r="BB225">
            <v>0</v>
          </cell>
          <cell r="BC225">
            <v>0</v>
          </cell>
          <cell r="BD225">
            <v>0</v>
          </cell>
          <cell r="BE225">
            <v>0</v>
          </cell>
          <cell r="BF225">
            <v>0</v>
          </cell>
          <cell r="BG225">
            <v>0</v>
          </cell>
          <cell r="BH225">
            <v>0</v>
          </cell>
          <cell r="BJ225">
            <v>0</v>
          </cell>
          <cell r="BL225">
            <v>0</v>
          </cell>
          <cell r="BM225">
            <v>0</v>
          </cell>
          <cell r="BN225">
            <v>0</v>
          </cell>
          <cell r="BO225">
            <v>0</v>
          </cell>
          <cell r="BQ225">
            <v>0</v>
          </cell>
          <cell r="BR225">
            <v>0</v>
          </cell>
          <cell r="BS225">
            <v>0</v>
          </cell>
          <cell r="BT225">
            <v>0</v>
          </cell>
          <cell r="CB225">
            <v>0</v>
          </cell>
          <cell r="CC225">
            <v>0</v>
          </cell>
          <cell r="CD225">
            <v>0</v>
          </cell>
          <cell r="CE225">
            <v>0</v>
          </cell>
          <cell r="CF225">
            <v>0</v>
          </cell>
          <cell r="CI225">
            <v>0</v>
          </cell>
          <cell r="CJ225">
            <v>0</v>
          </cell>
          <cell r="CK225">
            <v>0</v>
          </cell>
          <cell r="CV225">
            <v>3.6765854569084986E-4</v>
          </cell>
          <cell r="DG225">
            <v>15994396</v>
          </cell>
          <cell r="DR225">
            <v>4426537.1399999978</v>
          </cell>
          <cell r="EC225">
            <v>3.6132975945165136</v>
          </cell>
          <cell r="EN225">
            <v>2.4095909012463064E-2</v>
          </cell>
        </row>
        <row r="226">
          <cell r="B226">
            <v>36700</v>
          </cell>
          <cell r="C226" t="str">
            <v>Onslow County Schools</v>
          </cell>
          <cell r="D226">
            <v>8.0039556616394655E-3</v>
          </cell>
          <cell r="E226">
            <v>13848709.568973944</v>
          </cell>
          <cell r="F226">
            <v>10798156.447883062</v>
          </cell>
          <cell r="G226">
            <v>-1582057</v>
          </cell>
          <cell r="H226">
            <v>-3864282.0600713464</v>
          </cell>
          <cell r="I226">
            <v>-159911.28276539812</v>
          </cell>
          <cell r="J226">
            <v>11686373.423377395</v>
          </cell>
          <cell r="K226">
            <v>0</v>
          </cell>
          <cell r="L226">
            <v>-614021.46005497244</v>
          </cell>
          <cell r="M226">
            <v>110190.55093191945</v>
          </cell>
          <cell r="N226">
            <v>4153.8929092776498</v>
          </cell>
          <cell r="O226">
            <v>-1874.6064555125793</v>
          </cell>
          <cell r="P226">
            <v>0</v>
          </cell>
          <cell r="Q226">
            <v>0</v>
          </cell>
          <cell r="R226">
            <v>0</v>
          </cell>
          <cell r="S226">
            <v>30225437.474728368</v>
          </cell>
          <cell r="T226">
            <v>0</v>
          </cell>
          <cell r="U226">
            <v>58431867.116886973</v>
          </cell>
          <cell r="V226">
            <v>440762.20372767781</v>
          </cell>
          <cell r="W226">
            <v>0</v>
          </cell>
          <cell r="X226">
            <v>58872629.320614651</v>
          </cell>
          <cell r="Y226">
            <v>7910288.0799999991</v>
          </cell>
          <cell r="Z226">
            <v>0</v>
          </cell>
          <cell r="AA226">
            <v>0</v>
          </cell>
          <cell r="AB226">
            <v>799556.41382699064</v>
          </cell>
          <cell r="AC226">
            <v>8709844.4938269891</v>
          </cell>
          <cell r="AD226" t="str">
            <v>N/A</v>
          </cell>
          <cell r="AE226">
            <v>10054596</v>
          </cell>
          <cell r="AF226">
            <v>10054595</v>
          </cell>
          <cell r="AG226">
            <v>10054595</v>
          </cell>
          <cell r="AH226">
            <v>10054595</v>
          </cell>
          <cell r="AI226">
            <v>9944404</v>
          </cell>
          <cell r="AJ226">
            <v>0</v>
          </cell>
          <cell r="AK226">
            <v>50162785</v>
          </cell>
          <cell r="AL226">
            <v>274531987</v>
          </cell>
          <cell r="AM226">
            <v>30225437.474728368</v>
          </cell>
          <cell r="AN226">
            <v>-6720931.9200000009</v>
          </cell>
          <cell r="AO226">
            <v>58073072.906787664</v>
          </cell>
          <cell r="AP226">
            <v>0</v>
          </cell>
          <cell r="AQ226">
            <v>-7910288.0799999991</v>
          </cell>
          <cell r="AR226">
            <v>0</v>
          </cell>
          <cell r="AS226">
            <v>0</v>
          </cell>
          <cell r="AT226">
            <v>348199277.38151604</v>
          </cell>
          <cell r="AU226">
            <v>8.2803856072083161E-3</v>
          </cell>
          <cell r="AV226">
            <v>0</v>
          </cell>
          <cell r="AW226">
            <v>0</v>
          </cell>
          <cell r="AY226">
            <v>0</v>
          </cell>
          <cell r="AZ226">
            <v>0</v>
          </cell>
          <cell r="BA226">
            <v>0</v>
          </cell>
          <cell r="BB226">
            <v>0</v>
          </cell>
          <cell r="BC226">
            <v>0</v>
          </cell>
          <cell r="BD226">
            <v>0</v>
          </cell>
          <cell r="BE226">
            <v>0</v>
          </cell>
          <cell r="BF226">
            <v>0</v>
          </cell>
          <cell r="BG226">
            <v>0</v>
          </cell>
          <cell r="BH226">
            <v>0</v>
          </cell>
          <cell r="BJ226">
            <v>0</v>
          </cell>
          <cell r="BL226">
            <v>0</v>
          </cell>
          <cell r="BM226">
            <v>0</v>
          </cell>
          <cell r="BN226">
            <v>0</v>
          </cell>
          <cell r="BO226">
            <v>0</v>
          </cell>
          <cell r="BQ226">
            <v>0</v>
          </cell>
          <cell r="BR226">
            <v>0</v>
          </cell>
          <cell r="BS226">
            <v>0</v>
          </cell>
          <cell r="BT226">
            <v>0</v>
          </cell>
          <cell r="CB226">
            <v>0</v>
          </cell>
          <cell r="CC226">
            <v>0</v>
          </cell>
          <cell r="CD226">
            <v>0</v>
          </cell>
          <cell r="CE226">
            <v>0</v>
          </cell>
          <cell r="CF226">
            <v>0</v>
          </cell>
          <cell r="CI226">
            <v>0</v>
          </cell>
          <cell r="CJ226">
            <v>0</v>
          </cell>
          <cell r="CK226">
            <v>0</v>
          </cell>
          <cell r="CV226">
            <v>8.0039556616394655E-3</v>
          </cell>
          <cell r="DG226">
            <v>348199277</v>
          </cell>
          <cell r="DR226">
            <v>117141754.23999991</v>
          </cell>
          <cell r="EC226">
            <v>2.9724608382303179</v>
          </cell>
          <cell r="EN226">
            <v>2.4095909012463064E-2</v>
          </cell>
        </row>
        <row r="227">
          <cell r="B227">
            <v>36701</v>
          </cell>
          <cell r="C227" t="str">
            <v>Zeca School Of The Arts And Technology</v>
          </cell>
          <cell r="D227">
            <v>4.1016009576822938E-5</v>
          </cell>
          <cell r="E227">
            <v>70967.2602298407</v>
          </cell>
          <cell r="F227">
            <v>55334.800316433102</v>
          </cell>
          <cell r="G227">
            <v>83303</v>
          </cell>
          <cell r="H227">
            <v>-19802.387304949923</v>
          </cell>
          <cell r="I227">
            <v>-819.46014978350513</v>
          </cell>
          <cell r="J227">
            <v>59886.439220153617</v>
          </cell>
          <cell r="K227">
            <v>0</v>
          </cell>
          <cell r="L227">
            <v>-3146.532933296</v>
          </cell>
          <cell r="M227">
            <v>564.66788215231702</v>
          </cell>
          <cell r="N227">
            <v>21.286488650179567</v>
          </cell>
          <cell r="O227">
            <v>-9.6063596029877001</v>
          </cell>
          <cell r="P227">
            <v>0</v>
          </cell>
          <cell r="Q227">
            <v>0</v>
          </cell>
          <cell r="R227">
            <v>0</v>
          </cell>
          <cell r="S227">
            <v>246299.4673895975</v>
          </cell>
          <cell r="T227">
            <v>424246</v>
          </cell>
          <cell r="U227">
            <v>299432.19610076811</v>
          </cell>
          <cell r="V227">
            <v>2258.6715286092681</v>
          </cell>
          <cell r="W227">
            <v>0</v>
          </cell>
          <cell r="X227">
            <v>725936.8676293774</v>
          </cell>
          <cell r="Y227">
            <v>7731.5299999999952</v>
          </cell>
          <cell r="Z227">
            <v>0</v>
          </cell>
          <cell r="AA227">
            <v>0</v>
          </cell>
          <cell r="AB227">
            <v>4097.3007489175252</v>
          </cell>
          <cell r="AC227">
            <v>11828.83074891752</v>
          </cell>
          <cell r="AD227" t="str">
            <v>N/A</v>
          </cell>
          <cell r="AE227">
            <v>142935</v>
          </cell>
          <cell r="AF227">
            <v>142935</v>
          </cell>
          <cell r="AG227">
            <v>142935</v>
          </cell>
          <cell r="AH227">
            <v>142935</v>
          </cell>
          <cell r="AI227">
            <v>142370</v>
          </cell>
          <cell r="AJ227">
            <v>0</v>
          </cell>
          <cell r="AK227">
            <v>714110</v>
          </cell>
          <cell r="AL227">
            <v>850770</v>
          </cell>
          <cell r="AM227">
            <v>246299.4673895975</v>
          </cell>
          <cell r="AN227">
            <v>-26841.470000000005</v>
          </cell>
          <cell r="AO227">
            <v>297593.56688045984</v>
          </cell>
          <cell r="AP227">
            <v>0</v>
          </cell>
          <cell r="AQ227">
            <v>416514.47000000003</v>
          </cell>
          <cell r="AR227">
            <v>0</v>
          </cell>
          <cell r="AS227">
            <v>0</v>
          </cell>
          <cell r="AT227">
            <v>1784336.0342700575</v>
          </cell>
          <cell r="AU227">
            <v>2.5660768930669772E-5</v>
          </cell>
          <cell r="AV227">
            <v>0</v>
          </cell>
          <cell r="AW227">
            <v>0</v>
          </cell>
          <cell r="AY227">
            <v>0</v>
          </cell>
          <cell r="AZ227">
            <v>0</v>
          </cell>
          <cell r="BA227">
            <v>0</v>
          </cell>
          <cell r="BB227">
            <v>0</v>
          </cell>
          <cell r="BC227">
            <v>0</v>
          </cell>
          <cell r="BD227">
            <v>0</v>
          </cell>
          <cell r="BE227">
            <v>0</v>
          </cell>
          <cell r="BF227">
            <v>0</v>
          </cell>
          <cell r="BG227">
            <v>0</v>
          </cell>
          <cell r="BH227">
            <v>0</v>
          </cell>
          <cell r="BJ227">
            <v>0</v>
          </cell>
          <cell r="BL227">
            <v>0</v>
          </cell>
          <cell r="BM227">
            <v>0</v>
          </cell>
          <cell r="BN227">
            <v>0</v>
          </cell>
          <cell r="BO227">
            <v>0</v>
          </cell>
          <cell r="BQ227">
            <v>0</v>
          </cell>
          <cell r="BR227">
            <v>0</v>
          </cell>
          <cell r="BS227">
            <v>0</v>
          </cell>
          <cell r="BT227">
            <v>0</v>
          </cell>
          <cell r="CB227">
            <v>0</v>
          </cell>
          <cell r="CC227">
            <v>0</v>
          </cell>
          <cell r="CD227">
            <v>0</v>
          </cell>
          <cell r="CE227">
            <v>0</v>
          </cell>
          <cell r="CF227">
            <v>0</v>
          </cell>
          <cell r="CI227">
            <v>0</v>
          </cell>
          <cell r="CJ227">
            <v>0</v>
          </cell>
          <cell r="CK227">
            <v>0</v>
          </cell>
          <cell r="CV227">
            <v>4.1016009576822938E-5</v>
          </cell>
          <cell r="DG227">
            <v>1784336</v>
          </cell>
          <cell r="DR227">
            <v>473452.91000000003</v>
          </cell>
          <cell r="EC227">
            <v>3.7687718510379415</v>
          </cell>
          <cell r="EN227">
            <v>2.4095909012463064E-2</v>
          </cell>
        </row>
        <row r="228">
          <cell r="B228">
            <v>36705</v>
          </cell>
          <cell r="C228" t="str">
            <v>Coastal Carolina Community College</v>
          </cell>
          <cell r="D228">
            <v>9.2992830888104065E-4</v>
          </cell>
          <cell r="E228">
            <v>1608992.8048180537</v>
          </cell>
          <cell r="F228">
            <v>1254568.5894711688</v>
          </cell>
          <cell r="G228">
            <v>-43486</v>
          </cell>
          <cell r="H228">
            <v>-448966.16536546708</v>
          </cell>
          <cell r="I228">
            <v>-18579.067031283983</v>
          </cell>
          <cell r="J228">
            <v>1357764.8270389931</v>
          </cell>
          <cell r="K228">
            <v>0</v>
          </cell>
          <cell r="L228">
            <v>-71339.218019684762</v>
          </cell>
          <cell r="M228">
            <v>12802.333872724259</v>
          </cell>
          <cell r="N228">
            <v>482.61419374308247</v>
          </cell>
          <cell r="O228">
            <v>-217.79850922302853</v>
          </cell>
          <cell r="P228">
            <v>0</v>
          </cell>
          <cell r="Q228">
            <v>0</v>
          </cell>
          <cell r="R228">
            <v>0</v>
          </cell>
          <cell r="S228">
            <v>3652022.9204690247</v>
          </cell>
          <cell r="T228">
            <v>6272.6099999998696</v>
          </cell>
          <cell r="U228">
            <v>6788824.1351949656</v>
          </cell>
          <cell r="V228">
            <v>51209.335490897036</v>
          </cell>
          <cell r="W228">
            <v>0</v>
          </cell>
          <cell r="X228">
            <v>6846306.0806858633</v>
          </cell>
          <cell r="Y228">
            <v>223706</v>
          </cell>
          <cell r="Z228">
            <v>0</v>
          </cell>
          <cell r="AA228">
            <v>0</v>
          </cell>
          <cell r="AB228">
            <v>92895.335156419911</v>
          </cell>
          <cell r="AC228">
            <v>316601.3351564199</v>
          </cell>
          <cell r="AD228" t="str">
            <v>N/A</v>
          </cell>
          <cell r="AE228">
            <v>1308502</v>
          </cell>
          <cell r="AF228">
            <v>1308501</v>
          </cell>
          <cell r="AG228">
            <v>1308501</v>
          </cell>
          <cell r="AH228">
            <v>1308501</v>
          </cell>
          <cell r="AI228">
            <v>1295699</v>
          </cell>
          <cell r="AJ228">
            <v>0</v>
          </cell>
          <cell r="AK228">
            <v>6529704</v>
          </cell>
          <cell r="AL228">
            <v>31099749</v>
          </cell>
          <cell r="AM228">
            <v>3652022.9204690247</v>
          </cell>
          <cell r="AN228">
            <v>-826433.60999999987</v>
          </cell>
          <cell r="AO228">
            <v>6747138.1355294436</v>
          </cell>
          <cell r="AP228">
            <v>0</v>
          </cell>
          <cell r="AQ228">
            <v>-217433.39000000013</v>
          </cell>
          <cell r="AR228">
            <v>0</v>
          </cell>
          <cell r="AS228">
            <v>0</v>
          </cell>
          <cell r="AT228">
            <v>40455043.055998467</v>
          </cell>
          <cell r="AU228">
            <v>9.3802516072585785E-4</v>
          </cell>
          <cell r="AV228">
            <v>0</v>
          </cell>
          <cell r="AW228">
            <v>0</v>
          </cell>
          <cell r="AY228">
            <v>0</v>
          </cell>
          <cell r="AZ228">
            <v>0</v>
          </cell>
          <cell r="BA228">
            <v>0</v>
          </cell>
          <cell r="BB228">
            <v>0</v>
          </cell>
          <cell r="BC228">
            <v>0</v>
          </cell>
          <cell r="BD228">
            <v>0</v>
          </cell>
          <cell r="BE228">
            <v>0</v>
          </cell>
          <cell r="BF228">
            <v>0</v>
          </cell>
          <cell r="BG228">
            <v>0</v>
          </cell>
          <cell r="BH228">
            <v>0</v>
          </cell>
          <cell r="BJ228">
            <v>0</v>
          </cell>
          <cell r="BL228">
            <v>0</v>
          </cell>
          <cell r="BM228">
            <v>0</v>
          </cell>
          <cell r="BN228">
            <v>0</v>
          </cell>
          <cell r="BO228">
            <v>0</v>
          </cell>
          <cell r="BQ228">
            <v>0</v>
          </cell>
          <cell r="BR228">
            <v>0</v>
          </cell>
          <cell r="BS228">
            <v>0</v>
          </cell>
          <cell r="BT228">
            <v>0</v>
          </cell>
          <cell r="CB228">
            <v>0</v>
          </cell>
          <cell r="CC228">
            <v>0</v>
          </cell>
          <cell r="CD228">
            <v>0</v>
          </cell>
          <cell r="CE228">
            <v>0</v>
          </cell>
          <cell r="CF228">
            <v>0</v>
          </cell>
          <cell r="CI228">
            <v>0</v>
          </cell>
          <cell r="CJ228">
            <v>0</v>
          </cell>
          <cell r="CK228">
            <v>0</v>
          </cell>
          <cell r="CV228">
            <v>9.2992830888104065E-4</v>
          </cell>
          <cell r="DG228">
            <v>40455042</v>
          </cell>
          <cell r="DR228">
            <v>13842596.460000001</v>
          </cell>
          <cell r="EC228">
            <v>2.9225038898518898</v>
          </cell>
          <cell r="EN228">
            <v>2.4095909012463064E-2</v>
          </cell>
        </row>
        <row r="229">
          <cell r="B229">
            <v>36800</v>
          </cell>
          <cell r="C229" t="str">
            <v>Orange County Schools</v>
          </cell>
          <cell r="D229">
            <v>3.0289783852879425E-3</v>
          </cell>
          <cell r="E229">
            <v>5240838.8704092596</v>
          </cell>
          <cell r="F229">
            <v>4086402.2571179392</v>
          </cell>
          <cell r="G229">
            <v>611596</v>
          </cell>
          <cell r="H229">
            <v>-1462380.2691348928</v>
          </cell>
          <cell r="I229">
            <v>-60516.054752962642</v>
          </cell>
          <cell r="J229">
            <v>4422534.8063163804</v>
          </cell>
          <cell r="K229">
            <v>0</v>
          </cell>
          <cell r="L229">
            <v>-232367.32051417901</v>
          </cell>
          <cell r="M229">
            <v>41699.980752690535</v>
          </cell>
          <cell r="N229">
            <v>1571.9792023967364</v>
          </cell>
          <cell r="O229">
            <v>-709.41702761828901</v>
          </cell>
          <cell r="P229">
            <v>0</v>
          </cell>
          <cell r="Q229">
            <v>0</v>
          </cell>
          <cell r="R229">
            <v>0</v>
          </cell>
          <cell r="S229">
            <v>12648670.832369013</v>
          </cell>
          <cell r="T229">
            <v>3080509</v>
          </cell>
          <cell r="U229">
            <v>22112674.031581901</v>
          </cell>
          <cell r="V229">
            <v>166799.92301076214</v>
          </cell>
          <cell r="W229">
            <v>0</v>
          </cell>
          <cell r="X229">
            <v>25359982.954592664</v>
          </cell>
          <cell r="Y229">
            <v>22529.39000000013</v>
          </cell>
          <cell r="Z229">
            <v>0</v>
          </cell>
          <cell r="AA229">
            <v>0</v>
          </cell>
          <cell r="AB229">
            <v>302580.2737648132</v>
          </cell>
          <cell r="AC229">
            <v>325109.66376481333</v>
          </cell>
          <cell r="AD229" t="str">
            <v>N/A</v>
          </cell>
          <cell r="AE229">
            <v>5015315</v>
          </cell>
          <cell r="AF229">
            <v>5015315</v>
          </cell>
          <cell r="AG229">
            <v>5015315</v>
          </cell>
          <cell r="AH229">
            <v>5015315</v>
          </cell>
          <cell r="AI229">
            <v>4973615</v>
          </cell>
          <cell r="AJ229">
            <v>0</v>
          </cell>
          <cell r="AK229">
            <v>25034875</v>
          </cell>
          <cell r="AL229">
            <v>96727632</v>
          </cell>
          <cell r="AM229">
            <v>12648670.832369013</v>
          </cell>
          <cell r="AN229">
            <v>-2640320.61</v>
          </cell>
          <cell r="AO229">
            <v>21976893.680827852</v>
          </cell>
          <cell r="AP229">
            <v>0</v>
          </cell>
          <cell r="AQ229">
            <v>3057979.61</v>
          </cell>
          <cell r="AR229">
            <v>0</v>
          </cell>
          <cell r="AS229">
            <v>0</v>
          </cell>
          <cell r="AT229">
            <v>131770855.51319687</v>
          </cell>
          <cell r="AU229">
            <v>2.917481854009773E-3</v>
          </cell>
          <cell r="AV229">
            <v>0</v>
          </cell>
          <cell r="AW229">
            <v>0</v>
          </cell>
          <cell r="AY229">
            <v>0</v>
          </cell>
          <cell r="AZ229">
            <v>0</v>
          </cell>
          <cell r="BA229">
            <v>0</v>
          </cell>
          <cell r="BB229">
            <v>0</v>
          </cell>
          <cell r="BC229">
            <v>0</v>
          </cell>
          <cell r="BD229">
            <v>0</v>
          </cell>
          <cell r="BE229">
            <v>0</v>
          </cell>
          <cell r="BF229">
            <v>0</v>
          </cell>
          <cell r="BG229">
            <v>0</v>
          </cell>
          <cell r="BH229">
            <v>0</v>
          </cell>
          <cell r="BJ229">
            <v>0</v>
          </cell>
          <cell r="BL229">
            <v>0</v>
          </cell>
          <cell r="BM229">
            <v>0</v>
          </cell>
          <cell r="BN229">
            <v>0</v>
          </cell>
          <cell r="BO229">
            <v>0</v>
          </cell>
          <cell r="BQ229">
            <v>0</v>
          </cell>
          <cell r="BR229">
            <v>0</v>
          </cell>
          <cell r="BS229">
            <v>0</v>
          </cell>
          <cell r="BT229">
            <v>0</v>
          </cell>
          <cell r="CB229">
            <v>0</v>
          </cell>
          <cell r="CC229">
            <v>0</v>
          </cell>
          <cell r="CD229">
            <v>0</v>
          </cell>
          <cell r="CE229">
            <v>0</v>
          </cell>
          <cell r="CF229">
            <v>0</v>
          </cell>
          <cell r="CI229">
            <v>0</v>
          </cell>
          <cell r="CJ229">
            <v>0</v>
          </cell>
          <cell r="CK229">
            <v>0</v>
          </cell>
          <cell r="CV229">
            <v>3.0289783852879425E-3</v>
          </cell>
          <cell r="DG229">
            <v>131770855</v>
          </cell>
          <cell r="DR229">
            <v>45896753.31000001</v>
          </cell>
          <cell r="EC229">
            <v>2.8710278069122093</v>
          </cell>
          <cell r="EN229">
            <v>2.4095909012463064E-2</v>
          </cell>
        </row>
        <row r="230">
          <cell r="B230">
            <v>36802</v>
          </cell>
          <cell r="C230" t="str">
            <v>Orange Charter School</v>
          </cell>
          <cell r="D230">
            <v>8.1244009819497317E-5</v>
          </cell>
          <cell r="E230">
            <v>140571.08057225597</v>
          </cell>
          <cell r="F230">
            <v>109606.49528443086</v>
          </cell>
          <cell r="G230">
            <v>-31201</v>
          </cell>
          <cell r="H230">
            <v>-39224.326433791968</v>
          </cell>
          <cell r="I230">
            <v>-1623.1766362108103</v>
          </cell>
          <cell r="J230">
            <v>118622.32592236878</v>
          </cell>
          <cell r="K230">
            <v>0</v>
          </cell>
          <cell r="L230">
            <v>-6232.6139272828141</v>
          </cell>
          <cell r="M230">
            <v>1118.4872306120399</v>
          </cell>
          <cell r="N230">
            <v>42.164016216122718</v>
          </cell>
          <cell r="O230">
            <v>-19.028159539824468</v>
          </cell>
          <cell r="P230">
            <v>0</v>
          </cell>
          <cell r="Q230">
            <v>0</v>
          </cell>
          <cell r="R230">
            <v>0</v>
          </cell>
          <cell r="S230">
            <v>291660.40786905837</v>
          </cell>
          <cell r="T230">
            <v>0</v>
          </cell>
          <cell r="U230">
            <v>593111.62961184396</v>
          </cell>
          <cell r="V230">
            <v>4473.9489224481595</v>
          </cell>
          <cell r="W230">
            <v>0</v>
          </cell>
          <cell r="X230">
            <v>597585.57853429217</v>
          </cell>
          <cell r="Y230">
            <v>156007.63</v>
          </cell>
          <cell r="Z230">
            <v>0</v>
          </cell>
          <cell r="AA230">
            <v>0</v>
          </cell>
          <cell r="AB230">
            <v>8115.8831810540505</v>
          </cell>
          <cell r="AC230">
            <v>164123.51318105406</v>
          </cell>
          <cell r="AD230" t="str">
            <v>N/A</v>
          </cell>
          <cell r="AE230">
            <v>86916</v>
          </cell>
          <cell r="AF230">
            <v>86917</v>
          </cell>
          <cell r="AG230">
            <v>86917</v>
          </cell>
          <cell r="AH230">
            <v>86917</v>
          </cell>
          <cell r="AI230">
            <v>85798</v>
          </cell>
          <cell r="AJ230">
            <v>0</v>
          </cell>
          <cell r="AK230">
            <v>433465</v>
          </cell>
          <cell r="AL230">
            <v>2864028</v>
          </cell>
          <cell r="AM230">
            <v>291660.40786905837</v>
          </cell>
          <cell r="AN230">
            <v>-54759.369999999995</v>
          </cell>
          <cell r="AO230">
            <v>589469.69535323803</v>
          </cell>
          <cell r="AP230">
            <v>0</v>
          </cell>
          <cell r="AQ230">
            <v>-156007.63</v>
          </cell>
          <cell r="AR230">
            <v>0</v>
          </cell>
          <cell r="AS230">
            <v>0</v>
          </cell>
          <cell r="AT230">
            <v>3534391.1032222961</v>
          </cell>
          <cell r="AU230">
            <v>8.6384295463492395E-5</v>
          </cell>
          <cell r="AV230">
            <v>0</v>
          </cell>
          <cell r="AW230">
            <v>0</v>
          </cell>
          <cell r="AY230">
            <v>0</v>
          </cell>
          <cell r="AZ230">
            <v>0</v>
          </cell>
          <cell r="BA230">
            <v>0</v>
          </cell>
          <cell r="BB230">
            <v>0</v>
          </cell>
          <cell r="BC230">
            <v>0</v>
          </cell>
          <cell r="BD230">
            <v>0</v>
          </cell>
          <cell r="BE230">
            <v>0</v>
          </cell>
          <cell r="BF230">
            <v>0</v>
          </cell>
          <cell r="BG230">
            <v>0</v>
          </cell>
          <cell r="BH230">
            <v>0</v>
          </cell>
          <cell r="BJ230">
            <v>0</v>
          </cell>
          <cell r="BL230">
            <v>0</v>
          </cell>
          <cell r="BM230">
            <v>0</v>
          </cell>
          <cell r="BN230">
            <v>0</v>
          </cell>
          <cell r="BO230">
            <v>0</v>
          </cell>
          <cell r="BQ230">
            <v>0</v>
          </cell>
          <cell r="BR230">
            <v>0</v>
          </cell>
          <cell r="BS230">
            <v>0</v>
          </cell>
          <cell r="BT230">
            <v>0</v>
          </cell>
          <cell r="CB230">
            <v>0</v>
          </cell>
          <cell r="CC230">
            <v>0</v>
          </cell>
          <cell r="CD230">
            <v>0</v>
          </cell>
          <cell r="CE230">
            <v>0</v>
          </cell>
          <cell r="CF230">
            <v>0</v>
          </cell>
          <cell r="CI230">
            <v>0</v>
          </cell>
          <cell r="CJ230">
            <v>0</v>
          </cell>
          <cell r="CK230">
            <v>0</v>
          </cell>
          <cell r="CV230">
            <v>8.1244009819497317E-5</v>
          </cell>
          <cell r="DG230">
            <v>3534391</v>
          </cell>
          <cell r="DR230">
            <v>1024131.2600000001</v>
          </cell>
          <cell r="EC230">
            <v>3.4511113350841369</v>
          </cell>
          <cell r="EN230">
            <v>2.4095909012463064E-2</v>
          </cell>
        </row>
        <row r="231">
          <cell r="B231">
            <v>36810</v>
          </cell>
          <cell r="C231" t="str">
            <v>Chapel Hill - Carboro City Schools</v>
          </cell>
          <cell r="D231">
            <v>5.9267746782739779E-3</v>
          </cell>
          <cell r="E231">
            <v>10254702.133538941</v>
          </cell>
          <cell r="F231">
            <v>7995826.4279346755</v>
          </cell>
          <cell r="G231">
            <v>1004407</v>
          </cell>
          <cell r="H231">
            <v>-2861426.2786468319</v>
          </cell>
          <cell r="I231">
            <v>-118411.21834377335</v>
          </cell>
          <cell r="J231">
            <v>8653533.9542772975</v>
          </cell>
          <cell r="K231">
            <v>0</v>
          </cell>
          <cell r="L231">
            <v>-454671.03957260179</v>
          </cell>
          <cell r="M231">
            <v>81593.976110880743</v>
          </cell>
          <cell r="N231">
            <v>3075.877522530629</v>
          </cell>
          <cell r="O231">
            <v>-1388.1098973985484</v>
          </cell>
          <cell r="P231">
            <v>0</v>
          </cell>
          <cell r="Q231">
            <v>0</v>
          </cell>
          <cell r="R231">
            <v>0</v>
          </cell>
          <cell r="S231">
            <v>24557242.722923722</v>
          </cell>
          <cell r="T231">
            <v>5338032</v>
          </cell>
          <cell r="U231">
            <v>43267669.771386489</v>
          </cell>
          <cell r="V231">
            <v>326375.90444352297</v>
          </cell>
          <cell r="W231">
            <v>0</v>
          </cell>
          <cell r="X231">
            <v>48932077.675830014</v>
          </cell>
          <cell r="Y231">
            <v>315995.75999999978</v>
          </cell>
          <cell r="Z231">
            <v>0</v>
          </cell>
          <cell r="AA231">
            <v>0</v>
          </cell>
          <cell r="AB231">
            <v>592056.09171886672</v>
          </cell>
          <cell r="AC231">
            <v>908051.8517188665</v>
          </cell>
          <cell r="AD231" t="str">
            <v>N/A</v>
          </cell>
          <cell r="AE231">
            <v>9621124</v>
          </cell>
          <cell r="AF231">
            <v>9621125</v>
          </cell>
          <cell r="AG231">
            <v>9621125</v>
          </cell>
          <cell r="AH231">
            <v>9621125</v>
          </cell>
          <cell r="AI231">
            <v>9539531</v>
          </cell>
          <cell r="AJ231">
            <v>0</v>
          </cell>
          <cell r="AK231">
            <v>48024030</v>
          </cell>
          <cell r="AL231">
            <v>190093572</v>
          </cell>
          <cell r="AM231">
            <v>24557242.722923722</v>
          </cell>
          <cell r="AN231">
            <v>-4839997.24</v>
          </cell>
          <cell r="AO231">
            <v>43001989.584111147</v>
          </cell>
          <cell r="AP231">
            <v>0</v>
          </cell>
          <cell r="AQ231">
            <v>5022036.24</v>
          </cell>
          <cell r="AR231">
            <v>0</v>
          </cell>
          <cell r="AS231">
            <v>0</v>
          </cell>
          <cell r="AT231">
            <v>257834843.30703488</v>
          </cell>
          <cell r="AU231">
            <v>5.7335689430849501E-3</v>
          </cell>
          <cell r="AV231">
            <v>0</v>
          </cell>
          <cell r="AW231">
            <v>0</v>
          </cell>
          <cell r="AY231">
            <v>0</v>
          </cell>
          <cell r="AZ231">
            <v>0</v>
          </cell>
          <cell r="BA231">
            <v>0</v>
          </cell>
          <cell r="BB231">
            <v>0</v>
          </cell>
          <cell r="BC231">
            <v>0</v>
          </cell>
          <cell r="BD231">
            <v>0</v>
          </cell>
          <cell r="BE231">
            <v>0</v>
          </cell>
          <cell r="BF231">
            <v>0</v>
          </cell>
          <cell r="BG231">
            <v>0</v>
          </cell>
          <cell r="BH231">
            <v>0</v>
          </cell>
          <cell r="BJ231">
            <v>0</v>
          </cell>
          <cell r="BL231">
            <v>0</v>
          </cell>
          <cell r="BM231">
            <v>0</v>
          </cell>
          <cell r="BN231">
            <v>0</v>
          </cell>
          <cell r="BO231">
            <v>0</v>
          </cell>
          <cell r="BQ231">
            <v>0</v>
          </cell>
          <cell r="BR231">
            <v>0</v>
          </cell>
          <cell r="BS231">
            <v>0</v>
          </cell>
          <cell r="BT231">
            <v>0</v>
          </cell>
          <cell r="CB231">
            <v>0</v>
          </cell>
          <cell r="CC231">
            <v>0</v>
          </cell>
          <cell r="CD231">
            <v>0</v>
          </cell>
          <cell r="CE231">
            <v>0</v>
          </cell>
          <cell r="CF231">
            <v>0</v>
          </cell>
          <cell r="CI231">
            <v>0</v>
          </cell>
          <cell r="CJ231">
            <v>0</v>
          </cell>
          <cell r="CK231">
            <v>0</v>
          </cell>
          <cell r="CV231">
            <v>5.9267746782739779E-3</v>
          </cell>
          <cell r="DG231">
            <v>257834844</v>
          </cell>
          <cell r="DR231">
            <v>85427898.969999939</v>
          </cell>
          <cell r="EC231">
            <v>3.018157383111399</v>
          </cell>
          <cell r="EN231">
            <v>2.4095909012463064E-2</v>
          </cell>
        </row>
        <row r="232">
          <cell r="B232">
            <v>36900</v>
          </cell>
          <cell r="C232" t="str">
            <v>Pamlico County Schools</v>
          </cell>
          <cell r="D232">
            <v>5.6583106420348881E-4</v>
          </cell>
          <cell r="E232">
            <v>979019.67533544486</v>
          </cell>
          <cell r="F232">
            <v>763364.09303520899</v>
          </cell>
          <cell r="G232">
            <v>121593</v>
          </cell>
          <cell r="H232">
            <v>-273181.27721671417</v>
          </cell>
          <cell r="I232">
            <v>-11304.756689113952</v>
          </cell>
          <cell r="J232">
            <v>826155.6398320361</v>
          </cell>
          <cell r="K232">
            <v>0</v>
          </cell>
          <cell r="L232">
            <v>-43407.58880659764</v>
          </cell>
          <cell r="M232">
            <v>7789.8028593283843</v>
          </cell>
          <cell r="N232">
            <v>293.65500570032663</v>
          </cell>
          <cell r="O232">
            <v>-132.52329354709912</v>
          </cell>
          <cell r="P232">
            <v>0</v>
          </cell>
          <cell r="Q232">
            <v>0</v>
          </cell>
          <cell r="R232">
            <v>0</v>
          </cell>
          <cell r="S232">
            <v>2370189.720061746</v>
          </cell>
          <cell r="T232">
            <v>607962.10000000009</v>
          </cell>
          <cell r="U232">
            <v>4130778.1991601801</v>
          </cell>
          <cell r="V232">
            <v>31159.211437313537</v>
          </cell>
          <cell r="W232">
            <v>0</v>
          </cell>
          <cell r="X232">
            <v>4769899.5105974944</v>
          </cell>
          <cell r="Y232">
            <v>0</v>
          </cell>
          <cell r="Z232">
            <v>0</v>
          </cell>
          <cell r="AA232">
            <v>0</v>
          </cell>
          <cell r="AB232">
            <v>56523.783445569759</v>
          </cell>
          <cell r="AC232">
            <v>56523.783445569759</v>
          </cell>
          <cell r="AD232" t="str">
            <v>N/A</v>
          </cell>
          <cell r="AE232">
            <v>944234</v>
          </cell>
          <cell r="AF232">
            <v>944234</v>
          </cell>
          <cell r="AG232">
            <v>944234</v>
          </cell>
          <cell r="AH232">
            <v>944234</v>
          </cell>
          <cell r="AI232">
            <v>936444</v>
          </cell>
          <cell r="AJ232">
            <v>0</v>
          </cell>
          <cell r="AK232">
            <v>4713380</v>
          </cell>
          <cell r="AL232">
            <v>18039016</v>
          </cell>
          <cell r="AM232">
            <v>2370189.720061746</v>
          </cell>
          <cell r="AN232">
            <v>-507007.10000000003</v>
          </cell>
          <cell r="AO232">
            <v>4105413.6271519242</v>
          </cell>
          <cell r="AP232">
            <v>0</v>
          </cell>
          <cell r="AQ232">
            <v>607962.10000000009</v>
          </cell>
          <cell r="AR232">
            <v>0</v>
          </cell>
          <cell r="AS232">
            <v>0</v>
          </cell>
          <cell r="AT232">
            <v>24615574.347213671</v>
          </cell>
          <cell r="AU232">
            <v>5.4408963391395701E-4</v>
          </cell>
          <cell r="AV232">
            <v>0</v>
          </cell>
          <cell r="AW232">
            <v>0</v>
          </cell>
          <cell r="AY232">
            <v>0</v>
          </cell>
          <cell r="AZ232">
            <v>0</v>
          </cell>
          <cell r="BA232">
            <v>0</v>
          </cell>
          <cell r="BB232">
            <v>0</v>
          </cell>
          <cell r="BC232">
            <v>0</v>
          </cell>
          <cell r="BD232">
            <v>0</v>
          </cell>
          <cell r="BE232">
            <v>0</v>
          </cell>
          <cell r="BF232">
            <v>0</v>
          </cell>
          <cell r="BG232">
            <v>0</v>
          </cell>
          <cell r="BH232">
            <v>0</v>
          </cell>
          <cell r="BJ232">
            <v>0</v>
          </cell>
          <cell r="BL232">
            <v>0</v>
          </cell>
          <cell r="BM232">
            <v>0</v>
          </cell>
          <cell r="BN232">
            <v>0</v>
          </cell>
          <cell r="BO232">
            <v>0</v>
          </cell>
          <cell r="BQ232">
            <v>0</v>
          </cell>
          <cell r="BR232">
            <v>0</v>
          </cell>
          <cell r="BS232">
            <v>0</v>
          </cell>
          <cell r="BT232">
            <v>0</v>
          </cell>
          <cell r="CB232">
            <v>0</v>
          </cell>
          <cell r="CC232">
            <v>0</v>
          </cell>
          <cell r="CD232">
            <v>0</v>
          </cell>
          <cell r="CE232">
            <v>0</v>
          </cell>
          <cell r="CF232">
            <v>0</v>
          </cell>
          <cell r="CI232">
            <v>0</v>
          </cell>
          <cell r="CJ232">
            <v>0</v>
          </cell>
          <cell r="CK232">
            <v>0</v>
          </cell>
          <cell r="CV232">
            <v>5.6583106420348881E-4</v>
          </cell>
          <cell r="DG232">
            <v>24615575</v>
          </cell>
          <cell r="DR232">
            <v>8727933.4099999983</v>
          </cell>
          <cell r="EC232">
            <v>2.8203211279999905</v>
          </cell>
          <cell r="EN232">
            <v>2.4095909012463064E-2</v>
          </cell>
        </row>
        <row r="233">
          <cell r="B233">
            <v>36901</v>
          </cell>
          <cell r="C233" t="str">
            <v>Arapahoe Charter School</v>
          </cell>
          <cell r="D233">
            <v>1.8517054549559798E-4</v>
          </cell>
          <cell r="E233">
            <v>320388.21973830718</v>
          </cell>
          <cell r="F233">
            <v>249814.04249705121</v>
          </cell>
          <cell r="G233">
            <v>37389</v>
          </cell>
          <cell r="H233">
            <v>-89399.697757158312</v>
          </cell>
          <cell r="I233">
            <v>-3699.5281723617568</v>
          </cell>
          <cell r="J233">
            <v>270362.83472225041</v>
          </cell>
          <cell r="K233">
            <v>0</v>
          </cell>
          <cell r="L233">
            <v>-14205.312161998367</v>
          </cell>
          <cell r="M233">
            <v>2549.2450592042132</v>
          </cell>
          <cell r="N233">
            <v>96.099809701305446</v>
          </cell>
          <cell r="O233">
            <v>-43.368793460524003</v>
          </cell>
          <cell r="P233">
            <v>0</v>
          </cell>
          <cell r="Q233">
            <v>0</v>
          </cell>
          <cell r="R233">
            <v>0</v>
          </cell>
          <cell r="S233">
            <v>773251.53494153533</v>
          </cell>
          <cell r="T233">
            <v>186944.29</v>
          </cell>
          <cell r="U233">
            <v>1351814.1736112519</v>
          </cell>
          <cell r="V233">
            <v>10196.980236816853</v>
          </cell>
          <cell r="W233">
            <v>0</v>
          </cell>
          <cell r="X233">
            <v>1548955.4438480688</v>
          </cell>
          <cell r="Y233">
            <v>0</v>
          </cell>
          <cell r="Z233">
            <v>0</v>
          </cell>
          <cell r="AA233">
            <v>0</v>
          </cell>
          <cell r="AB233">
            <v>18497.640861808784</v>
          </cell>
          <cell r="AC233">
            <v>18497.640861808784</v>
          </cell>
          <cell r="AD233" t="str">
            <v>N/A</v>
          </cell>
          <cell r="AE233">
            <v>306602</v>
          </cell>
          <cell r="AF233">
            <v>306602</v>
          </cell>
          <cell r="AG233">
            <v>306602</v>
          </cell>
          <cell r="AH233">
            <v>306602</v>
          </cell>
          <cell r="AI233">
            <v>304052</v>
          </cell>
          <cell r="AJ233">
            <v>0</v>
          </cell>
          <cell r="AK233">
            <v>1530460</v>
          </cell>
          <cell r="AL233">
            <v>5918622</v>
          </cell>
          <cell r="AM233">
            <v>773251.53494153533</v>
          </cell>
          <cell r="AN233">
            <v>-166782.29</v>
          </cell>
          <cell r="AO233">
            <v>1343513.51298626</v>
          </cell>
          <cell r="AP233">
            <v>0</v>
          </cell>
          <cell r="AQ233">
            <v>186944.29</v>
          </cell>
          <cell r="AR233">
            <v>0</v>
          </cell>
          <cell r="AS233">
            <v>0</v>
          </cell>
          <cell r="AT233">
            <v>8055549.0479277959</v>
          </cell>
          <cell r="AU233">
            <v>1.7851645264140253E-4</v>
          </cell>
          <cell r="AV233">
            <v>0</v>
          </cell>
          <cell r="AW233">
            <v>0</v>
          </cell>
          <cell r="AY233">
            <v>0</v>
          </cell>
          <cell r="AZ233">
            <v>0</v>
          </cell>
          <cell r="BA233">
            <v>0</v>
          </cell>
          <cell r="BB233">
            <v>0</v>
          </cell>
          <cell r="BC233">
            <v>0</v>
          </cell>
          <cell r="BD233">
            <v>0</v>
          </cell>
          <cell r="BE233">
            <v>0</v>
          </cell>
          <cell r="BF233">
            <v>0</v>
          </cell>
          <cell r="BG233">
            <v>0</v>
          </cell>
          <cell r="BH233">
            <v>0</v>
          </cell>
          <cell r="BJ233">
            <v>0</v>
          </cell>
          <cell r="BL233">
            <v>0</v>
          </cell>
          <cell r="BM233">
            <v>0</v>
          </cell>
          <cell r="BN233">
            <v>0</v>
          </cell>
          <cell r="BO233">
            <v>0</v>
          </cell>
          <cell r="BQ233">
            <v>0</v>
          </cell>
          <cell r="BR233">
            <v>0</v>
          </cell>
          <cell r="BS233">
            <v>0</v>
          </cell>
          <cell r="BT233">
            <v>0</v>
          </cell>
          <cell r="CB233">
            <v>0</v>
          </cell>
          <cell r="CC233">
            <v>0</v>
          </cell>
          <cell r="CD233">
            <v>0</v>
          </cell>
          <cell r="CE233">
            <v>0</v>
          </cell>
          <cell r="CF233">
            <v>0</v>
          </cell>
          <cell r="CI233">
            <v>0</v>
          </cell>
          <cell r="CJ233">
            <v>0</v>
          </cell>
          <cell r="CK233">
            <v>0</v>
          </cell>
          <cell r="CV233">
            <v>1.8517054549559798E-4</v>
          </cell>
          <cell r="DG233">
            <v>8055548</v>
          </cell>
          <cell r="DR233">
            <v>2816867.1299999994</v>
          </cell>
          <cell r="EC233">
            <v>2.8597543399215999</v>
          </cell>
          <cell r="EN233">
            <v>2.4095909012463064E-2</v>
          </cell>
        </row>
        <row r="234">
          <cell r="B234">
            <v>36905</v>
          </cell>
          <cell r="C234" t="str">
            <v>Pamlico Community College</v>
          </cell>
          <cell r="D234">
            <v>1.694935486756108E-4</v>
          </cell>
          <cell r="E234">
            <v>293263.35985005781</v>
          </cell>
          <cell r="F234">
            <v>228664.16717896226</v>
          </cell>
          <cell r="G234">
            <v>-142563</v>
          </cell>
          <cell r="H234">
            <v>-81830.898012600112</v>
          </cell>
          <cell r="I234">
            <v>-3386.3169581357502</v>
          </cell>
          <cell r="J234">
            <v>247473.24778044273</v>
          </cell>
          <cell r="K234">
            <v>0</v>
          </cell>
          <cell r="L234">
            <v>-13002.655265381578</v>
          </cell>
          <cell r="M234">
            <v>2333.4196611661514</v>
          </cell>
          <cell r="N234">
            <v>87.963761891668497</v>
          </cell>
          <cell r="O234">
            <v>-39.697084035314809</v>
          </cell>
          <cell r="P234">
            <v>0</v>
          </cell>
          <cell r="Q234">
            <v>0</v>
          </cell>
          <cell r="R234">
            <v>0</v>
          </cell>
          <cell r="S234">
            <v>530999.59091236803</v>
          </cell>
          <cell r="T234">
            <v>28381.440000000002</v>
          </cell>
          <cell r="U234">
            <v>1237366.2389022138</v>
          </cell>
          <cell r="V234">
            <v>9333.6786446646056</v>
          </cell>
          <cell r="W234">
            <v>0</v>
          </cell>
          <cell r="X234">
            <v>1275081.3575468783</v>
          </cell>
          <cell r="Y234">
            <v>741196</v>
          </cell>
          <cell r="Z234">
            <v>0</v>
          </cell>
          <cell r="AA234">
            <v>0</v>
          </cell>
          <cell r="AB234">
            <v>16931.584790678749</v>
          </cell>
          <cell r="AC234">
            <v>758127.58479067869</v>
          </cell>
          <cell r="AD234" t="str">
            <v>N/A</v>
          </cell>
          <cell r="AE234">
            <v>103857</v>
          </cell>
          <cell r="AF234">
            <v>103857</v>
          </cell>
          <cell r="AG234">
            <v>103857</v>
          </cell>
          <cell r="AH234">
            <v>103857</v>
          </cell>
          <cell r="AI234">
            <v>101524</v>
          </cell>
          <cell r="AJ234">
            <v>0</v>
          </cell>
          <cell r="AK234">
            <v>516952</v>
          </cell>
          <cell r="AL234">
            <v>6508908</v>
          </cell>
          <cell r="AM234">
            <v>530999.59091236803</v>
          </cell>
          <cell r="AN234">
            <v>-183315.44</v>
          </cell>
          <cell r="AO234">
            <v>1229768.3327561996</v>
          </cell>
          <cell r="AP234">
            <v>0</v>
          </cell>
          <cell r="AQ234">
            <v>-712814.56</v>
          </cell>
          <cell r="AR234">
            <v>0</v>
          </cell>
          <cell r="AS234">
            <v>0</v>
          </cell>
          <cell r="AT234">
            <v>7373545.9236685671</v>
          </cell>
          <cell r="AU234">
            <v>1.9632055372632428E-4</v>
          </cell>
          <cell r="AV234">
            <v>0</v>
          </cell>
          <cell r="AW234">
            <v>0</v>
          </cell>
          <cell r="AY234">
            <v>0</v>
          </cell>
          <cell r="AZ234">
            <v>0</v>
          </cell>
          <cell r="BA234">
            <v>0</v>
          </cell>
          <cell r="BB234">
            <v>0</v>
          </cell>
          <cell r="BC234">
            <v>0</v>
          </cell>
          <cell r="BD234">
            <v>0</v>
          </cell>
          <cell r="BE234">
            <v>0</v>
          </cell>
          <cell r="BF234">
            <v>0</v>
          </cell>
          <cell r="BG234">
            <v>0</v>
          </cell>
          <cell r="BH234">
            <v>0</v>
          </cell>
          <cell r="BJ234">
            <v>0</v>
          </cell>
          <cell r="BL234">
            <v>0</v>
          </cell>
          <cell r="BM234">
            <v>0</v>
          </cell>
          <cell r="BN234">
            <v>0</v>
          </cell>
          <cell r="BO234">
            <v>0</v>
          </cell>
          <cell r="BQ234">
            <v>0</v>
          </cell>
          <cell r="BR234">
            <v>0</v>
          </cell>
          <cell r="BS234">
            <v>0</v>
          </cell>
          <cell r="BT234">
            <v>0</v>
          </cell>
          <cell r="CB234">
            <v>0</v>
          </cell>
          <cell r="CC234">
            <v>0</v>
          </cell>
          <cell r="CD234">
            <v>0</v>
          </cell>
          <cell r="CE234">
            <v>0</v>
          </cell>
          <cell r="CF234">
            <v>0</v>
          </cell>
          <cell r="CI234">
            <v>0</v>
          </cell>
          <cell r="CJ234">
            <v>0</v>
          </cell>
          <cell r="CK234">
            <v>0</v>
          </cell>
          <cell r="CV234">
            <v>1.694935486756108E-4</v>
          </cell>
          <cell r="DG234">
            <v>7373545</v>
          </cell>
          <cell r="DR234">
            <v>3036657.6600000006</v>
          </cell>
          <cell r="EC234">
            <v>2.4281778934540807</v>
          </cell>
          <cell r="EN234">
            <v>2.4095909012463064E-2</v>
          </cell>
        </row>
        <row r="235">
          <cell r="B235">
            <v>37000</v>
          </cell>
          <cell r="C235" t="str">
            <v>Elizabeth City And Pasquotank County Schools</v>
          </cell>
          <cell r="D235">
            <v>1.9540507202358863E-3</v>
          </cell>
          <cell r="E235">
            <v>3380963.37006047</v>
          </cell>
          <cell r="F235">
            <v>2636214.6763671217</v>
          </cell>
          <cell r="G235">
            <v>535482</v>
          </cell>
          <cell r="H235">
            <v>-943408.91702670197</v>
          </cell>
          <cell r="I235">
            <v>-39040.041008618718</v>
          </cell>
          <cell r="J235">
            <v>2853060.0830713031</v>
          </cell>
          <cell r="K235">
            <v>0</v>
          </cell>
          <cell r="L235">
            <v>-149904.51309108653</v>
          </cell>
          <cell r="M235">
            <v>26901.439052649916</v>
          </cell>
          <cell r="N235">
            <v>1014.1132427880202</v>
          </cell>
          <cell r="O235">
            <v>-457.6582191864469</v>
          </cell>
          <cell r="P235">
            <v>0</v>
          </cell>
          <cell r="Q235">
            <v>0</v>
          </cell>
          <cell r="R235">
            <v>0</v>
          </cell>
          <cell r="S235">
            <v>8300824.5524487384</v>
          </cell>
          <cell r="T235">
            <v>2677408.52</v>
          </cell>
          <cell r="U235">
            <v>14265300.415356515</v>
          </cell>
          <cell r="V235">
            <v>107605.75621059966</v>
          </cell>
          <cell r="W235">
            <v>0</v>
          </cell>
          <cell r="X235">
            <v>17050314.691567115</v>
          </cell>
          <cell r="Y235">
            <v>0</v>
          </cell>
          <cell r="Z235">
            <v>0</v>
          </cell>
          <cell r="AA235">
            <v>0</v>
          </cell>
          <cell r="AB235">
            <v>195200.20504309356</v>
          </cell>
          <cell r="AC235">
            <v>195200.20504309356</v>
          </cell>
          <cell r="AD235" t="str">
            <v>N/A</v>
          </cell>
          <cell r="AE235">
            <v>3376403</v>
          </cell>
          <cell r="AF235">
            <v>3376403</v>
          </cell>
          <cell r="AG235">
            <v>3376403</v>
          </cell>
          <cell r="AH235">
            <v>3376403</v>
          </cell>
          <cell r="AI235">
            <v>3349502</v>
          </cell>
          <cell r="AJ235">
            <v>0</v>
          </cell>
          <cell r="AK235">
            <v>16855114</v>
          </cell>
          <cell r="AL235">
            <v>61585438</v>
          </cell>
          <cell r="AM235">
            <v>8300824.5524487384</v>
          </cell>
          <cell r="AN235">
            <v>-1733528.52</v>
          </cell>
          <cell r="AO235">
            <v>14177705.966524022</v>
          </cell>
          <cell r="AP235">
            <v>0</v>
          </cell>
          <cell r="AQ235">
            <v>2677408.52</v>
          </cell>
          <cell r="AR235">
            <v>0</v>
          </cell>
          <cell r="AS235">
            <v>0</v>
          </cell>
          <cell r="AT235">
            <v>85007848.518972754</v>
          </cell>
          <cell r="AU235">
            <v>1.8575291550537419E-3</v>
          </cell>
          <cell r="AV235">
            <v>0</v>
          </cell>
          <cell r="AW235">
            <v>0</v>
          </cell>
          <cell r="AY235">
            <v>0</v>
          </cell>
          <cell r="AZ235">
            <v>0</v>
          </cell>
          <cell r="BA235">
            <v>0</v>
          </cell>
          <cell r="BB235">
            <v>0</v>
          </cell>
          <cell r="BC235">
            <v>0</v>
          </cell>
          <cell r="BD235">
            <v>0</v>
          </cell>
          <cell r="BE235">
            <v>0</v>
          </cell>
          <cell r="BF235">
            <v>0</v>
          </cell>
          <cell r="BG235">
            <v>0</v>
          </cell>
          <cell r="BH235">
            <v>0</v>
          </cell>
          <cell r="BJ235">
            <v>0</v>
          </cell>
          <cell r="BL235">
            <v>0</v>
          </cell>
          <cell r="BM235">
            <v>0</v>
          </cell>
          <cell r="BN235">
            <v>0</v>
          </cell>
          <cell r="BO235">
            <v>0</v>
          </cell>
          <cell r="BQ235">
            <v>0</v>
          </cell>
          <cell r="BR235">
            <v>0</v>
          </cell>
          <cell r="BS235">
            <v>0</v>
          </cell>
          <cell r="BT235">
            <v>0</v>
          </cell>
          <cell r="CB235">
            <v>0</v>
          </cell>
          <cell r="CC235">
            <v>0</v>
          </cell>
          <cell r="CD235">
            <v>0</v>
          </cell>
          <cell r="CE235">
            <v>0</v>
          </cell>
          <cell r="CF235">
            <v>0</v>
          </cell>
          <cell r="CI235">
            <v>0</v>
          </cell>
          <cell r="CJ235">
            <v>0</v>
          </cell>
          <cell r="CK235">
            <v>0</v>
          </cell>
          <cell r="CV235">
            <v>1.9540507202358863E-3</v>
          </cell>
          <cell r="DG235">
            <v>85007848</v>
          </cell>
          <cell r="DR235">
            <v>29918337.110000029</v>
          </cell>
          <cell r="EC235">
            <v>2.8413293054173998</v>
          </cell>
          <cell r="EN235">
            <v>2.4095909012463064E-2</v>
          </cell>
        </row>
        <row r="236">
          <cell r="B236">
            <v>37001</v>
          </cell>
          <cell r="C236" t="str">
            <v>N.E. ACADEMY OF AEROSPACE &amp; ADV.TECH</v>
          </cell>
          <cell r="D236">
            <v>3.1564032534837588E-5</v>
          </cell>
          <cell r="E236">
            <v>54613.136039171142</v>
          </cell>
          <cell r="F236">
            <v>42583.114630526783</v>
          </cell>
          <cell r="G236">
            <v>174684</v>
          </cell>
          <cell r="H236">
            <v>-15239.005539780484</v>
          </cell>
          <cell r="I236">
            <v>-630.61880216122563</v>
          </cell>
          <cell r="J236">
            <v>46085.846366893697</v>
          </cell>
          <cell r="K236">
            <v>0</v>
          </cell>
          <cell r="L236">
            <v>-2421.4268746078715</v>
          </cell>
          <cell r="M236">
            <v>434.54240399107442</v>
          </cell>
          <cell r="N236">
            <v>16.381101604930013</v>
          </cell>
          <cell r="O236">
            <v>-7.3926120599843115</v>
          </cell>
          <cell r="P236">
            <v>0</v>
          </cell>
          <cell r="Q236">
            <v>0</v>
          </cell>
          <cell r="R236">
            <v>0</v>
          </cell>
          <cell r="S236">
            <v>300118.57671357814</v>
          </cell>
          <cell r="T236">
            <v>873420.79</v>
          </cell>
          <cell r="U236">
            <v>230429.23183446849</v>
          </cell>
          <cell r="V236">
            <v>1738.1696159642977</v>
          </cell>
          <cell r="W236">
            <v>0</v>
          </cell>
          <cell r="X236">
            <v>1105588.1914504329</v>
          </cell>
          <cell r="Y236">
            <v>0</v>
          </cell>
          <cell r="Z236">
            <v>0</v>
          </cell>
          <cell r="AA236">
            <v>0</v>
          </cell>
          <cell r="AB236">
            <v>3153.0940108061282</v>
          </cell>
          <cell r="AC236">
            <v>3153.0940108061282</v>
          </cell>
          <cell r="AD236" t="str">
            <v>N/A</v>
          </cell>
          <cell r="AE236">
            <v>220574</v>
          </cell>
          <cell r="AF236">
            <v>220574</v>
          </cell>
          <cell r="AG236">
            <v>220574</v>
          </cell>
          <cell r="AH236">
            <v>220574</v>
          </cell>
          <cell r="AI236">
            <v>220139</v>
          </cell>
          <cell r="AJ236">
            <v>0</v>
          </cell>
          <cell r="AK236">
            <v>1102435</v>
          </cell>
          <cell r="AL236">
            <v>0</v>
          </cell>
          <cell r="AM236">
            <v>300118.57671357814</v>
          </cell>
          <cell r="AN236">
            <v>-29411.79</v>
          </cell>
          <cell r="AO236">
            <v>229014.30743962669</v>
          </cell>
          <cell r="AP236">
            <v>0</v>
          </cell>
          <cell r="AQ236">
            <v>873420.79</v>
          </cell>
          <cell r="AR236">
            <v>0</v>
          </cell>
          <cell r="AS236">
            <v>0</v>
          </cell>
          <cell r="AT236">
            <v>1373141.884153205</v>
          </cell>
          <cell r="AU236">
            <v>0</v>
          </cell>
          <cell r="AV236">
            <v>0</v>
          </cell>
          <cell r="AW236">
            <v>0</v>
          </cell>
          <cell r="AY236">
            <v>0</v>
          </cell>
          <cell r="AZ236">
            <v>0</v>
          </cell>
          <cell r="BA236">
            <v>0</v>
          </cell>
          <cell r="BB236">
            <v>0</v>
          </cell>
          <cell r="BC236">
            <v>0</v>
          </cell>
          <cell r="BD236">
            <v>0</v>
          </cell>
          <cell r="BE236">
            <v>0</v>
          </cell>
          <cell r="BF236">
            <v>0</v>
          </cell>
          <cell r="BG236">
            <v>0</v>
          </cell>
          <cell r="BH236">
            <v>0</v>
          </cell>
          <cell r="BJ236">
            <v>0</v>
          </cell>
          <cell r="BL236">
            <v>0</v>
          </cell>
          <cell r="BM236">
            <v>0</v>
          </cell>
          <cell r="BN236">
            <v>0</v>
          </cell>
          <cell r="BO236">
            <v>0</v>
          </cell>
          <cell r="BQ236">
            <v>0</v>
          </cell>
          <cell r="BR236">
            <v>0</v>
          </cell>
          <cell r="BS236">
            <v>0</v>
          </cell>
          <cell r="BT236">
            <v>0</v>
          </cell>
          <cell r="CB236">
            <v>0</v>
          </cell>
          <cell r="CC236">
            <v>0</v>
          </cell>
          <cell r="CD236">
            <v>0</v>
          </cell>
          <cell r="CE236">
            <v>0</v>
          </cell>
          <cell r="CF236">
            <v>0</v>
          </cell>
          <cell r="CI236">
            <v>0</v>
          </cell>
          <cell r="CJ236">
            <v>0</v>
          </cell>
          <cell r="CK236">
            <v>0</v>
          </cell>
          <cell r="CV236">
            <v>3.1564032534837588E-5</v>
          </cell>
          <cell r="DG236">
            <v>1373143</v>
          </cell>
          <cell r="DR236">
            <v>343321.99000000005</v>
          </cell>
          <cell r="EC236">
            <v>3.9995777724578603</v>
          </cell>
          <cell r="EN236">
            <v>2.4095909012463064E-2</v>
          </cell>
        </row>
        <row r="237">
          <cell r="B237">
            <v>37005</v>
          </cell>
          <cell r="C237" t="str">
            <v>College Of The Albemarle</v>
          </cell>
          <cell r="D237">
            <v>4.596533387831449E-4</v>
          </cell>
          <cell r="E237">
            <v>795307.4530041914</v>
          </cell>
          <cell r="F237">
            <v>620119.46015147329</v>
          </cell>
          <cell r="G237">
            <v>-141828</v>
          </cell>
          <cell r="H237">
            <v>-221919.03928510455</v>
          </cell>
          <cell r="I237">
            <v>-9183.4285620161609</v>
          </cell>
          <cell r="J237">
            <v>671128.22576802468</v>
          </cell>
          <cell r="K237">
            <v>0</v>
          </cell>
          <cell r="L237">
            <v>-35262.19111275766</v>
          </cell>
          <cell r="M237">
            <v>6328.0528752749651</v>
          </cell>
          <cell r="N237">
            <v>238.55088976167653</v>
          </cell>
          <cell r="O237">
            <v>-107.65540847640037</v>
          </cell>
          <cell r="P237">
            <v>0</v>
          </cell>
          <cell r="Q237">
            <v>0</v>
          </cell>
          <cell r="R237">
            <v>0</v>
          </cell>
          <cell r="S237">
            <v>1684821.4283203713</v>
          </cell>
          <cell r="T237">
            <v>48687.900000000023</v>
          </cell>
          <cell r="U237">
            <v>3355641.1288401233</v>
          </cell>
          <cell r="V237">
            <v>25312.21150109986</v>
          </cell>
          <cell r="W237">
            <v>0</v>
          </cell>
          <cell r="X237">
            <v>3429641.2403412228</v>
          </cell>
          <cell r="Y237">
            <v>757829</v>
          </cell>
          <cell r="Z237">
            <v>0</v>
          </cell>
          <cell r="AA237">
            <v>0</v>
          </cell>
          <cell r="AB237">
            <v>45917.142810080804</v>
          </cell>
          <cell r="AC237">
            <v>803746.14281008078</v>
          </cell>
          <cell r="AD237" t="str">
            <v>N/A</v>
          </cell>
          <cell r="AE237">
            <v>526445</v>
          </cell>
          <cell r="AF237">
            <v>526444</v>
          </cell>
          <cell r="AG237">
            <v>526444</v>
          </cell>
          <cell r="AH237">
            <v>526444</v>
          </cell>
          <cell r="AI237">
            <v>520116</v>
          </cell>
          <cell r="AJ237">
            <v>0</v>
          </cell>
          <cell r="AK237">
            <v>2625893</v>
          </cell>
          <cell r="AL237">
            <v>16148968</v>
          </cell>
          <cell r="AM237">
            <v>1684821.4283203713</v>
          </cell>
          <cell r="AN237">
            <v>-463201.9</v>
          </cell>
          <cell r="AO237">
            <v>3335036.1975311427</v>
          </cell>
          <cell r="AP237">
            <v>0</v>
          </cell>
          <cell r="AQ237">
            <v>-709141.1</v>
          </cell>
          <cell r="AR237">
            <v>0</v>
          </cell>
          <cell r="AS237">
            <v>0</v>
          </cell>
          <cell r="AT237">
            <v>19996482.625851512</v>
          </cell>
          <cell r="AU237">
            <v>4.8708232843368933E-4</v>
          </cell>
          <cell r="AV237">
            <v>0</v>
          </cell>
          <cell r="AW237">
            <v>0</v>
          </cell>
          <cell r="AY237">
            <v>0</v>
          </cell>
          <cell r="AZ237">
            <v>0</v>
          </cell>
          <cell r="BA237">
            <v>0</v>
          </cell>
          <cell r="BB237">
            <v>0</v>
          </cell>
          <cell r="BC237">
            <v>0</v>
          </cell>
          <cell r="BD237">
            <v>0</v>
          </cell>
          <cell r="BE237">
            <v>0</v>
          </cell>
          <cell r="BF237">
            <v>0</v>
          </cell>
          <cell r="BG237">
            <v>0</v>
          </cell>
          <cell r="BH237">
            <v>0</v>
          </cell>
          <cell r="BJ237">
            <v>0</v>
          </cell>
          <cell r="BL237">
            <v>0</v>
          </cell>
          <cell r="BM237">
            <v>0</v>
          </cell>
          <cell r="BN237">
            <v>0</v>
          </cell>
          <cell r="BO237">
            <v>0</v>
          </cell>
          <cell r="BQ237">
            <v>0</v>
          </cell>
          <cell r="BR237">
            <v>0</v>
          </cell>
          <cell r="BS237">
            <v>0</v>
          </cell>
          <cell r="BT237">
            <v>0</v>
          </cell>
          <cell r="CB237">
            <v>0</v>
          </cell>
          <cell r="CC237">
            <v>0</v>
          </cell>
          <cell r="CD237">
            <v>0</v>
          </cell>
          <cell r="CE237">
            <v>0</v>
          </cell>
          <cell r="CF237">
            <v>0</v>
          </cell>
          <cell r="CI237">
            <v>0</v>
          </cell>
          <cell r="CJ237">
            <v>0</v>
          </cell>
          <cell r="CK237">
            <v>0</v>
          </cell>
          <cell r="CV237">
            <v>4.596533387831449E-4</v>
          </cell>
          <cell r="DG237">
            <v>19996483</v>
          </cell>
          <cell r="DR237">
            <v>7770150.4700000007</v>
          </cell>
          <cell r="EC237">
            <v>2.5735000985122491</v>
          </cell>
          <cell r="EN237">
            <v>2.4095909012463064E-2</v>
          </cell>
        </row>
        <row r="238">
          <cell r="B238">
            <v>37100</v>
          </cell>
          <cell r="C238" t="str">
            <v>Pender County Schools</v>
          </cell>
          <cell r="D238">
            <v>2.754611115011029E-3</v>
          </cell>
          <cell r="E238">
            <v>4766119.5188881559</v>
          </cell>
          <cell r="F238">
            <v>3716252.6918438757</v>
          </cell>
          <cell r="G238">
            <v>515945</v>
          </cell>
          <cell r="H238">
            <v>-1329916.7017161979</v>
          </cell>
          <cell r="I238">
            <v>-55034.46240118354</v>
          </cell>
          <cell r="J238">
            <v>4021938.0874994793</v>
          </cell>
          <cell r="K238">
            <v>0</v>
          </cell>
          <cell r="L238">
            <v>-211319.30388233523</v>
          </cell>
          <cell r="M238">
            <v>37922.763343254344</v>
          </cell>
          <cell r="N238">
            <v>1429.5880764684239</v>
          </cell>
          <cell r="O238">
            <v>-645.15746924673306</v>
          </cell>
          <cell r="P238">
            <v>0</v>
          </cell>
          <cell r="Q238">
            <v>0</v>
          </cell>
          <cell r="R238">
            <v>0</v>
          </cell>
          <cell r="S238">
            <v>11462692.024182271</v>
          </cell>
          <cell r="T238">
            <v>2653879</v>
          </cell>
          <cell r="U238">
            <v>20109690.437497396</v>
          </cell>
          <cell r="V238">
            <v>151691.05337301738</v>
          </cell>
          <cell r="W238">
            <v>0</v>
          </cell>
          <cell r="X238">
            <v>22915260.490870412</v>
          </cell>
          <cell r="Y238">
            <v>74152.149999999907</v>
          </cell>
          <cell r="Z238">
            <v>0</v>
          </cell>
          <cell r="AA238">
            <v>0</v>
          </cell>
          <cell r="AB238">
            <v>275172.31200591772</v>
          </cell>
          <cell r="AC238">
            <v>349324.46200591762</v>
          </cell>
          <cell r="AD238" t="str">
            <v>N/A</v>
          </cell>
          <cell r="AE238">
            <v>4520772</v>
          </cell>
          <cell r="AF238">
            <v>4520771</v>
          </cell>
          <cell r="AG238">
            <v>4520771</v>
          </cell>
          <cell r="AH238">
            <v>4520771</v>
          </cell>
          <cell r="AI238">
            <v>4482849</v>
          </cell>
          <cell r="AJ238">
            <v>0</v>
          </cell>
          <cell r="AK238">
            <v>22565934</v>
          </cell>
          <cell r="AL238">
            <v>88143080</v>
          </cell>
          <cell r="AM238">
            <v>11462692.024182271</v>
          </cell>
          <cell r="AN238">
            <v>-2336761.85</v>
          </cell>
          <cell r="AO238">
            <v>19986209.178864498</v>
          </cell>
          <cell r="AP238">
            <v>0</v>
          </cell>
          <cell r="AQ238">
            <v>2579726.85</v>
          </cell>
          <cell r="AR238">
            <v>0</v>
          </cell>
          <cell r="AS238">
            <v>0</v>
          </cell>
          <cell r="AT238">
            <v>119834946.20304677</v>
          </cell>
          <cell r="AU238">
            <v>2.6585561174162693E-3</v>
          </cell>
          <cell r="AV238">
            <v>0</v>
          </cell>
          <cell r="AW238">
            <v>0</v>
          </cell>
          <cell r="AY238">
            <v>0</v>
          </cell>
          <cell r="AZ238">
            <v>0</v>
          </cell>
          <cell r="BA238">
            <v>0</v>
          </cell>
          <cell r="BB238">
            <v>0</v>
          </cell>
          <cell r="BC238">
            <v>0</v>
          </cell>
          <cell r="BD238">
            <v>0</v>
          </cell>
          <cell r="BE238">
            <v>0</v>
          </cell>
          <cell r="BF238">
            <v>0</v>
          </cell>
          <cell r="BG238">
            <v>0</v>
          </cell>
          <cell r="BH238">
            <v>0</v>
          </cell>
          <cell r="BJ238">
            <v>0</v>
          </cell>
          <cell r="BL238">
            <v>0</v>
          </cell>
          <cell r="BM238">
            <v>0</v>
          </cell>
          <cell r="BN238">
            <v>0</v>
          </cell>
          <cell r="BO238">
            <v>0</v>
          </cell>
          <cell r="BQ238">
            <v>0</v>
          </cell>
          <cell r="BR238">
            <v>0</v>
          </cell>
          <cell r="BS238">
            <v>0</v>
          </cell>
          <cell r="BT238">
            <v>0</v>
          </cell>
          <cell r="CB238">
            <v>0</v>
          </cell>
          <cell r="CC238">
            <v>0</v>
          </cell>
          <cell r="CD238">
            <v>0</v>
          </cell>
          <cell r="CE238">
            <v>0</v>
          </cell>
          <cell r="CF238">
            <v>0</v>
          </cell>
          <cell r="CI238">
            <v>0</v>
          </cell>
          <cell r="CJ238">
            <v>0</v>
          </cell>
          <cell r="CK238">
            <v>0</v>
          </cell>
          <cell r="CV238">
            <v>2.754611115011029E-3</v>
          </cell>
          <cell r="DG238">
            <v>119834946</v>
          </cell>
          <cell r="DR238">
            <v>39904202.460000046</v>
          </cell>
          <cell r="EC238">
            <v>3.0030658079214212</v>
          </cell>
          <cell r="EN238">
            <v>2.4095909012463064E-2</v>
          </cell>
        </row>
        <row r="239">
          <cell r="B239">
            <v>37200</v>
          </cell>
          <cell r="C239" t="str">
            <v>Perquimans County Schools</v>
          </cell>
          <cell r="D239">
            <v>6.2291965627409203E-4</v>
          </cell>
          <cell r="E239">
            <v>1077796.2509075131</v>
          </cell>
          <cell r="F239">
            <v>840382.454284037</v>
          </cell>
          <cell r="G239">
            <v>-13319</v>
          </cell>
          <cell r="H239">
            <v>-300743.45165884198</v>
          </cell>
          <cell r="I239">
            <v>-12445.331471784695</v>
          </cell>
          <cell r="J239">
            <v>909509.25064092898</v>
          </cell>
          <cell r="K239">
            <v>0</v>
          </cell>
          <cell r="L239">
            <v>-47787.125892700686</v>
          </cell>
          <cell r="M239">
            <v>8575.742172102995</v>
          </cell>
          <cell r="N239">
            <v>323.28284321312827</v>
          </cell>
          <cell r="O239">
            <v>-145.8940126959551</v>
          </cell>
          <cell r="P239">
            <v>0</v>
          </cell>
          <cell r="Q239">
            <v>0</v>
          </cell>
          <cell r="R239">
            <v>0</v>
          </cell>
          <cell r="S239">
            <v>2462146.1778117716</v>
          </cell>
          <cell r="T239">
            <v>15891.79999999993</v>
          </cell>
          <cell r="U239">
            <v>4547546.2532046447</v>
          </cell>
          <cell r="V239">
            <v>34302.96868841198</v>
          </cell>
          <cell r="W239">
            <v>0</v>
          </cell>
          <cell r="X239">
            <v>4597741.0218930561</v>
          </cell>
          <cell r="Y239">
            <v>82486</v>
          </cell>
          <cell r="Z239">
            <v>0</v>
          </cell>
          <cell r="AA239">
            <v>0</v>
          </cell>
          <cell r="AB239">
            <v>62226.657358923476</v>
          </cell>
          <cell r="AC239">
            <v>144712.65735892346</v>
          </cell>
          <cell r="AD239" t="str">
            <v>N/A</v>
          </cell>
          <cell r="AE239">
            <v>892321</v>
          </cell>
          <cell r="AF239">
            <v>892321</v>
          </cell>
          <cell r="AG239">
            <v>892321</v>
          </cell>
          <cell r="AH239">
            <v>892321</v>
          </cell>
          <cell r="AI239">
            <v>883745</v>
          </cell>
          <cell r="AJ239">
            <v>0</v>
          </cell>
          <cell r="AK239">
            <v>4453029</v>
          </cell>
          <cell r="AL239">
            <v>20751568</v>
          </cell>
          <cell r="AM239">
            <v>2462146.1778117716</v>
          </cell>
          <cell r="AN239">
            <v>-567620.79999999993</v>
          </cell>
          <cell r="AO239">
            <v>4519622.5645341333</v>
          </cell>
          <cell r="AP239">
            <v>0</v>
          </cell>
          <cell r="AQ239">
            <v>-66594.20000000007</v>
          </cell>
          <cell r="AR239">
            <v>0</v>
          </cell>
          <cell r="AS239">
            <v>0</v>
          </cell>
          <cell r="AT239">
            <v>27099121.742345903</v>
          </cell>
          <cell r="AU239">
            <v>6.2590514962913239E-4</v>
          </cell>
          <cell r="AV239">
            <v>0</v>
          </cell>
          <cell r="AW239">
            <v>0</v>
          </cell>
          <cell r="AY239">
            <v>0</v>
          </cell>
          <cell r="AZ239">
            <v>0</v>
          </cell>
          <cell r="BA239">
            <v>0</v>
          </cell>
          <cell r="BB239">
            <v>0</v>
          </cell>
          <cell r="BC239">
            <v>0</v>
          </cell>
          <cell r="BD239">
            <v>0</v>
          </cell>
          <cell r="BE239">
            <v>0</v>
          </cell>
          <cell r="BF239">
            <v>0</v>
          </cell>
          <cell r="BG239">
            <v>0</v>
          </cell>
          <cell r="BH239">
            <v>0</v>
          </cell>
          <cell r="BJ239">
            <v>0</v>
          </cell>
          <cell r="BL239">
            <v>0</v>
          </cell>
          <cell r="BM239">
            <v>0</v>
          </cell>
          <cell r="BN239">
            <v>0</v>
          </cell>
          <cell r="BO239">
            <v>0</v>
          </cell>
          <cell r="BQ239">
            <v>0</v>
          </cell>
          <cell r="BR239">
            <v>0</v>
          </cell>
          <cell r="BS239">
            <v>0</v>
          </cell>
          <cell r="BT239">
            <v>0</v>
          </cell>
          <cell r="CB239">
            <v>0</v>
          </cell>
          <cell r="CC239">
            <v>0</v>
          </cell>
          <cell r="CD239">
            <v>0</v>
          </cell>
          <cell r="CE239">
            <v>0</v>
          </cell>
          <cell r="CF239">
            <v>0</v>
          </cell>
          <cell r="CI239">
            <v>0</v>
          </cell>
          <cell r="CJ239">
            <v>0</v>
          </cell>
          <cell r="CK239">
            <v>0</v>
          </cell>
          <cell r="CV239">
            <v>6.2291965627409203E-4</v>
          </cell>
          <cell r="DG239">
            <v>27099122</v>
          </cell>
          <cell r="DR239">
            <v>9714594.7999999952</v>
          </cell>
          <cell r="EC239">
            <v>2.7895267438226052</v>
          </cell>
          <cell r="EN239">
            <v>2.4095909012463064E-2</v>
          </cell>
        </row>
        <row r="240">
          <cell r="B240">
            <v>37300</v>
          </cell>
          <cell r="C240" t="str">
            <v>Person County Schools</v>
          </cell>
          <cell r="D240">
            <v>1.6377178690144558E-3</v>
          </cell>
          <cell r="E240">
            <v>2833633.7784328088</v>
          </cell>
          <cell r="F240">
            <v>2209449.2416877579</v>
          </cell>
          <cell r="G240">
            <v>112004</v>
          </cell>
          <cell r="H240">
            <v>-790684.51253695926</v>
          </cell>
          <cell r="I240">
            <v>-32720.016990732875</v>
          </cell>
          <cell r="J240">
            <v>2391190.4798733634</v>
          </cell>
          <cell r="K240">
            <v>0</v>
          </cell>
          <cell r="L240">
            <v>-125637.11739557495</v>
          </cell>
          <cell r="M240">
            <v>22546.481000968939</v>
          </cell>
          <cell r="N240">
            <v>849.94281966112226</v>
          </cell>
          <cell r="O240">
            <v>-383.5699021018757</v>
          </cell>
          <cell r="P240">
            <v>0</v>
          </cell>
          <cell r="Q240">
            <v>0</v>
          </cell>
          <cell r="R240">
            <v>0</v>
          </cell>
          <cell r="S240">
            <v>6620248.7069891915</v>
          </cell>
          <cell r="T240">
            <v>578585</v>
          </cell>
          <cell r="U240">
            <v>11955952.399366817</v>
          </cell>
          <cell r="V240">
            <v>90185.924003875756</v>
          </cell>
          <cell r="W240">
            <v>0</v>
          </cell>
          <cell r="X240">
            <v>12624723.323370691</v>
          </cell>
          <cell r="Y240">
            <v>18567.469999999972</v>
          </cell>
          <cell r="Z240">
            <v>0</v>
          </cell>
          <cell r="AA240">
            <v>0</v>
          </cell>
          <cell r="AB240">
            <v>163600.08495366437</v>
          </cell>
          <cell r="AC240">
            <v>182167.55495366434</v>
          </cell>
          <cell r="AD240" t="str">
            <v>N/A</v>
          </cell>
          <cell r="AE240">
            <v>2493021</v>
          </cell>
          <cell r="AF240">
            <v>2493020</v>
          </cell>
          <cell r="AG240">
            <v>2493020</v>
          </cell>
          <cell r="AH240">
            <v>2493020</v>
          </cell>
          <cell r="AI240">
            <v>2470473</v>
          </cell>
          <cell r="AJ240">
            <v>0</v>
          </cell>
          <cell r="AK240">
            <v>12442554</v>
          </cell>
          <cell r="AL240">
            <v>53603404</v>
          </cell>
          <cell r="AM240">
            <v>6620248.7069891915</v>
          </cell>
          <cell r="AN240">
            <v>-1419914.53</v>
          </cell>
          <cell r="AO240">
            <v>11882538.238417029</v>
          </cell>
          <cell r="AP240">
            <v>0</v>
          </cell>
          <cell r="AQ240">
            <v>560017.53</v>
          </cell>
          <cell r="AR240">
            <v>0</v>
          </cell>
          <cell r="AS240">
            <v>0</v>
          </cell>
          <cell r="AT240">
            <v>71246293.945406228</v>
          </cell>
          <cell r="AU240">
            <v>1.6167764569411669E-3</v>
          </cell>
          <cell r="AV240">
            <v>0</v>
          </cell>
          <cell r="AW240">
            <v>0</v>
          </cell>
          <cell r="AY240">
            <v>0</v>
          </cell>
          <cell r="AZ240">
            <v>0</v>
          </cell>
          <cell r="BA240">
            <v>0</v>
          </cell>
          <cell r="BB240">
            <v>0</v>
          </cell>
          <cell r="BC240">
            <v>0</v>
          </cell>
          <cell r="BD240">
            <v>0</v>
          </cell>
          <cell r="BE240">
            <v>0</v>
          </cell>
          <cell r="BF240">
            <v>0</v>
          </cell>
          <cell r="BG240">
            <v>0</v>
          </cell>
          <cell r="BH240">
            <v>0</v>
          </cell>
          <cell r="BJ240">
            <v>0</v>
          </cell>
          <cell r="BL240">
            <v>0</v>
          </cell>
          <cell r="BM240">
            <v>0</v>
          </cell>
          <cell r="BN240">
            <v>0</v>
          </cell>
          <cell r="BO240">
            <v>0</v>
          </cell>
          <cell r="BQ240">
            <v>0</v>
          </cell>
          <cell r="BR240">
            <v>0</v>
          </cell>
          <cell r="BS240">
            <v>0</v>
          </cell>
          <cell r="BT240">
            <v>0</v>
          </cell>
          <cell r="CB240">
            <v>0</v>
          </cell>
          <cell r="CC240">
            <v>0</v>
          </cell>
          <cell r="CD240">
            <v>0</v>
          </cell>
          <cell r="CE240">
            <v>0</v>
          </cell>
          <cell r="CF240">
            <v>0</v>
          </cell>
          <cell r="CI240">
            <v>0</v>
          </cell>
          <cell r="CJ240">
            <v>0</v>
          </cell>
          <cell r="CK240">
            <v>0</v>
          </cell>
          <cell r="CV240">
            <v>1.6377178690144558E-3</v>
          </cell>
          <cell r="DG240">
            <v>71246294</v>
          </cell>
          <cell r="DR240">
            <v>23993814.67999997</v>
          </cell>
          <cell r="EC240">
            <v>2.969360851961039</v>
          </cell>
          <cell r="EN240">
            <v>2.4095909012463064E-2</v>
          </cell>
        </row>
        <row r="241">
          <cell r="B241">
            <v>37301</v>
          </cell>
          <cell r="C241" t="str">
            <v>Roxboro Community School</v>
          </cell>
          <cell r="D241">
            <v>1.7931735082704975E-4</v>
          </cell>
          <cell r="E241">
            <v>310260.82817817107</v>
          </cell>
          <cell r="F241">
            <v>241917.48304285345</v>
          </cell>
          <cell r="G241">
            <v>14926</v>
          </cell>
          <cell r="H241">
            <v>-86573.795652255445</v>
          </cell>
          <cell r="I241">
            <v>-3582.5870113544484</v>
          </cell>
          <cell r="J241">
            <v>261816.733081007</v>
          </cell>
          <cell r="K241">
            <v>0</v>
          </cell>
          <cell r="L241">
            <v>-13756.285794499498</v>
          </cell>
          <cell r="M241">
            <v>2468.6640599452803</v>
          </cell>
          <cell r="N241">
            <v>93.062118732222274</v>
          </cell>
          <cell r="O241">
            <v>-41.997916737203319</v>
          </cell>
          <cell r="P241">
            <v>0</v>
          </cell>
          <cell r="Q241">
            <v>0</v>
          </cell>
          <cell r="R241">
            <v>0</v>
          </cell>
          <cell r="S241">
            <v>727528.10410586244</v>
          </cell>
          <cell r="T241">
            <v>86431</v>
          </cell>
          <cell r="U241">
            <v>1309083.665405035</v>
          </cell>
          <cell r="V241">
            <v>9874.6562397811213</v>
          </cell>
          <cell r="W241">
            <v>0</v>
          </cell>
          <cell r="X241">
            <v>1405389.3216448161</v>
          </cell>
          <cell r="Y241">
            <v>11798.450000000012</v>
          </cell>
          <cell r="Z241">
            <v>0</v>
          </cell>
          <cell r="AA241">
            <v>0</v>
          </cell>
          <cell r="AB241">
            <v>17912.935056772243</v>
          </cell>
          <cell r="AC241">
            <v>29711.385056772255</v>
          </cell>
          <cell r="AD241" t="str">
            <v>N/A</v>
          </cell>
          <cell r="AE241">
            <v>275629</v>
          </cell>
          <cell r="AF241">
            <v>275629</v>
          </cell>
          <cell r="AG241">
            <v>275629</v>
          </cell>
          <cell r="AH241">
            <v>275629</v>
          </cell>
          <cell r="AI241">
            <v>273160</v>
          </cell>
          <cell r="AJ241">
            <v>0</v>
          </cell>
          <cell r="AK241">
            <v>1375676</v>
          </cell>
          <cell r="AL241">
            <v>5841459</v>
          </cell>
          <cell r="AM241">
            <v>727528.10410586244</v>
          </cell>
          <cell r="AN241">
            <v>-143750.54999999999</v>
          </cell>
          <cell r="AO241">
            <v>1301045.386588044</v>
          </cell>
          <cell r="AP241">
            <v>0</v>
          </cell>
          <cell r="AQ241">
            <v>74632.549999999988</v>
          </cell>
          <cell r="AR241">
            <v>0</v>
          </cell>
          <cell r="AS241">
            <v>0</v>
          </cell>
          <cell r="AT241">
            <v>7800914.4906939073</v>
          </cell>
          <cell r="AU241">
            <v>1.7618907416997172E-4</v>
          </cell>
          <cell r="AV241">
            <v>0</v>
          </cell>
          <cell r="AW241">
            <v>0</v>
          </cell>
          <cell r="AY241">
            <v>0</v>
          </cell>
          <cell r="AZ241">
            <v>0</v>
          </cell>
          <cell r="BA241">
            <v>0</v>
          </cell>
          <cell r="BB241">
            <v>0</v>
          </cell>
          <cell r="BC241">
            <v>0</v>
          </cell>
          <cell r="BD241">
            <v>0</v>
          </cell>
          <cell r="BE241">
            <v>0</v>
          </cell>
          <cell r="BF241">
            <v>0</v>
          </cell>
          <cell r="BG241">
            <v>0</v>
          </cell>
          <cell r="BH241">
            <v>0</v>
          </cell>
          <cell r="BJ241">
            <v>0</v>
          </cell>
          <cell r="BL241">
            <v>0</v>
          </cell>
          <cell r="BM241">
            <v>0</v>
          </cell>
          <cell r="BN241">
            <v>0</v>
          </cell>
          <cell r="BO241">
            <v>0</v>
          </cell>
          <cell r="BQ241">
            <v>0</v>
          </cell>
          <cell r="BR241">
            <v>0</v>
          </cell>
          <cell r="BS241">
            <v>0</v>
          </cell>
          <cell r="BT241">
            <v>0</v>
          </cell>
          <cell r="CB241">
            <v>0</v>
          </cell>
          <cell r="CC241">
            <v>0</v>
          </cell>
          <cell r="CD241">
            <v>0</v>
          </cell>
          <cell r="CE241">
            <v>0</v>
          </cell>
          <cell r="CF241">
            <v>0</v>
          </cell>
          <cell r="CI241">
            <v>0</v>
          </cell>
          <cell r="CJ241">
            <v>0</v>
          </cell>
          <cell r="CK241">
            <v>0</v>
          </cell>
          <cell r="CV241">
            <v>1.7931735082704975E-4</v>
          </cell>
          <cell r="DG241">
            <v>7800914</v>
          </cell>
          <cell r="DR241">
            <v>2604506.2000000002</v>
          </cell>
          <cell r="EC241">
            <v>2.995160464582499</v>
          </cell>
          <cell r="EN241">
            <v>2.4095909012463064E-2</v>
          </cell>
        </row>
        <row r="242">
          <cell r="B242">
            <v>37305</v>
          </cell>
          <cell r="C242" t="str">
            <v>Piedmont Community College</v>
          </cell>
          <cell r="D242">
            <v>4.8043594409186781E-4</v>
          </cell>
          <cell r="E242">
            <v>831266.2060475793</v>
          </cell>
          <cell r="F242">
            <v>648157.3245531643</v>
          </cell>
          <cell r="G242">
            <v>-442300</v>
          </cell>
          <cell r="H242">
            <v>-231952.80911730669</v>
          </cell>
          <cell r="I242">
            <v>-9598.6448893694942</v>
          </cell>
          <cell r="J242">
            <v>701472.38265940023</v>
          </cell>
          <cell r="K242">
            <v>0</v>
          </cell>
          <cell r="L242">
            <v>-36856.523489755666</v>
          </cell>
          <cell r="M242">
            <v>6614.1672449165053</v>
          </cell>
          <cell r="N242">
            <v>249.33664626479757</v>
          </cell>
          <cell r="O242">
            <v>-112.52290246575636</v>
          </cell>
          <cell r="P242">
            <v>0</v>
          </cell>
          <cell r="Q242">
            <v>0</v>
          </cell>
          <cell r="R242">
            <v>0</v>
          </cell>
          <cell r="S242">
            <v>1466938.9167524278</v>
          </cell>
          <cell r="T242">
            <v>69136.13</v>
          </cell>
          <cell r="U242">
            <v>3507361.9132970013</v>
          </cell>
          <cell r="V242">
            <v>26456.668979666021</v>
          </cell>
          <cell r="W242">
            <v>0</v>
          </cell>
          <cell r="X242">
            <v>3602954.7122766674</v>
          </cell>
          <cell r="Y242">
            <v>2280634</v>
          </cell>
          <cell r="Z242">
            <v>0</v>
          </cell>
          <cell r="AA242">
            <v>0</v>
          </cell>
          <cell r="AB242">
            <v>47993.224446847467</v>
          </cell>
          <cell r="AC242">
            <v>2328627.2244468476</v>
          </cell>
          <cell r="AD242" t="str">
            <v>N/A</v>
          </cell>
          <cell r="AE242">
            <v>256188</v>
          </cell>
          <cell r="AF242">
            <v>256188</v>
          </cell>
          <cell r="AG242">
            <v>256188</v>
          </cell>
          <cell r="AH242">
            <v>256188</v>
          </cell>
          <cell r="AI242">
            <v>249574</v>
          </cell>
          <cell r="AJ242">
            <v>0</v>
          </cell>
          <cell r="AK242">
            <v>1274326</v>
          </cell>
          <cell r="AL242">
            <v>18665371</v>
          </cell>
          <cell r="AM242">
            <v>1466938.9167524278</v>
          </cell>
          <cell r="AN242">
            <v>-506041.13</v>
          </cell>
          <cell r="AO242">
            <v>3485825.3578298199</v>
          </cell>
          <cell r="AP242">
            <v>0</v>
          </cell>
          <cell r="AQ242">
            <v>-2211497.87</v>
          </cell>
          <cell r="AR242">
            <v>0</v>
          </cell>
          <cell r="AS242">
            <v>0</v>
          </cell>
          <cell r="AT242">
            <v>20900596.274582248</v>
          </cell>
          <cell r="AU242">
            <v>5.6298165415007942E-4</v>
          </cell>
          <cell r="AV242">
            <v>0</v>
          </cell>
          <cell r="AW242">
            <v>0</v>
          </cell>
          <cell r="AY242">
            <v>0</v>
          </cell>
          <cell r="AZ242">
            <v>0</v>
          </cell>
          <cell r="BA242">
            <v>0</v>
          </cell>
          <cell r="BB242">
            <v>0</v>
          </cell>
          <cell r="BC242">
            <v>0</v>
          </cell>
          <cell r="BD242">
            <v>0</v>
          </cell>
          <cell r="BE242">
            <v>0</v>
          </cell>
          <cell r="BF242">
            <v>0</v>
          </cell>
          <cell r="BG242">
            <v>0</v>
          </cell>
          <cell r="BH242">
            <v>0</v>
          </cell>
          <cell r="BJ242">
            <v>0</v>
          </cell>
          <cell r="BL242">
            <v>0</v>
          </cell>
          <cell r="BM242">
            <v>0</v>
          </cell>
          <cell r="BN242">
            <v>0</v>
          </cell>
          <cell r="BO242">
            <v>0</v>
          </cell>
          <cell r="BQ242">
            <v>0</v>
          </cell>
          <cell r="BR242">
            <v>0</v>
          </cell>
          <cell r="BS242">
            <v>0</v>
          </cell>
          <cell r="BT242">
            <v>0</v>
          </cell>
          <cell r="CB242">
            <v>0</v>
          </cell>
          <cell r="CC242">
            <v>0</v>
          </cell>
          <cell r="CD242">
            <v>0</v>
          </cell>
          <cell r="CE242">
            <v>0</v>
          </cell>
          <cell r="CF242">
            <v>0</v>
          </cell>
          <cell r="CI242">
            <v>0</v>
          </cell>
          <cell r="CJ242">
            <v>0</v>
          </cell>
          <cell r="CK242">
            <v>0</v>
          </cell>
          <cell r="CV242">
            <v>4.8043594409186781E-4</v>
          </cell>
          <cell r="DG242">
            <v>20900597</v>
          </cell>
          <cell r="DR242">
            <v>8940572.0300000012</v>
          </cell>
          <cell r="EC242">
            <v>2.3377248043937517</v>
          </cell>
          <cell r="EN242">
            <v>2.4095909012463064E-2</v>
          </cell>
        </row>
        <row r="243">
          <cell r="B243">
            <v>37400</v>
          </cell>
          <cell r="C243" t="str">
            <v>Pitt County Schools</v>
          </cell>
          <cell r="D243">
            <v>8.0746685606175768E-3</v>
          </cell>
          <cell r="E243">
            <v>13971059.372262018</v>
          </cell>
          <cell r="F243">
            <v>10893555.395394547</v>
          </cell>
          <cell r="G243">
            <v>199670</v>
          </cell>
          <cell r="H243">
            <v>-3898422.0026807711</v>
          </cell>
          <cell r="I243">
            <v>-161324.05800575143</v>
          </cell>
          <cell r="J243">
            <v>11789619.540452775</v>
          </cell>
          <cell r="K243">
            <v>0</v>
          </cell>
          <cell r="L243">
            <v>-619446.1824435977</v>
          </cell>
          <cell r="M243">
            <v>111164.05623676958</v>
          </cell>
          <cell r="N243">
            <v>4190.5914895893102</v>
          </cell>
          <cell r="O243">
            <v>-1891.1681235822427</v>
          </cell>
          <cell r="P243">
            <v>0</v>
          </cell>
          <cell r="Q243">
            <v>0</v>
          </cell>
          <cell r="R243">
            <v>0</v>
          </cell>
          <cell r="S243">
            <v>32288175.544582002</v>
          </cell>
          <cell r="T243">
            <v>1466652</v>
          </cell>
          <cell r="U243">
            <v>58948097.702263869</v>
          </cell>
          <cell r="V243">
            <v>444656.22494707833</v>
          </cell>
          <cell r="W243">
            <v>0</v>
          </cell>
          <cell r="X243">
            <v>60859405.927210949</v>
          </cell>
          <cell r="Y243">
            <v>468304.48000000045</v>
          </cell>
          <cell r="Z243">
            <v>0</v>
          </cell>
          <cell r="AA243">
            <v>0</v>
          </cell>
          <cell r="AB243">
            <v>806620.29002875707</v>
          </cell>
          <cell r="AC243">
            <v>1274924.7700287574</v>
          </cell>
          <cell r="AD243" t="str">
            <v>N/A</v>
          </cell>
          <cell r="AE243">
            <v>11939129</v>
          </cell>
          <cell r="AF243">
            <v>11939130</v>
          </cell>
          <cell r="AG243">
            <v>11939130</v>
          </cell>
          <cell r="AH243">
            <v>11939130</v>
          </cell>
          <cell r="AI243">
            <v>11827965</v>
          </cell>
          <cell r="AJ243">
            <v>0</v>
          </cell>
          <cell r="AK243">
            <v>59584484</v>
          </cell>
          <cell r="AL243">
            <v>265951560</v>
          </cell>
          <cell r="AM243">
            <v>32288175.544582002</v>
          </cell>
          <cell r="AN243">
            <v>-6548688.5199999996</v>
          </cell>
          <cell r="AO243">
            <v>58586133.637182198</v>
          </cell>
          <cell r="AP243">
            <v>0</v>
          </cell>
          <cell r="AQ243">
            <v>998347.51999999955</v>
          </cell>
          <cell r="AR243">
            <v>0</v>
          </cell>
          <cell r="AS243">
            <v>0</v>
          </cell>
          <cell r="AT243">
            <v>351275528.18176419</v>
          </cell>
          <cell r="AU243">
            <v>8.0215842587854757E-3</v>
          </cell>
          <cell r="AV243">
            <v>0</v>
          </cell>
          <cell r="AW243">
            <v>0</v>
          </cell>
          <cell r="AY243">
            <v>0</v>
          </cell>
          <cell r="AZ243">
            <v>0</v>
          </cell>
          <cell r="BA243">
            <v>0</v>
          </cell>
          <cell r="BB243">
            <v>0</v>
          </cell>
          <cell r="BC243">
            <v>0</v>
          </cell>
          <cell r="BD243">
            <v>0</v>
          </cell>
          <cell r="BE243">
            <v>0</v>
          </cell>
          <cell r="BF243">
            <v>0</v>
          </cell>
          <cell r="BG243">
            <v>0</v>
          </cell>
          <cell r="BH243">
            <v>0</v>
          </cell>
          <cell r="BJ243">
            <v>0</v>
          </cell>
          <cell r="BL243">
            <v>0</v>
          </cell>
          <cell r="BM243">
            <v>0</v>
          </cell>
          <cell r="BN243">
            <v>0</v>
          </cell>
          <cell r="BO243">
            <v>0</v>
          </cell>
          <cell r="BQ243">
            <v>0</v>
          </cell>
          <cell r="BR243">
            <v>0</v>
          </cell>
          <cell r="BS243">
            <v>0</v>
          </cell>
          <cell r="BT243">
            <v>0</v>
          </cell>
          <cell r="CB243">
            <v>0</v>
          </cell>
          <cell r="CC243">
            <v>0</v>
          </cell>
          <cell r="CD243">
            <v>0</v>
          </cell>
          <cell r="CE243">
            <v>0</v>
          </cell>
          <cell r="CF243">
            <v>0</v>
          </cell>
          <cell r="CI243">
            <v>0</v>
          </cell>
          <cell r="CJ243">
            <v>0</v>
          </cell>
          <cell r="CK243">
            <v>0</v>
          </cell>
          <cell r="CV243">
            <v>8.0746685606175768E-3</v>
          </cell>
          <cell r="DG243">
            <v>351275528</v>
          </cell>
          <cell r="DR243">
            <v>113908109.3899996</v>
          </cell>
          <cell r="EC243">
            <v>3.083850042645337</v>
          </cell>
          <cell r="EN243">
            <v>2.4095909012463064E-2</v>
          </cell>
        </row>
        <row r="244">
          <cell r="B244">
            <v>37405</v>
          </cell>
          <cell r="C244" t="str">
            <v>Pitt Community College</v>
          </cell>
          <cell r="D244">
            <v>1.7930074196734541E-3</v>
          </cell>
          <cell r="E244">
            <v>3102320.9097821135</v>
          </cell>
          <cell r="F244">
            <v>2418950.759890053</v>
          </cell>
          <cell r="G244">
            <v>421243</v>
          </cell>
          <cell r="H244">
            <v>-865657.76952339185</v>
          </cell>
          <cell r="I244">
            <v>-35822.551824222472</v>
          </cell>
          <cell r="J244">
            <v>2617924.8290461339</v>
          </cell>
          <cell r="K244">
            <v>0</v>
          </cell>
          <cell r="L244">
            <v>-137550.11649974386</v>
          </cell>
          <cell r="M244">
            <v>24684.354055800464</v>
          </cell>
          <cell r="N244">
            <v>930.53499066212919</v>
          </cell>
          <cell r="O244">
            <v>-419.94026776171967</v>
          </cell>
          <cell r="P244">
            <v>0</v>
          </cell>
          <cell r="Q244">
            <v>0</v>
          </cell>
          <cell r="R244">
            <v>0</v>
          </cell>
          <cell r="S244">
            <v>7546604.0096496437</v>
          </cell>
          <cell r="T244">
            <v>2131272</v>
          </cell>
          <cell r="U244">
            <v>13089624.14523067</v>
          </cell>
          <cell r="V244">
            <v>98737.416223201857</v>
          </cell>
          <cell r="W244">
            <v>0</v>
          </cell>
          <cell r="X244">
            <v>15319633.561453871</v>
          </cell>
          <cell r="Y244">
            <v>25060.489999999991</v>
          </cell>
          <cell r="Z244">
            <v>0</v>
          </cell>
          <cell r="AA244">
            <v>0</v>
          </cell>
          <cell r="AB244">
            <v>179112.75912111232</v>
          </cell>
          <cell r="AC244">
            <v>204173.24912111231</v>
          </cell>
          <cell r="AD244" t="str">
            <v>N/A</v>
          </cell>
          <cell r="AE244">
            <v>3028029</v>
          </cell>
          <cell r="AF244">
            <v>3028030</v>
          </cell>
          <cell r="AG244">
            <v>3028030</v>
          </cell>
          <cell r="AH244">
            <v>3028030</v>
          </cell>
          <cell r="AI244">
            <v>3003345</v>
          </cell>
          <cell r="AJ244">
            <v>0</v>
          </cell>
          <cell r="AK244">
            <v>15115464</v>
          </cell>
          <cell r="AL244">
            <v>56888725</v>
          </cell>
          <cell r="AM244">
            <v>7546604.0096496437</v>
          </cell>
          <cell r="AN244">
            <v>-1548872.51</v>
          </cell>
          <cell r="AO244">
            <v>13009248.802332761</v>
          </cell>
          <cell r="AP244">
            <v>0</v>
          </cell>
          <cell r="AQ244">
            <v>2106211.5099999998</v>
          </cell>
          <cell r="AR244">
            <v>0</v>
          </cell>
          <cell r="AS244">
            <v>0</v>
          </cell>
          <cell r="AT244">
            <v>78001916.811982408</v>
          </cell>
          <cell r="AU244">
            <v>1.7158677328418088E-3</v>
          </cell>
          <cell r="AV244">
            <v>0</v>
          </cell>
          <cell r="AW244">
            <v>0</v>
          </cell>
          <cell r="AY244">
            <v>0</v>
          </cell>
          <cell r="AZ244">
            <v>0</v>
          </cell>
          <cell r="BA244">
            <v>0</v>
          </cell>
          <cell r="BB244">
            <v>0</v>
          </cell>
          <cell r="BC244">
            <v>0</v>
          </cell>
          <cell r="BD244">
            <v>0</v>
          </cell>
          <cell r="BE244">
            <v>0</v>
          </cell>
          <cell r="BF244">
            <v>0</v>
          </cell>
          <cell r="BG244">
            <v>0</v>
          </cell>
          <cell r="BH244">
            <v>0</v>
          </cell>
          <cell r="BJ244">
            <v>0</v>
          </cell>
          <cell r="BL244">
            <v>0</v>
          </cell>
          <cell r="BM244">
            <v>0</v>
          </cell>
          <cell r="BN244">
            <v>0</v>
          </cell>
          <cell r="BO244">
            <v>0</v>
          </cell>
          <cell r="BQ244">
            <v>0</v>
          </cell>
          <cell r="BR244">
            <v>0</v>
          </cell>
          <cell r="BS244">
            <v>0</v>
          </cell>
          <cell r="BT244">
            <v>0</v>
          </cell>
          <cell r="CB244">
            <v>0</v>
          </cell>
          <cell r="CC244">
            <v>0</v>
          </cell>
          <cell r="CD244">
            <v>0</v>
          </cell>
          <cell r="CE244">
            <v>0</v>
          </cell>
          <cell r="CF244">
            <v>0</v>
          </cell>
          <cell r="CI244">
            <v>0</v>
          </cell>
          <cell r="CJ244">
            <v>0</v>
          </cell>
          <cell r="CK244">
            <v>0</v>
          </cell>
          <cell r="CV244">
            <v>1.7930074196734541E-3</v>
          </cell>
          <cell r="DG244">
            <v>78001917</v>
          </cell>
          <cell r="DR244">
            <v>26844527.370000001</v>
          </cell>
          <cell r="EC244">
            <v>2.9056915744834733</v>
          </cell>
          <cell r="EN244">
            <v>2.4095909012463064E-2</v>
          </cell>
        </row>
        <row r="245">
          <cell r="B245">
            <v>37500</v>
          </cell>
          <cell r="C245" t="str">
            <v>Polk County Schools</v>
          </cell>
          <cell r="D245">
            <v>9.118318190722808E-4</v>
          </cell>
          <cell r="E245">
            <v>1577681.6579084671</v>
          </cell>
          <cell r="F245">
            <v>1230154.5701570632</v>
          </cell>
          <cell r="G245">
            <v>-137069</v>
          </cell>
          <cell r="H245">
            <v>-440229.24278937042</v>
          </cell>
          <cell r="I245">
            <v>-18217.516690277098</v>
          </cell>
          <cell r="J245">
            <v>1331342.5995182833</v>
          </cell>
          <cell r="K245">
            <v>0</v>
          </cell>
          <cell r="L245">
            <v>-69950.950322563527</v>
          </cell>
          <cell r="M245">
            <v>12553.199286494846</v>
          </cell>
          <cell r="N245">
            <v>473.2224774621323</v>
          </cell>
          <cell r="O245">
            <v>-213.56013034491889</v>
          </cell>
          <cell r="P245">
            <v>0</v>
          </cell>
          <cell r="Q245">
            <v>0</v>
          </cell>
          <cell r="R245">
            <v>0</v>
          </cell>
          <cell r="S245">
            <v>3486524.9794152151</v>
          </cell>
          <cell r="T245">
            <v>32310.280000000028</v>
          </cell>
          <cell r="U245">
            <v>6656712.9975914164</v>
          </cell>
          <cell r="V245">
            <v>50212.797145979384</v>
          </cell>
          <cell r="W245">
            <v>0</v>
          </cell>
          <cell r="X245">
            <v>6739236.0747373961</v>
          </cell>
          <cell r="Y245">
            <v>717656</v>
          </cell>
          <cell r="Z245">
            <v>0</v>
          </cell>
          <cell r="AA245">
            <v>0</v>
          </cell>
          <cell r="AB245">
            <v>91087.583451385493</v>
          </cell>
          <cell r="AC245">
            <v>808743.58345138549</v>
          </cell>
          <cell r="AD245" t="str">
            <v>N/A</v>
          </cell>
          <cell r="AE245">
            <v>1188609</v>
          </cell>
          <cell r="AF245">
            <v>1188609</v>
          </cell>
          <cell r="AG245">
            <v>1188609</v>
          </cell>
          <cell r="AH245">
            <v>1188609</v>
          </cell>
          <cell r="AI245">
            <v>1176056</v>
          </cell>
          <cell r="AJ245">
            <v>0</v>
          </cell>
          <cell r="AK245">
            <v>5930492</v>
          </cell>
          <cell r="AL245">
            <v>31092509</v>
          </cell>
          <cell r="AM245">
            <v>3486524.9794152151</v>
          </cell>
          <cell r="AN245">
            <v>-841742.28</v>
          </cell>
          <cell r="AO245">
            <v>6615838.2112860112</v>
          </cell>
          <cell r="AP245">
            <v>0</v>
          </cell>
          <cell r="AQ245">
            <v>-685345.72</v>
          </cell>
          <cell r="AR245">
            <v>0</v>
          </cell>
          <cell r="AS245">
            <v>0</v>
          </cell>
          <cell r="AT245">
            <v>39667784.190701224</v>
          </cell>
          <cell r="AU245">
            <v>9.3780679031075706E-4</v>
          </cell>
          <cell r="AV245">
            <v>0</v>
          </cell>
          <cell r="AW245">
            <v>0</v>
          </cell>
          <cell r="AY245">
            <v>0</v>
          </cell>
          <cell r="AZ245">
            <v>0</v>
          </cell>
          <cell r="BA245">
            <v>0</v>
          </cell>
          <cell r="BB245">
            <v>0</v>
          </cell>
          <cell r="BC245">
            <v>0</v>
          </cell>
          <cell r="BD245">
            <v>0</v>
          </cell>
          <cell r="BE245">
            <v>0</v>
          </cell>
          <cell r="BF245">
            <v>0</v>
          </cell>
          <cell r="BG245">
            <v>0</v>
          </cell>
          <cell r="BH245">
            <v>0</v>
          </cell>
          <cell r="BJ245">
            <v>0</v>
          </cell>
          <cell r="BL245">
            <v>0</v>
          </cell>
          <cell r="BM245">
            <v>0</v>
          </cell>
          <cell r="BN245">
            <v>0</v>
          </cell>
          <cell r="BO245">
            <v>0</v>
          </cell>
          <cell r="BQ245">
            <v>0</v>
          </cell>
          <cell r="BR245">
            <v>0</v>
          </cell>
          <cell r="BS245">
            <v>0</v>
          </cell>
          <cell r="BT245">
            <v>0</v>
          </cell>
          <cell r="CB245">
            <v>0</v>
          </cell>
          <cell r="CC245">
            <v>0</v>
          </cell>
          <cell r="CD245">
            <v>0</v>
          </cell>
          <cell r="CE245">
            <v>0</v>
          </cell>
          <cell r="CF245">
            <v>0</v>
          </cell>
          <cell r="CI245">
            <v>0</v>
          </cell>
          <cell r="CJ245">
            <v>0</v>
          </cell>
          <cell r="CK245">
            <v>0</v>
          </cell>
          <cell r="CV245">
            <v>9.118318190722808E-4</v>
          </cell>
          <cell r="DG245">
            <v>39667783</v>
          </cell>
          <cell r="DR245">
            <v>14478684.469999995</v>
          </cell>
          <cell r="EC245">
            <v>2.7397366854835545</v>
          </cell>
          <cell r="EN245">
            <v>2.4095909012463064E-2</v>
          </cell>
        </row>
        <row r="246">
          <cell r="B246">
            <v>37600</v>
          </cell>
          <cell r="C246" t="str">
            <v>Randolph County Schools</v>
          </cell>
          <cell r="D246">
            <v>5.5740698920838461E-3</v>
          </cell>
          <cell r="E246">
            <v>9644440.6136077214</v>
          </cell>
          <cell r="F246">
            <v>7519991.5255186781</v>
          </cell>
          <cell r="G246">
            <v>-384987</v>
          </cell>
          <cell r="H246">
            <v>-2691141.6299814181</v>
          </cell>
          <cell r="I246">
            <v>-111364.51828926471</v>
          </cell>
          <cell r="J246">
            <v>8138558.6078513926</v>
          </cell>
          <cell r="K246">
            <v>0</v>
          </cell>
          <cell r="L246">
            <v>-427613.37996776565</v>
          </cell>
          <cell r="M246">
            <v>76738.285206334345</v>
          </cell>
          <cell r="N246">
            <v>2892.8307925936742</v>
          </cell>
          <cell r="O246">
            <v>-1305.5029094249576</v>
          </cell>
          <cell r="P246">
            <v>0</v>
          </cell>
          <cell r="Q246">
            <v>0</v>
          </cell>
          <cell r="R246">
            <v>0</v>
          </cell>
          <cell r="S246">
            <v>21766209.831828848</v>
          </cell>
          <cell r="T246">
            <v>0</v>
          </cell>
          <cell r="U246">
            <v>40692793.039256968</v>
          </cell>
          <cell r="V246">
            <v>306953.14082533738</v>
          </cell>
          <cell r="W246">
            <v>0</v>
          </cell>
          <cell r="X246">
            <v>40999746.180082306</v>
          </cell>
          <cell r="Y246">
            <v>1924935.5700000003</v>
          </cell>
          <cell r="Z246">
            <v>0</v>
          </cell>
          <cell r="AA246">
            <v>0</v>
          </cell>
          <cell r="AB246">
            <v>556822.59144632355</v>
          </cell>
          <cell r="AC246">
            <v>2481758.1614463236</v>
          </cell>
          <cell r="AD246" t="str">
            <v>N/A</v>
          </cell>
          <cell r="AE246">
            <v>7718945</v>
          </cell>
          <cell r="AF246">
            <v>7718945</v>
          </cell>
          <cell r="AG246">
            <v>7718945</v>
          </cell>
          <cell r="AH246">
            <v>7718945</v>
          </cell>
          <cell r="AI246">
            <v>7642207</v>
          </cell>
          <cell r="AJ246">
            <v>0</v>
          </cell>
          <cell r="AK246">
            <v>38517987</v>
          </cell>
          <cell r="AL246">
            <v>186878911</v>
          </cell>
          <cell r="AM246">
            <v>21766209.831828848</v>
          </cell>
          <cell r="AN246">
            <v>-4672122.43</v>
          </cell>
          <cell r="AO246">
            <v>40442923.588635981</v>
          </cell>
          <cell r="AP246">
            <v>0</v>
          </cell>
          <cell r="AQ246">
            <v>-1924935.5700000003</v>
          </cell>
          <cell r="AR246">
            <v>0</v>
          </cell>
          <cell r="AS246">
            <v>0</v>
          </cell>
          <cell r="AT246">
            <v>242490986.42046481</v>
          </cell>
          <cell r="AU246">
            <v>5.6366089039696851E-3</v>
          </cell>
          <cell r="AV246">
            <v>0</v>
          </cell>
          <cell r="AW246">
            <v>0</v>
          </cell>
          <cell r="AY246">
            <v>0</v>
          </cell>
          <cell r="AZ246">
            <v>0</v>
          </cell>
          <cell r="BA246">
            <v>0</v>
          </cell>
          <cell r="BB246">
            <v>0</v>
          </cell>
          <cell r="BC246">
            <v>0</v>
          </cell>
          <cell r="BD246">
            <v>0</v>
          </cell>
          <cell r="BE246">
            <v>0</v>
          </cell>
          <cell r="BF246">
            <v>0</v>
          </cell>
          <cell r="BG246">
            <v>0</v>
          </cell>
          <cell r="BH246">
            <v>0</v>
          </cell>
          <cell r="BJ246">
            <v>0</v>
          </cell>
          <cell r="BL246">
            <v>0</v>
          </cell>
          <cell r="BM246">
            <v>0</v>
          </cell>
          <cell r="BN246">
            <v>0</v>
          </cell>
          <cell r="BO246">
            <v>0</v>
          </cell>
          <cell r="BQ246">
            <v>0</v>
          </cell>
          <cell r="BR246">
            <v>0</v>
          </cell>
          <cell r="BS246">
            <v>0</v>
          </cell>
          <cell r="BT246">
            <v>0</v>
          </cell>
          <cell r="CB246">
            <v>0</v>
          </cell>
          <cell r="CC246">
            <v>0</v>
          </cell>
          <cell r="CD246">
            <v>0</v>
          </cell>
          <cell r="CE246">
            <v>0</v>
          </cell>
          <cell r="CF246">
            <v>0</v>
          </cell>
          <cell r="CI246">
            <v>0</v>
          </cell>
          <cell r="CJ246">
            <v>0</v>
          </cell>
          <cell r="CK246">
            <v>0</v>
          </cell>
          <cell r="CV246">
            <v>5.5740698920838461E-3</v>
          </cell>
          <cell r="DG246">
            <v>242490987</v>
          </cell>
          <cell r="DR246">
            <v>81665226.429999739</v>
          </cell>
          <cell r="EC246">
            <v>2.9693297576031807</v>
          </cell>
          <cell r="EN246">
            <v>2.4095909012463064E-2</v>
          </cell>
        </row>
        <row r="247">
          <cell r="B247">
            <v>37601</v>
          </cell>
          <cell r="C247" t="str">
            <v>Uwharrie Charter Academy</v>
          </cell>
          <cell r="D247">
            <v>1.7666679564248822E-4</v>
          </cell>
          <cell r="E247">
            <v>305674.74968157778</v>
          </cell>
          <cell r="F247">
            <v>238341.61246503211</v>
          </cell>
          <cell r="G247">
            <v>597034</v>
          </cell>
          <cell r="H247">
            <v>-85294.116793210866</v>
          </cell>
          <cell r="I247">
            <v>-3529.6314856716772</v>
          </cell>
          <cell r="J247">
            <v>257946.72442834658</v>
          </cell>
          <cell r="K247">
            <v>0</v>
          </cell>
          <cell r="L247">
            <v>-13552.94911533961</v>
          </cell>
          <cell r="M247">
            <v>2432.1738358099724</v>
          </cell>
          <cell r="N247">
            <v>91.686533602538532</v>
          </cell>
          <cell r="O247">
            <v>-41.377130207427165</v>
          </cell>
          <cell r="P247">
            <v>0</v>
          </cell>
          <cell r="Q247">
            <v>0</v>
          </cell>
          <cell r="R247">
            <v>0</v>
          </cell>
          <cell r="S247">
            <v>1299102.8724199396</v>
          </cell>
          <cell r="T247">
            <v>3010156</v>
          </cell>
          <cell r="U247">
            <v>1289733.6221417328</v>
          </cell>
          <cell r="V247">
            <v>9728.6953432398896</v>
          </cell>
          <cell r="W247">
            <v>0</v>
          </cell>
          <cell r="X247">
            <v>4309618.317484973</v>
          </cell>
          <cell r="Y247">
            <v>24983.589999999997</v>
          </cell>
          <cell r="Z247">
            <v>0</v>
          </cell>
          <cell r="AA247">
            <v>0</v>
          </cell>
          <cell r="AB247">
            <v>17648.157428358387</v>
          </cell>
          <cell r="AC247">
            <v>42631.747428358387</v>
          </cell>
          <cell r="AD247" t="str">
            <v>N/A</v>
          </cell>
          <cell r="AE247">
            <v>853883</v>
          </cell>
          <cell r="AF247">
            <v>853883</v>
          </cell>
          <cell r="AG247">
            <v>853883</v>
          </cell>
          <cell r="AH247">
            <v>853883</v>
          </cell>
          <cell r="AI247">
            <v>851451</v>
          </cell>
          <cell r="AJ247">
            <v>0</v>
          </cell>
          <cell r="AK247">
            <v>4266983</v>
          </cell>
          <cell r="AL247">
            <v>2245111</v>
          </cell>
          <cell r="AM247">
            <v>1299102.8724199396</v>
          </cell>
          <cell r="AN247">
            <v>-125594.41</v>
          </cell>
          <cell r="AO247">
            <v>1281814.1600566145</v>
          </cell>
          <cell r="AP247">
            <v>0</v>
          </cell>
          <cell r="AQ247">
            <v>2985172.41</v>
          </cell>
          <cell r="AR247">
            <v>0</v>
          </cell>
          <cell r="AS247">
            <v>0</v>
          </cell>
          <cell r="AT247">
            <v>7685606.0324765537</v>
          </cell>
          <cell r="AU247">
            <v>6.7716651203526758E-5</v>
          </cell>
          <cell r="AV247">
            <v>0</v>
          </cell>
          <cell r="AW247">
            <v>0</v>
          </cell>
          <cell r="AY247">
            <v>0</v>
          </cell>
          <cell r="AZ247">
            <v>0</v>
          </cell>
          <cell r="BA247">
            <v>0</v>
          </cell>
          <cell r="BB247">
            <v>0</v>
          </cell>
          <cell r="BC247">
            <v>0</v>
          </cell>
          <cell r="BD247">
            <v>0</v>
          </cell>
          <cell r="BE247">
            <v>0</v>
          </cell>
          <cell r="BF247">
            <v>0</v>
          </cell>
          <cell r="BG247">
            <v>0</v>
          </cell>
          <cell r="BH247">
            <v>0</v>
          </cell>
          <cell r="BJ247">
            <v>0</v>
          </cell>
          <cell r="BL247">
            <v>0</v>
          </cell>
          <cell r="BM247">
            <v>0</v>
          </cell>
          <cell r="BN247">
            <v>0</v>
          </cell>
          <cell r="BO247">
            <v>0</v>
          </cell>
          <cell r="BQ247">
            <v>0</v>
          </cell>
          <cell r="BR247">
            <v>0</v>
          </cell>
          <cell r="BS247">
            <v>0</v>
          </cell>
          <cell r="BT247">
            <v>0</v>
          </cell>
          <cell r="CB247">
            <v>0</v>
          </cell>
          <cell r="CC247">
            <v>0</v>
          </cell>
          <cell r="CD247">
            <v>0</v>
          </cell>
          <cell r="CE247">
            <v>0</v>
          </cell>
          <cell r="CF247">
            <v>0</v>
          </cell>
          <cell r="CI247">
            <v>0</v>
          </cell>
          <cell r="CJ247">
            <v>0</v>
          </cell>
          <cell r="CK247">
            <v>0</v>
          </cell>
          <cell r="CV247">
            <v>1.7666679564248822E-4</v>
          </cell>
          <cell r="DG247">
            <v>7685606</v>
          </cell>
          <cell r="DR247">
            <v>2114213.23</v>
          </cell>
          <cell r="EC247">
            <v>3.6352085451664684</v>
          </cell>
          <cell r="EN247">
            <v>2.4095909012463064E-2</v>
          </cell>
        </row>
        <row r="248">
          <cell r="B248">
            <v>37605</v>
          </cell>
          <cell r="C248" t="str">
            <v>Randolph Community College</v>
          </cell>
          <cell r="D248">
            <v>6.714855743055173E-4</v>
          </cell>
          <cell r="E248">
            <v>1161826.6131684203</v>
          </cell>
          <cell r="F248">
            <v>905902.8548344539</v>
          </cell>
          <cell r="G248">
            <v>135756</v>
          </cell>
          <cell r="H248">
            <v>-324190.90860556014</v>
          </cell>
          <cell r="I248">
            <v>-13415.631480854663</v>
          </cell>
          <cell r="J248">
            <v>980419.12043000257</v>
          </cell>
          <cell r="K248">
            <v>0</v>
          </cell>
          <cell r="L248">
            <v>-51512.84816793599</v>
          </cell>
          <cell r="M248">
            <v>9244.3497319930793</v>
          </cell>
          <cell r="N248">
            <v>348.48758335307735</v>
          </cell>
          <cell r="O248">
            <v>-157.26863635809519</v>
          </cell>
          <cell r="P248">
            <v>0</v>
          </cell>
          <cell r="Q248">
            <v>0</v>
          </cell>
          <cell r="R248">
            <v>0</v>
          </cell>
          <cell r="S248">
            <v>2804220.7688575145</v>
          </cell>
          <cell r="T248">
            <v>687047</v>
          </cell>
          <cell r="U248">
            <v>4902095.6021500127</v>
          </cell>
          <cell r="V248">
            <v>36977.398927972317</v>
          </cell>
          <cell r="W248">
            <v>0</v>
          </cell>
          <cell r="X248">
            <v>5626120.0010779854</v>
          </cell>
          <cell r="Y248">
            <v>8266.0600000000559</v>
          </cell>
          <cell r="Z248">
            <v>0</v>
          </cell>
          <cell r="AA248">
            <v>0</v>
          </cell>
          <cell r="AB248">
            <v>67078.157404273312</v>
          </cell>
          <cell r="AC248">
            <v>75344.217404273368</v>
          </cell>
          <cell r="AD248" t="str">
            <v>N/A</v>
          </cell>
          <cell r="AE248">
            <v>1112004</v>
          </cell>
          <cell r="AF248">
            <v>1112005</v>
          </cell>
          <cell r="AG248">
            <v>1112005</v>
          </cell>
          <cell r="AH248">
            <v>1112005</v>
          </cell>
          <cell r="AI248">
            <v>1102760</v>
          </cell>
          <cell r="AJ248">
            <v>0</v>
          </cell>
          <cell r="AK248">
            <v>5550779</v>
          </cell>
          <cell r="AL248">
            <v>21438308</v>
          </cell>
          <cell r="AM248">
            <v>2804220.7688575145</v>
          </cell>
          <cell r="AN248">
            <v>-581399.93999999994</v>
          </cell>
          <cell r="AO248">
            <v>4871994.8436737126</v>
          </cell>
          <cell r="AP248">
            <v>0</v>
          </cell>
          <cell r="AQ248">
            <v>678780.94</v>
          </cell>
          <cell r="AR248">
            <v>0</v>
          </cell>
          <cell r="AS248">
            <v>0</v>
          </cell>
          <cell r="AT248">
            <v>29211904.61253123</v>
          </cell>
          <cell r="AU248">
            <v>6.4661847757700589E-4</v>
          </cell>
          <cell r="AV248">
            <v>0</v>
          </cell>
          <cell r="AW248">
            <v>0</v>
          </cell>
          <cell r="AY248">
            <v>0</v>
          </cell>
          <cell r="AZ248">
            <v>0</v>
          </cell>
          <cell r="BA248">
            <v>0</v>
          </cell>
          <cell r="BB248">
            <v>0</v>
          </cell>
          <cell r="BC248">
            <v>0</v>
          </cell>
          <cell r="BD248">
            <v>0</v>
          </cell>
          <cell r="BE248">
            <v>0</v>
          </cell>
          <cell r="BF248">
            <v>0</v>
          </cell>
          <cell r="BG248">
            <v>0</v>
          </cell>
          <cell r="BH248">
            <v>0</v>
          </cell>
          <cell r="BJ248">
            <v>0</v>
          </cell>
          <cell r="BL248">
            <v>0</v>
          </cell>
          <cell r="BM248">
            <v>0</v>
          </cell>
          <cell r="BN248">
            <v>0</v>
          </cell>
          <cell r="BO248">
            <v>0</v>
          </cell>
          <cell r="BQ248">
            <v>0</v>
          </cell>
          <cell r="BR248">
            <v>0</v>
          </cell>
          <cell r="BS248">
            <v>0</v>
          </cell>
          <cell r="BT248">
            <v>0</v>
          </cell>
          <cell r="CB248">
            <v>0</v>
          </cell>
          <cell r="CC248">
            <v>0</v>
          </cell>
          <cell r="CD248">
            <v>0</v>
          </cell>
          <cell r="CE248">
            <v>0</v>
          </cell>
          <cell r="CF248">
            <v>0</v>
          </cell>
          <cell r="CI248">
            <v>0</v>
          </cell>
          <cell r="CJ248">
            <v>0</v>
          </cell>
          <cell r="CK248">
            <v>0</v>
          </cell>
          <cell r="CV248">
            <v>6.714855743055173E-4</v>
          </cell>
          <cell r="DG248">
            <v>29211905</v>
          </cell>
          <cell r="DR248">
            <v>9863149.0599999987</v>
          </cell>
          <cell r="EC248">
            <v>2.9617219431944797</v>
          </cell>
          <cell r="EN248">
            <v>2.4095909012463064E-2</v>
          </cell>
        </row>
        <row r="249">
          <cell r="B249">
            <v>37610</v>
          </cell>
          <cell r="C249" t="str">
            <v>Asheboro City Schools</v>
          </cell>
          <cell r="D249">
            <v>1.707319596015172E-3</v>
          </cell>
          <cell r="E249">
            <v>2954060.9951091306</v>
          </cell>
          <cell r="F249">
            <v>2303349.1043267562</v>
          </cell>
          <cell r="G249">
            <v>-578780</v>
          </cell>
          <cell r="H249">
            <v>-824287.98516586178</v>
          </cell>
          <cell r="I249">
            <v>-34110.592091081664</v>
          </cell>
          <cell r="J249">
            <v>2492814.2028208403</v>
          </cell>
          <cell r="K249">
            <v>0</v>
          </cell>
          <cell r="L249">
            <v>-130976.59650340567</v>
          </cell>
          <cell r="M249">
            <v>23504.688788248339</v>
          </cell>
          <cell r="N249">
            <v>886.06472393995398</v>
          </cell>
          <cell r="O249">
            <v>-399.87132258271345</v>
          </cell>
          <cell r="P249">
            <v>0</v>
          </cell>
          <cell r="Q249">
            <v>0</v>
          </cell>
          <cell r="R249">
            <v>0</v>
          </cell>
          <cell r="S249">
            <v>6206060.0106859831</v>
          </cell>
          <cell r="T249">
            <v>0</v>
          </cell>
          <cell r="U249">
            <v>12464071.014104202</v>
          </cell>
          <cell r="V249">
            <v>94018.755152993355</v>
          </cell>
          <cell r="W249">
            <v>0</v>
          </cell>
          <cell r="X249">
            <v>12558089.769257195</v>
          </cell>
          <cell r="Y249">
            <v>2893896.16</v>
          </cell>
          <cell r="Z249">
            <v>0</v>
          </cell>
          <cell r="AA249">
            <v>0</v>
          </cell>
          <cell r="AB249">
            <v>170552.96045540832</v>
          </cell>
          <cell r="AC249">
            <v>3064449.1204554085</v>
          </cell>
          <cell r="AD249" t="str">
            <v>N/A</v>
          </cell>
          <cell r="AE249">
            <v>1903429</v>
          </cell>
          <cell r="AF249">
            <v>1903428</v>
          </cell>
          <cell r="AG249">
            <v>1903428</v>
          </cell>
          <cell r="AH249">
            <v>1903428</v>
          </cell>
          <cell r="AI249">
            <v>1879924</v>
          </cell>
          <cell r="AJ249">
            <v>0</v>
          </cell>
          <cell r="AK249">
            <v>9493637</v>
          </cell>
          <cell r="AL249">
            <v>59914805</v>
          </cell>
          <cell r="AM249">
            <v>6206060.0106859831</v>
          </cell>
          <cell r="AN249">
            <v>-1340299.8400000001</v>
          </cell>
          <cell r="AO249">
            <v>12387536.808801789</v>
          </cell>
          <cell r="AP249">
            <v>0</v>
          </cell>
          <cell r="AQ249">
            <v>-2893896.16</v>
          </cell>
          <cell r="AR249">
            <v>0</v>
          </cell>
          <cell r="AS249">
            <v>0</v>
          </cell>
          <cell r="AT249">
            <v>74274205.819487765</v>
          </cell>
          <cell r="AU249">
            <v>1.8071398300985161E-3</v>
          </cell>
          <cell r="AV249">
            <v>0</v>
          </cell>
          <cell r="AW249">
            <v>0</v>
          </cell>
          <cell r="AY249">
            <v>0</v>
          </cell>
          <cell r="AZ249">
            <v>0</v>
          </cell>
          <cell r="BA249">
            <v>0</v>
          </cell>
          <cell r="BB249">
            <v>0</v>
          </cell>
          <cell r="BC249">
            <v>0</v>
          </cell>
          <cell r="BD249">
            <v>0</v>
          </cell>
          <cell r="BE249">
            <v>0</v>
          </cell>
          <cell r="BF249">
            <v>0</v>
          </cell>
          <cell r="BG249">
            <v>0</v>
          </cell>
          <cell r="BH249">
            <v>0</v>
          </cell>
          <cell r="BJ249">
            <v>0</v>
          </cell>
          <cell r="BL249">
            <v>0</v>
          </cell>
          <cell r="BM249">
            <v>0</v>
          </cell>
          <cell r="BN249">
            <v>0</v>
          </cell>
          <cell r="BO249">
            <v>0</v>
          </cell>
          <cell r="BQ249">
            <v>0</v>
          </cell>
          <cell r="BR249">
            <v>0</v>
          </cell>
          <cell r="BS249">
            <v>0</v>
          </cell>
          <cell r="BT249">
            <v>0</v>
          </cell>
          <cell r="CB249">
            <v>0</v>
          </cell>
          <cell r="CC249">
            <v>0</v>
          </cell>
          <cell r="CD249">
            <v>0</v>
          </cell>
          <cell r="CE249">
            <v>0</v>
          </cell>
          <cell r="CF249">
            <v>0</v>
          </cell>
          <cell r="CI249">
            <v>0</v>
          </cell>
          <cell r="CJ249">
            <v>0</v>
          </cell>
          <cell r="CK249">
            <v>0</v>
          </cell>
          <cell r="CV249">
            <v>1.707319596015172E-3</v>
          </cell>
          <cell r="DG249">
            <v>74274206</v>
          </cell>
          <cell r="DR249">
            <v>23483385.259999994</v>
          </cell>
          <cell r="EC249">
            <v>3.1628406712942554</v>
          </cell>
          <cell r="EN249">
            <v>2.4095909012463064E-2</v>
          </cell>
        </row>
        <row r="250">
          <cell r="B250">
            <v>37700</v>
          </cell>
          <cell r="C250" t="str">
            <v>Richmond County Schools</v>
          </cell>
          <cell r="D250">
            <v>2.3816434519789462E-3</v>
          </cell>
          <cell r="E250">
            <v>4120798.4973456315</v>
          </cell>
          <cell r="F250">
            <v>3213081.0919906064</v>
          </cell>
          <cell r="G250">
            <v>220049</v>
          </cell>
          <cell r="H250">
            <v>-1149849.2063215023</v>
          </cell>
          <cell r="I250">
            <v>-47582.92969076163</v>
          </cell>
          <cell r="J250">
            <v>3477377.4265844086</v>
          </cell>
          <cell r="K250">
            <v>0</v>
          </cell>
          <cell r="L250">
            <v>-182707.18274005721</v>
          </cell>
          <cell r="M250">
            <v>32788.113176929262</v>
          </cell>
          <cell r="N250">
            <v>1236.0253187080334</v>
          </cell>
          <cell r="O250">
            <v>-557.80471288798901</v>
          </cell>
          <cell r="P250">
            <v>0</v>
          </cell>
          <cell r="Q250">
            <v>0</v>
          </cell>
          <cell r="R250">
            <v>0</v>
          </cell>
          <cell r="S250">
            <v>9684633.0309510753</v>
          </cell>
          <cell r="T250">
            <v>1125107</v>
          </cell>
          <cell r="U250">
            <v>17386887.132922042</v>
          </cell>
          <cell r="V250">
            <v>131152.45270771705</v>
          </cell>
          <cell r="W250">
            <v>0</v>
          </cell>
          <cell r="X250">
            <v>18643146.585629757</v>
          </cell>
          <cell r="Y250">
            <v>24862.29000000027</v>
          </cell>
          <cell r="Z250">
            <v>0</v>
          </cell>
          <cell r="AA250">
            <v>0</v>
          </cell>
          <cell r="AB250">
            <v>237914.64845380813</v>
          </cell>
          <cell r="AC250">
            <v>262776.93845380843</v>
          </cell>
          <cell r="AD250" t="str">
            <v>N/A</v>
          </cell>
          <cell r="AE250">
            <v>3682632</v>
          </cell>
          <cell r="AF250">
            <v>3682632</v>
          </cell>
          <cell r="AG250">
            <v>3682632</v>
          </cell>
          <cell r="AH250">
            <v>3682632</v>
          </cell>
          <cell r="AI250">
            <v>3649843</v>
          </cell>
          <cell r="AJ250">
            <v>0</v>
          </cell>
          <cell r="AK250">
            <v>18380371</v>
          </cell>
          <cell r="AL250">
            <v>77612052</v>
          </cell>
          <cell r="AM250">
            <v>9684633.0309510753</v>
          </cell>
          <cell r="AN250">
            <v>-2067469.7099999997</v>
          </cell>
          <cell r="AO250">
            <v>17280124.937175956</v>
          </cell>
          <cell r="AP250">
            <v>0</v>
          </cell>
          <cell r="AQ250">
            <v>1100244.7099999997</v>
          </cell>
          <cell r="AR250">
            <v>0</v>
          </cell>
          <cell r="AS250">
            <v>0</v>
          </cell>
          <cell r="AT250">
            <v>103609584.96812704</v>
          </cell>
          <cell r="AU250">
            <v>2.3409210972182718E-3</v>
          </cell>
          <cell r="AV250">
            <v>0</v>
          </cell>
          <cell r="AW250">
            <v>0</v>
          </cell>
          <cell r="AY250">
            <v>0</v>
          </cell>
          <cell r="AZ250">
            <v>0</v>
          </cell>
          <cell r="BA250">
            <v>0</v>
          </cell>
          <cell r="BB250">
            <v>0</v>
          </cell>
          <cell r="BC250">
            <v>0</v>
          </cell>
          <cell r="BD250">
            <v>0</v>
          </cell>
          <cell r="BE250">
            <v>0</v>
          </cell>
          <cell r="BF250">
            <v>0</v>
          </cell>
          <cell r="BG250">
            <v>0</v>
          </cell>
          <cell r="BH250">
            <v>0</v>
          </cell>
          <cell r="BJ250">
            <v>0</v>
          </cell>
          <cell r="BL250">
            <v>0</v>
          </cell>
          <cell r="BM250">
            <v>0</v>
          </cell>
          <cell r="BN250">
            <v>0</v>
          </cell>
          <cell r="BO250">
            <v>0</v>
          </cell>
          <cell r="BQ250">
            <v>0</v>
          </cell>
          <cell r="BR250">
            <v>0</v>
          </cell>
          <cell r="BS250">
            <v>0</v>
          </cell>
          <cell r="BT250">
            <v>0</v>
          </cell>
          <cell r="CB250">
            <v>0</v>
          </cell>
          <cell r="CC250">
            <v>0</v>
          </cell>
          <cell r="CD250">
            <v>0</v>
          </cell>
          <cell r="CE250">
            <v>0</v>
          </cell>
          <cell r="CF250">
            <v>0</v>
          </cell>
          <cell r="CI250">
            <v>0</v>
          </cell>
          <cell r="CJ250">
            <v>0</v>
          </cell>
          <cell r="CK250">
            <v>0</v>
          </cell>
          <cell r="CV250">
            <v>2.3816434519789462E-3</v>
          </cell>
          <cell r="DG250">
            <v>103609585</v>
          </cell>
          <cell r="DR250">
            <v>35867836.239999972</v>
          </cell>
          <cell r="EC250">
            <v>2.8886488804823451</v>
          </cell>
          <cell r="EN250">
            <v>2.4095909012463064E-2</v>
          </cell>
        </row>
        <row r="251">
          <cell r="B251">
            <v>37705</v>
          </cell>
          <cell r="C251" t="str">
            <v>Richmond Technical College</v>
          </cell>
          <cell r="D251">
            <v>6.9131020644434534E-4</v>
          </cell>
          <cell r="E251">
            <v>1196127.8492582438</v>
          </cell>
          <cell r="F251">
            <v>932648.31525507639</v>
          </cell>
          <cell r="G251">
            <v>84828</v>
          </cell>
          <cell r="H251">
            <v>-333762.17231067357</v>
          </cell>
          <cell r="I251">
            <v>-13811.708432013433</v>
          </cell>
          <cell r="J251">
            <v>1009364.5649013902</v>
          </cell>
          <cell r="K251">
            <v>0</v>
          </cell>
          <cell r="L251">
            <v>-53033.689872404226</v>
          </cell>
          <cell r="M251">
            <v>9517.2756738332737</v>
          </cell>
          <cell r="N251">
            <v>358.77617094048634</v>
          </cell>
          <cell r="O251">
            <v>-161.91176345133013</v>
          </cell>
          <cell r="P251">
            <v>0</v>
          </cell>
          <cell r="Q251">
            <v>0</v>
          </cell>
          <cell r="R251">
            <v>0</v>
          </cell>
          <cell r="S251">
            <v>2832075.2988809417</v>
          </cell>
          <cell r="T251">
            <v>424136.19000000006</v>
          </cell>
          <cell r="U251">
            <v>5046822.8245069506</v>
          </cell>
          <cell r="V251">
            <v>38069.102695333095</v>
          </cell>
          <cell r="W251">
            <v>0</v>
          </cell>
          <cell r="X251">
            <v>5509028.1172022838</v>
          </cell>
          <cell r="Y251">
            <v>0</v>
          </cell>
          <cell r="Z251">
            <v>0</v>
          </cell>
          <cell r="AA251">
            <v>0</v>
          </cell>
          <cell r="AB251">
            <v>69058.542160067169</v>
          </cell>
          <cell r="AC251">
            <v>69058.542160067169</v>
          </cell>
          <cell r="AD251" t="str">
            <v>N/A</v>
          </cell>
          <cell r="AE251">
            <v>1089897</v>
          </cell>
          <cell r="AF251">
            <v>1089898</v>
          </cell>
          <cell r="AG251">
            <v>1089898</v>
          </cell>
          <cell r="AH251">
            <v>1089898</v>
          </cell>
          <cell r="AI251">
            <v>1080381</v>
          </cell>
          <cell r="AJ251">
            <v>0</v>
          </cell>
          <cell r="AK251">
            <v>5439972</v>
          </cell>
          <cell r="AL251">
            <v>22415476</v>
          </cell>
          <cell r="AM251">
            <v>2832075.2988809417</v>
          </cell>
          <cell r="AN251">
            <v>-613177.19000000006</v>
          </cell>
          <cell r="AO251">
            <v>5015833.3850422176</v>
          </cell>
          <cell r="AP251">
            <v>0</v>
          </cell>
          <cell r="AQ251">
            <v>424136.19000000006</v>
          </cell>
          <cell r="AR251">
            <v>0</v>
          </cell>
          <cell r="AS251">
            <v>0</v>
          </cell>
          <cell r="AT251">
            <v>30074343.683923159</v>
          </cell>
          <cell r="AU251">
            <v>6.7609164069393809E-4</v>
          </cell>
          <cell r="AV251">
            <v>0</v>
          </cell>
          <cell r="AW251">
            <v>0</v>
          </cell>
          <cell r="AY251">
            <v>0</v>
          </cell>
          <cell r="AZ251">
            <v>0</v>
          </cell>
          <cell r="BA251">
            <v>0</v>
          </cell>
          <cell r="BB251">
            <v>0</v>
          </cell>
          <cell r="BC251">
            <v>0</v>
          </cell>
          <cell r="BD251">
            <v>0</v>
          </cell>
          <cell r="BE251">
            <v>0</v>
          </cell>
          <cell r="BF251">
            <v>0</v>
          </cell>
          <cell r="BG251">
            <v>0</v>
          </cell>
          <cell r="BH251">
            <v>0</v>
          </cell>
          <cell r="BJ251">
            <v>0</v>
          </cell>
          <cell r="BL251">
            <v>0</v>
          </cell>
          <cell r="BM251">
            <v>0</v>
          </cell>
          <cell r="BN251">
            <v>0</v>
          </cell>
          <cell r="BO251">
            <v>0</v>
          </cell>
          <cell r="BQ251">
            <v>0</v>
          </cell>
          <cell r="BR251">
            <v>0</v>
          </cell>
          <cell r="BS251">
            <v>0</v>
          </cell>
          <cell r="BT251">
            <v>0</v>
          </cell>
          <cell r="CB251">
            <v>0</v>
          </cell>
          <cell r="CC251">
            <v>0</v>
          </cell>
          <cell r="CD251">
            <v>0</v>
          </cell>
          <cell r="CE251">
            <v>0</v>
          </cell>
          <cell r="CF251">
            <v>0</v>
          </cell>
          <cell r="CI251">
            <v>0</v>
          </cell>
          <cell r="CJ251">
            <v>0</v>
          </cell>
          <cell r="CK251">
            <v>0</v>
          </cell>
          <cell r="CV251">
            <v>6.9131020644434534E-4</v>
          </cell>
          <cell r="DG251">
            <v>30074344</v>
          </cell>
          <cell r="DR251">
            <v>10587343.410000011</v>
          </cell>
          <cell r="EC251">
            <v>2.8405939842844834</v>
          </cell>
          <cell r="EN251">
            <v>2.4095909012463064E-2</v>
          </cell>
        </row>
        <row r="252">
          <cell r="B252">
            <v>37800</v>
          </cell>
          <cell r="C252" t="str">
            <v>Robeson County Schools</v>
          </cell>
          <cell r="D252">
            <v>7.1731948989898703E-3</v>
          </cell>
          <cell r="E252">
            <v>12411299.741933879</v>
          </cell>
          <cell r="F252">
            <v>9677375.0411535427</v>
          </cell>
          <cell r="G252">
            <v>242943</v>
          </cell>
          <cell r="H252">
            <v>-3463193.6424150635</v>
          </cell>
          <cell r="I252">
            <v>-143313.4872699586</v>
          </cell>
          <cell r="J252">
            <v>10473400.624896858</v>
          </cell>
          <cell r="K252">
            <v>0</v>
          </cell>
          <cell r="L252">
            <v>-550289.85558304051</v>
          </cell>
          <cell r="M252">
            <v>98753.457824605837</v>
          </cell>
          <cell r="N252">
            <v>3722.744688677763</v>
          </cell>
          <cell r="O252">
            <v>-1680.0339772924176</v>
          </cell>
          <cell r="P252">
            <v>0</v>
          </cell>
          <cell r="Q252">
            <v>0</v>
          </cell>
          <cell r="R252">
            <v>0</v>
          </cell>
          <cell r="S252">
            <v>28749017.591252204</v>
          </cell>
          <cell r="T252">
            <v>1214714.4499999993</v>
          </cell>
          <cell r="U252">
            <v>52367003.124484286</v>
          </cell>
          <cell r="V252">
            <v>395013.83129842335</v>
          </cell>
          <cell r="W252">
            <v>0</v>
          </cell>
          <cell r="X252">
            <v>53976731.405782714</v>
          </cell>
          <cell r="Y252">
            <v>0</v>
          </cell>
          <cell r="Z252">
            <v>0</v>
          </cell>
          <cell r="AA252">
            <v>0</v>
          </cell>
          <cell r="AB252">
            <v>716567.43634979299</v>
          </cell>
          <cell r="AC252">
            <v>716567.43634979299</v>
          </cell>
          <cell r="AD252" t="str">
            <v>N/A</v>
          </cell>
          <cell r="AE252">
            <v>10671783</v>
          </cell>
          <cell r="AF252">
            <v>10671785</v>
          </cell>
          <cell r="AG252">
            <v>10671785</v>
          </cell>
          <cell r="AH252">
            <v>10671785</v>
          </cell>
          <cell r="AI252">
            <v>10573031</v>
          </cell>
          <cell r="AJ252">
            <v>0</v>
          </cell>
          <cell r="AK252">
            <v>53260169</v>
          </cell>
          <cell r="AL252">
            <v>236376156</v>
          </cell>
          <cell r="AM252">
            <v>28749017.591252204</v>
          </cell>
          <cell r="AN252">
            <v>-6326977.4499999993</v>
          </cell>
          <cell r="AO252">
            <v>52045449.519432925</v>
          </cell>
          <cell r="AP252">
            <v>0</v>
          </cell>
          <cell r="AQ252">
            <v>1214714.4499999993</v>
          </cell>
          <cell r="AR252">
            <v>0</v>
          </cell>
          <cell r="AS252">
            <v>0</v>
          </cell>
          <cell r="AT252">
            <v>312058360.11068511</v>
          </cell>
          <cell r="AU252">
            <v>7.1295361318919059E-3</v>
          </cell>
          <cell r="AV252">
            <v>0</v>
          </cell>
          <cell r="AW252">
            <v>0</v>
          </cell>
          <cell r="AY252">
            <v>0</v>
          </cell>
          <cell r="AZ252">
            <v>0</v>
          </cell>
          <cell r="BA252">
            <v>0</v>
          </cell>
          <cell r="BB252">
            <v>0</v>
          </cell>
          <cell r="BC252">
            <v>0</v>
          </cell>
          <cell r="BD252">
            <v>0</v>
          </cell>
          <cell r="BE252">
            <v>0</v>
          </cell>
          <cell r="BF252">
            <v>0</v>
          </cell>
          <cell r="BG252">
            <v>0</v>
          </cell>
          <cell r="BH252">
            <v>0</v>
          </cell>
          <cell r="BJ252">
            <v>0</v>
          </cell>
          <cell r="BL252">
            <v>0</v>
          </cell>
          <cell r="BM252">
            <v>0</v>
          </cell>
          <cell r="BN252">
            <v>0</v>
          </cell>
          <cell r="BO252">
            <v>0</v>
          </cell>
          <cell r="BQ252">
            <v>0</v>
          </cell>
          <cell r="BR252">
            <v>0</v>
          </cell>
          <cell r="BS252">
            <v>0</v>
          </cell>
          <cell r="BT252">
            <v>0</v>
          </cell>
          <cell r="CB252">
            <v>0</v>
          </cell>
          <cell r="CC252">
            <v>0</v>
          </cell>
          <cell r="CD252">
            <v>0</v>
          </cell>
          <cell r="CE252">
            <v>0</v>
          </cell>
          <cell r="CF252">
            <v>0</v>
          </cell>
          <cell r="CI252">
            <v>0</v>
          </cell>
          <cell r="CJ252">
            <v>0</v>
          </cell>
          <cell r="CK252">
            <v>0</v>
          </cell>
          <cell r="CV252">
            <v>7.1731948989898703E-3</v>
          </cell>
          <cell r="DG252">
            <v>312058360</v>
          </cell>
          <cell r="DR252">
            <v>110477153.28999995</v>
          </cell>
          <cell r="EC252">
            <v>2.8246415725507887</v>
          </cell>
          <cell r="EN252">
            <v>2.4095909012463064E-2</v>
          </cell>
        </row>
        <row r="253">
          <cell r="B253">
            <v>37801</v>
          </cell>
          <cell r="C253" t="str">
            <v>Southeastern Academy Charter School</v>
          </cell>
          <cell r="D253">
            <v>4.4965534032614388E-5</v>
          </cell>
          <cell r="E253">
            <v>77800.858445027741</v>
          </cell>
          <cell r="F253">
            <v>60663.113561941595</v>
          </cell>
          <cell r="G253">
            <v>-21752</v>
          </cell>
          <cell r="H253">
            <v>-21709.204027270669</v>
          </cell>
          <cell r="I253">
            <v>-898.36782353110755</v>
          </cell>
          <cell r="J253">
            <v>65653.040084317588</v>
          </cell>
          <cell r="K253">
            <v>0</v>
          </cell>
          <cell r="L253">
            <v>-3449.5197157554057</v>
          </cell>
          <cell r="M253">
            <v>619.04103139257734</v>
          </cell>
          <cell r="N253">
            <v>23.336212852246216</v>
          </cell>
          <cell r="O253">
            <v>-10.531377725778617</v>
          </cell>
          <cell r="P253">
            <v>0</v>
          </cell>
          <cell r="Q253">
            <v>0</v>
          </cell>
          <cell r="R253">
            <v>0</v>
          </cell>
          <cell r="S253">
            <v>156939.76639124879</v>
          </cell>
          <cell r="T253">
            <v>0</v>
          </cell>
          <cell r="U253">
            <v>328265.20042158797</v>
          </cell>
          <cell r="V253">
            <v>2476.1641255703094</v>
          </cell>
          <cell r="W253">
            <v>0</v>
          </cell>
          <cell r="X253">
            <v>330741.3645471583</v>
          </cell>
          <cell r="Y253">
            <v>108760.39</v>
          </cell>
          <cell r="Z253">
            <v>0</v>
          </cell>
          <cell r="AA253">
            <v>0</v>
          </cell>
          <cell r="AB253">
            <v>4491.8391176555378</v>
          </cell>
          <cell r="AC253">
            <v>113252.22911765554</v>
          </cell>
          <cell r="AD253" t="str">
            <v>N/A</v>
          </cell>
          <cell r="AE253">
            <v>43622</v>
          </cell>
          <cell r="AF253">
            <v>43621</v>
          </cell>
          <cell r="AG253">
            <v>43621</v>
          </cell>
          <cell r="AH253">
            <v>43621</v>
          </cell>
          <cell r="AI253">
            <v>43002</v>
          </cell>
          <cell r="AJ253">
            <v>0</v>
          </cell>
          <cell r="AK253">
            <v>217487</v>
          </cell>
          <cell r="AL253">
            <v>1620531</v>
          </cell>
          <cell r="AM253">
            <v>156939.76639124879</v>
          </cell>
          <cell r="AN253">
            <v>-38806.61</v>
          </cell>
          <cell r="AO253">
            <v>326249.52542950277</v>
          </cell>
          <cell r="AP253">
            <v>0</v>
          </cell>
          <cell r="AQ253">
            <v>-108760.39</v>
          </cell>
          <cell r="AR253">
            <v>0</v>
          </cell>
          <cell r="AS253">
            <v>0</v>
          </cell>
          <cell r="AT253">
            <v>1956153.2918207517</v>
          </cell>
          <cell r="AU253">
            <v>4.8878182060460927E-5</v>
          </cell>
          <cell r="AV253">
            <v>0</v>
          </cell>
          <cell r="AW253">
            <v>0</v>
          </cell>
          <cell r="AY253">
            <v>0</v>
          </cell>
          <cell r="AZ253">
            <v>0</v>
          </cell>
          <cell r="BA253">
            <v>0</v>
          </cell>
          <cell r="BB253">
            <v>0</v>
          </cell>
          <cell r="BC253">
            <v>0</v>
          </cell>
          <cell r="BD253">
            <v>0</v>
          </cell>
          <cell r="BE253">
            <v>0</v>
          </cell>
          <cell r="BF253">
            <v>0</v>
          </cell>
          <cell r="BG253">
            <v>0</v>
          </cell>
          <cell r="BH253">
            <v>0</v>
          </cell>
          <cell r="BJ253">
            <v>0</v>
          </cell>
          <cell r="BL253">
            <v>0</v>
          </cell>
          <cell r="BM253">
            <v>0</v>
          </cell>
          <cell r="BN253">
            <v>0</v>
          </cell>
          <cell r="BO253">
            <v>0</v>
          </cell>
          <cell r="BQ253">
            <v>0</v>
          </cell>
          <cell r="BR253">
            <v>0</v>
          </cell>
          <cell r="BS253">
            <v>0</v>
          </cell>
          <cell r="BT253">
            <v>0</v>
          </cell>
          <cell r="CB253">
            <v>0</v>
          </cell>
          <cell r="CC253">
            <v>0</v>
          </cell>
          <cell r="CD253">
            <v>0</v>
          </cell>
          <cell r="CE253">
            <v>0</v>
          </cell>
          <cell r="CF253">
            <v>0</v>
          </cell>
          <cell r="CI253">
            <v>0</v>
          </cell>
          <cell r="CJ253">
            <v>0</v>
          </cell>
          <cell r="CK253">
            <v>0</v>
          </cell>
          <cell r="CV253">
            <v>4.4965534032614388E-5</v>
          </cell>
          <cell r="DG253">
            <v>1956154</v>
          </cell>
          <cell r="DR253">
            <v>600184.69000000006</v>
          </cell>
          <cell r="EC253">
            <v>3.2592534141449021</v>
          </cell>
          <cell r="EN253">
            <v>2.4095909012463064E-2</v>
          </cell>
        </row>
        <row r="254">
          <cell r="B254">
            <v>37805</v>
          </cell>
          <cell r="C254" t="str">
            <v>Robeson Community College</v>
          </cell>
          <cell r="D254">
            <v>5.8781813010430888E-4</v>
          </cell>
          <cell r="E254">
            <v>1017062.4260460327</v>
          </cell>
          <cell r="F254">
            <v>793026.8982110112</v>
          </cell>
          <cell r="G254">
            <v>-422245</v>
          </cell>
          <cell r="H254">
            <v>-283796.55644937576</v>
          </cell>
          <cell r="I254">
            <v>-11744.036972649068</v>
          </cell>
          <cell r="J254">
            <v>858258.39920049056</v>
          </cell>
          <cell r="K254">
            <v>0</v>
          </cell>
          <cell r="L254">
            <v>-45094.321077173598</v>
          </cell>
          <cell r="M254">
            <v>8092.4990519871435</v>
          </cell>
          <cell r="N254">
            <v>305.06585316153422</v>
          </cell>
          <cell r="O254">
            <v>-137.67288425173018</v>
          </cell>
          <cell r="P254">
            <v>0</v>
          </cell>
          <cell r="Q254">
            <v>0</v>
          </cell>
          <cell r="R254">
            <v>0</v>
          </cell>
          <cell r="S254">
            <v>1913727.7009792328</v>
          </cell>
          <cell r="T254">
            <v>20089.729999999981</v>
          </cell>
          <cell r="U254">
            <v>4291291.9960024534</v>
          </cell>
          <cell r="V254">
            <v>32369.996207948574</v>
          </cell>
          <cell r="W254">
            <v>0</v>
          </cell>
          <cell r="X254">
            <v>4343751.7222104017</v>
          </cell>
          <cell r="Y254">
            <v>2131317</v>
          </cell>
          <cell r="Z254">
            <v>0</v>
          </cell>
          <cell r="AA254">
            <v>0</v>
          </cell>
          <cell r="AB254">
            <v>58720.18486324534</v>
          </cell>
          <cell r="AC254">
            <v>2190037.1848632451</v>
          </cell>
          <cell r="AD254" t="str">
            <v>N/A</v>
          </cell>
          <cell r="AE254">
            <v>432362</v>
          </cell>
          <cell r="AF254">
            <v>432361</v>
          </cell>
          <cell r="AG254">
            <v>432361</v>
          </cell>
          <cell r="AH254">
            <v>432361</v>
          </cell>
          <cell r="AI254">
            <v>424268</v>
          </cell>
          <cell r="AJ254">
            <v>0</v>
          </cell>
          <cell r="AK254">
            <v>2153713</v>
          </cell>
          <cell r="AL254">
            <v>22046392</v>
          </cell>
          <cell r="AM254">
            <v>1913727.7009792328</v>
          </cell>
          <cell r="AN254">
            <v>-541747.73</v>
          </cell>
          <cell r="AO254">
            <v>4264941.8073471561</v>
          </cell>
          <cell r="AP254">
            <v>0</v>
          </cell>
          <cell r="AQ254">
            <v>-2111227.27</v>
          </cell>
          <cell r="AR254">
            <v>0</v>
          </cell>
          <cell r="AS254">
            <v>0</v>
          </cell>
          <cell r="AT254">
            <v>25572086.508326389</v>
          </cell>
          <cell r="AU254">
            <v>6.6495941749002152E-4</v>
          </cell>
          <cell r="AV254">
            <v>0</v>
          </cell>
          <cell r="AW254">
            <v>0</v>
          </cell>
          <cell r="AY254">
            <v>0</v>
          </cell>
          <cell r="AZ254">
            <v>0</v>
          </cell>
          <cell r="BA254">
            <v>0</v>
          </cell>
          <cell r="BB254">
            <v>0</v>
          </cell>
          <cell r="BC254">
            <v>0</v>
          </cell>
          <cell r="BD254">
            <v>0</v>
          </cell>
          <cell r="BE254">
            <v>0</v>
          </cell>
          <cell r="BF254">
            <v>0</v>
          </cell>
          <cell r="BG254">
            <v>0</v>
          </cell>
          <cell r="BH254">
            <v>0</v>
          </cell>
          <cell r="BJ254">
            <v>0</v>
          </cell>
          <cell r="BL254">
            <v>0</v>
          </cell>
          <cell r="BM254">
            <v>0</v>
          </cell>
          <cell r="BN254">
            <v>0</v>
          </cell>
          <cell r="BO254">
            <v>0</v>
          </cell>
          <cell r="BQ254">
            <v>0</v>
          </cell>
          <cell r="BR254">
            <v>0</v>
          </cell>
          <cell r="BS254">
            <v>0</v>
          </cell>
          <cell r="BT254">
            <v>0</v>
          </cell>
          <cell r="CB254">
            <v>0</v>
          </cell>
          <cell r="CC254">
            <v>0</v>
          </cell>
          <cell r="CD254">
            <v>0</v>
          </cell>
          <cell r="CE254">
            <v>0</v>
          </cell>
          <cell r="CF254">
            <v>0</v>
          </cell>
          <cell r="CI254">
            <v>0</v>
          </cell>
          <cell r="CJ254">
            <v>0</v>
          </cell>
          <cell r="CK254">
            <v>0</v>
          </cell>
          <cell r="CV254">
            <v>5.8781813010430888E-4</v>
          </cell>
          <cell r="DG254">
            <v>25572087</v>
          </cell>
          <cell r="DR254">
            <v>9578945.2599999998</v>
          </cell>
          <cell r="EC254">
            <v>2.6696140656304368</v>
          </cell>
          <cell r="EN254">
            <v>2.4095909012463064E-2</v>
          </cell>
        </row>
        <row r="255">
          <cell r="B255">
            <v>37900</v>
          </cell>
          <cell r="C255" t="str">
            <v>Rockingham County Schools</v>
          </cell>
          <cell r="D255">
            <v>3.9041682104257506E-3</v>
          </cell>
          <cell r="E255">
            <v>6755121.3350340053</v>
          </cell>
          <cell r="F255">
            <v>5267123.0223173955</v>
          </cell>
          <cell r="G255">
            <v>-1316550</v>
          </cell>
          <cell r="H255">
            <v>-1884918.8842156606</v>
          </cell>
          <cell r="I255">
            <v>-78001.499890016858</v>
          </cell>
          <cell r="J255">
            <v>5700377.3563344311</v>
          </cell>
          <cell r="K255">
            <v>0</v>
          </cell>
          <cell r="L255">
            <v>-299507.28942129051</v>
          </cell>
          <cell r="M255">
            <v>53748.729281388885</v>
          </cell>
          <cell r="N255">
            <v>2026.1852178467561</v>
          </cell>
          <cell r="O255">
            <v>-914.39523656381505</v>
          </cell>
          <cell r="P255">
            <v>0</v>
          </cell>
          <cell r="Q255">
            <v>0</v>
          </cell>
          <cell r="R255">
            <v>0</v>
          </cell>
          <cell r="S255">
            <v>14198504.559421536</v>
          </cell>
          <cell r="T255">
            <v>106590.18999999994</v>
          </cell>
          <cell r="U255">
            <v>28501886.781672154</v>
          </cell>
          <cell r="V255">
            <v>214994.91712555554</v>
          </cell>
          <cell r="W255">
            <v>0</v>
          </cell>
          <cell r="X255">
            <v>28823471.888797712</v>
          </cell>
          <cell r="Y255">
            <v>6689339</v>
          </cell>
          <cell r="Z255">
            <v>0</v>
          </cell>
          <cell r="AA255">
            <v>0</v>
          </cell>
          <cell r="AB255">
            <v>390007.49945008429</v>
          </cell>
          <cell r="AC255">
            <v>7079346.4994500838</v>
          </cell>
          <cell r="AD255" t="str">
            <v>N/A</v>
          </cell>
          <cell r="AE255">
            <v>4359575</v>
          </cell>
          <cell r="AF255">
            <v>4359575</v>
          </cell>
          <cell r="AG255">
            <v>4359575</v>
          </cell>
          <cell r="AH255">
            <v>4359575</v>
          </cell>
          <cell r="AI255">
            <v>4305826</v>
          </cell>
          <cell r="AJ255">
            <v>0</v>
          </cell>
          <cell r="AK255">
            <v>21744126</v>
          </cell>
          <cell r="AL255">
            <v>137467925</v>
          </cell>
          <cell r="AM255">
            <v>14198504.559421536</v>
          </cell>
          <cell r="AN255">
            <v>-3565967.19</v>
          </cell>
          <cell r="AO255">
            <v>28326874.199347626</v>
          </cell>
          <cell r="AP255">
            <v>0</v>
          </cell>
          <cell r="AQ255">
            <v>-6582748.8100000005</v>
          </cell>
          <cell r="AR255">
            <v>0</v>
          </cell>
          <cell r="AS255">
            <v>0</v>
          </cell>
          <cell r="AT255">
            <v>169844587.75876915</v>
          </cell>
          <cell r="AU255">
            <v>4.1462834077513203E-3</v>
          </cell>
          <cell r="AV255">
            <v>0</v>
          </cell>
          <cell r="AW255">
            <v>0</v>
          </cell>
          <cell r="AY255">
            <v>0</v>
          </cell>
          <cell r="AZ255">
            <v>0</v>
          </cell>
          <cell r="BA255">
            <v>0</v>
          </cell>
          <cell r="BB255">
            <v>0</v>
          </cell>
          <cell r="BC255">
            <v>0</v>
          </cell>
          <cell r="BD255">
            <v>0</v>
          </cell>
          <cell r="BE255">
            <v>0</v>
          </cell>
          <cell r="BF255">
            <v>0</v>
          </cell>
          <cell r="BG255">
            <v>0</v>
          </cell>
          <cell r="BH255">
            <v>0</v>
          </cell>
          <cell r="BJ255">
            <v>0</v>
          </cell>
          <cell r="BL255">
            <v>0</v>
          </cell>
          <cell r="BM255">
            <v>0</v>
          </cell>
          <cell r="BN255">
            <v>0</v>
          </cell>
          <cell r="BO255">
            <v>0</v>
          </cell>
          <cell r="BQ255">
            <v>0</v>
          </cell>
          <cell r="BR255">
            <v>0</v>
          </cell>
          <cell r="BS255">
            <v>0</v>
          </cell>
          <cell r="BT255">
            <v>0</v>
          </cell>
          <cell r="CB255">
            <v>0</v>
          </cell>
          <cell r="CC255">
            <v>0</v>
          </cell>
          <cell r="CD255">
            <v>0</v>
          </cell>
          <cell r="CE255">
            <v>0</v>
          </cell>
          <cell r="CF255">
            <v>0</v>
          </cell>
          <cell r="CI255">
            <v>0</v>
          </cell>
          <cell r="CJ255">
            <v>0</v>
          </cell>
          <cell r="CK255">
            <v>0</v>
          </cell>
          <cell r="CV255">
            <v>3.9041682104257506E-3</v>
          </cell>
          <cell r="DG255">
            <v>169844587</v>
          </cell>
          <cell r="DR255">
            <v>62086132.349999972</v>
          </cell>
          <cell r="EC255">
            <v>2.7356284015652665</v>
          </cell>
          <cell r="EN255">
            <v>2.4095909012463064E-2</v>
          </cell>
        </row>
        <row r="256">
          <cell r="B256">
            <v>37901</v>
          </cell>
          <cell r="C256" t="str">
            <v>Bethany Community Middle School</v>
          </cell>
          <cell r="D256">
            <v>5.7632588406695614E-5</v>
          </cell>
          <cell r="E256">
            <v>99717.816076589617</v>
          </cell>
          <cell r="F256">
            <v>77752.268055977547</v>
          </cell>
          <cell r="G256">
            <v>10728</v>
          </cell>
          <cell r="H256">
            <v>-27824.813988268881</v>
          </cell>
          <cell r="I256">
            <v>-1151.4433026378306</v>
          </cell>
          <cell r="J256">
            <v>84147.886113914108</v>
          </cell>
          <cell r="K256">
            <v>0</v>
          </cell>
          <cell r="L256">
            <v>-4421.2696291945731</v>
          </cell>
          <cell r="M256">
            <v>793.42851667740808</v>
          </cell>
          <cell r="N256">
            <v>29.910160731306888</v>
          </cell>
          <cell r="O256">
            <v>-13.498128530732179</v>
          </cell>
          <cell r="P256">
            <v>0</v>
          </cell>
          <cell r="Q256">
            <v>0</v>
          </cell>
          <cell r="R256">
            <v>0</v>
          </cell>
          <cell r="S256">
            <v>239758.28387525797</v>
          </cell>
          <cell r="T256">
            <v>60221</v>
          </cell>
          <cell r="U256">
            <v>420739.43056957051</v>
          </cell>
          <cell r="V256">
            <v>3173.7140667096323</v>
          </cell>
          <cell r="W256">
            <v>0</v>
          </cell>
          <cell r="X256">
            <v>484134.14463628014</v>
          </cell>
          <cell r="Y256">
            <v>6581.1100000000006</v>
          </cell>
          <cell r="Z256">
            <v>0</v>
          </cell>
          <cell r="AA256">
            <v>0</v>
          </cell>
          <cell r="AB256">
            <v>5757.2165131891525</v>
          </cell>
          <cell r="AC256">
            <v>12338.326513189153</v>
          </cell>
          <cell r="AD256" t="str">
            <v>N/A</v>
          </cell>
          <cell r="AE256">
            <v>94518</v>
          </cell>
          <cell r="AF256">
            <v>94518</v>
          </cell>
          <cell r="AG256">
            <v>94518</v>
          </cell>
          <cell r="AH256">
            <v>94518</v>
          </cell>
          <cell r="AI256">
            <v>93724</v>
          </cell>
          <cell r="AJ256">
            <v>0</v>
          </cell>
          <cell r="AK256">
            <v>471796</v>
          </cell>
          <cell r="AL256">
            <v>1838514</v>
          </cell>
          <cell r="AM256">
            <v>239758.28387525797</v>
          </cell>
          <cell r="AN256">
            <v>-42854.89</v>
          </cell>
          <cell r="AO256">
            <v>418155.92812309106</v>
          </cell>
          <cell r="AP256">
            <v>0</v>
          </cell>
          <cell r="AQ256">
            <v>53639.89</v>
          </cell>
          <cell r="AR256">
            <v>0</v>
          </cell>
          <cell r="AS256">
            <v>0</v>
          </cell>
          <cell r="AT256">
            <v>2507213.2119983491</v>
          </cell>
          <cell r="AU256">
            <v>5.5452930782065379E-5</v>
          </cell>
          <cell r="AV256">
            <v>0</v>
          </cell>
          <cell r="AW256">
            <v>0</v>
          </cell>
          <cell r="AY256">
            <v>0</v>
          </cell>
          <cell r="AZ256">
            <v>0</v>
          </cell>
          <cell r="BA256">
            <v>0</v>
          </cell>
          <cell r="BB256">
            <v>0</v>
          </cell>
          <cell r="BC256">
            <v>0</v>
          </cell>
          <cell r="BD256">
            <v>0</v>
          </cell>
          <cell r="BE256">
            <v>0</v>
          </cell>
          <cell r="BF256">
            <v>0</v>
          </cell>
          <cell r="BG256">
            <v>0</v>
          </cell>
          <cell r="BH256">
            <v>0</v>
          </cell>
          <cell r="BJ256">
            <v>0</v>
          </cell>
          <cell r="BL256">
            <v>0</v>
          </cell>
          <cell r="BM256">
            <v>0</v>
          </cell>
          <cell r="BN256">
            <v>0</v>
          </cell>
          <cell r="BO256">
            <v>0</v>
          </cell>
          <cell r="BQ256">
            <v>0</v>
          </cell>
          <cell r="BR256">
            <v>0</v>
          </cell>
          <cell r="BS256">
            <v>0</v>
          </cell>
          <cell r="BT256">
            <v>0</v>
          </cell>
          <cell r="CB256">
            <v>0</v>
          </cell>
          <cell r="CC256">
            <v>0</v>
          </cell>
          <cell r="CD256">
            <v>0</v>
          </cell>
          <cell r="CE256">
            <v>0</v>
          </cell>
          <cell r="CF256">
            <v>0</v>
          </cell>
          <cell r="CI256">
            <v>0</v>
          </cell>
          <cell r="CJ256">
            <v>0</v>
          </cell>
          <cell r="CK256">
            <v>0</v>
          </cell>
          <cell r="CV256">
            <v>5.7632588406695614E-5</v>
          </cell>
          <cell r="DG256">
            <v>2507213</v>
          </cell>
          <cell r="DR256">
            <v>832947.65000000026</v>
          </cell>
          <cell r="EC256">
            <v>3.0100487107443059</v>
          </cell>
          <cell r="EN256">
            <v>2.4095909012463064E-2</v>
          </cell>
        </row>
        <row r="257">
          <cell r="B257">
            <v>37905</v>
          </cell>
          <cell r="C257" t="str">
            <v>Rockingham Community College</v>
          </cell>
          <cell r="D257">
            <v>4.4464693495217513E-4</v>
          </cell>
          <cell r="E257">
            <v>769342.87534843886</v>
          </cell>
          <cell r="F257">
            <v>599874.28349919128</v>
          </cell>
          <cell r="G257">
            <v>-39697</v>
          </cell>
          <cell r="H257">
            <v>-214673.99951206759</v>
          </cell>
          <cell r="I257">
            <v>-8883.6151462813687</v>
          </cell>
          <cell r="J257">
            <v>649217.75470542104</v>
          </cell>
          <cell r="K257">
            <v>0</v>
          </cell>
          <cell r="L257">
            <v>-34110.978589851307</v>
          </cell>
          <cell r="M257">
            <v>6121.4595387368263</v>
          </cell>
          <cell r="N257">
            <v>230.76286630147985</v>
          </cell>
          <cell r="O257">
            <v>-104.14075863514894</v>
          </cell>
          <cell r="P257">
            <v>0</v>
          </cell>
          <cell r="Q257">
            <v>0</v>
          </cell>
          <cell r="R257">
            <v>0</v>
          </cell>
          <cell r="S257">
            <v>1727317.4019512536</v>
          </cell>
          <cell r="T257">
            <v>48472.659999999974</v>
          </cell>
          <cell r="U257">
            <v>3246088.7735271053</v>
          </cell>
          <cell r="V257">
            <v>24485.838154947305</v>
          </cell>
          <cell r="W257">
            <v>0</v>
          </cell>
          <cell r="X257">
            <v>3319047.2716820529</v>
          </cell>
          <cell r="Y257">
            <v>246956</v>
          </cell>
          <cell r="Z257">
            <v>0</v>
          </cell>
          <cell r="AA257">
            <v>0</v>
          </cell>
          <cell r="AB257">
            <v>44418.07573140684</v>
          </cell>
          <cell r="AC257">
            <v>291374.07573140686</v>
          </cell>
          <cell r="AD257" t="str">
            <v>N/A</v>
          </cell>
          <cell r="AE257">
            <v>606760</v>
          </cell>
          <cell r="AF257">
            <v>606759</v>
          </cell>
          <cell r="AG257">
            <v>606759</v>
          </cell>
          <cell r="AH257">
            <v>606759</v>
          </cell>
          <cell r="AI257">
            <v>600637</v>
          </cell>
          <cell r="AJ257">
            <v>0</v>
          </cell>
          <cell r="AK257">
            <v>3027674</v>
          </cell>
          <cell r="AL257">
            <v>15038391</v>
          </cell>
          <cell r="AM257">
            <v>1727317.4019512536</v>
          </cell>
          <cell r="AN257">
            <v>-449728.66</v>
          </cell>
          <cell r="AO257">
            <v>3226156.5359506463</v>
          </cell>
          <cell r="AP257">
            <v>0</v>
          </cell>
          <cell r="AQ257">
            <v>-198483.34000000003</v>
          </cell>
          <cell r="AR257">
            <v>0</v>
          </cell>
          <cell r="AS257">
            <v>0</v>
          </cell>
          <cell r="AT257">
            <v>19343652.937901899</v>
          </cell>
          <cell r="AU257">
            <v>4.5358529498222018E-4</v>
          </cell>
          <cell r="AV257">
            <v>0</v>
          </cell>
          <cell r="AW257">
            <v>0</v>
          </cell>
          <cell r="AY257">
            <v>0</v>
          </cell>
          <cell r="AZ257">
            <v>0</v>
          </cell>
          <cell r="BA257">
            <v>0</v>
          </cell>
          <cell r="BB257">
            <v>0</v>
          </cell>
          <cell r="BC257">
            <v>0</v>
          </cell>
          <cell r="BD257">
            <v>0</v>
          </cell>
          <cell r="BE257">
            <v>0</v>
          </cell>
          <cell r="BF257">
            <v>0</v>
          </cell>
          <cell r="BG257">
            <v>0</v>
          </cell>
          <cell r="BH257">
            <v>0</v>
          </cell>
          <cell r="BJ257">
            <v>0</v>
          </cell>
          <cell r="BL257">
            <v>0</v>
          </cell>
          <cell r="BM257">
            <v>0</v>
          </cell>
          <cell r="BN257">
            <v>0</v>
          </cell>
          <cell r="BO257">
            <v>0</v>
          </cell>
          <cell r="BQ257">
            <v>0</v>
          </cell>
          <cell r="BR257">
            <v>0</v>
          </cell>
          <cell r="BS257">
            <v>0</v>
          </cell>
          <cell r="BT257">
            <v>0</v>
          </cell>
          <cell r="CB257">
            <v>0</v>
          </cell>
          <cell r="CC257">
            <v>0</v>
          </cell>
          <cell r="CD257">
            <v>0</v>
          </cell>
          <cell r="CE257">
            <v>0</v>
          </cell>
          <cell r="CF257">
            <v>0</v>
          </cell>
          <cell r="CI257">
            <v>0</v>
          </cell>
          <cell r="CJ257">
            <v>0</v>
          </cell>
          <cell r="CK257">
            <v>0</v>
          </cell>
          <cell r="CV257">
            <v>4.4464693495217513E-4</v>
          </cell>
          <cell r="DG257">
            <v>19343653</v>
          </cell>
          <cell r="DR257">
            <v>7801983.4299999978</v>
          </cell>
          <cell r="EC257">
            <v>2.4793250554237596</v>
          </cell>
          <cell r="EN257">
            <v>2.4095909012463064E-2</v>
          </cell>
        </row>
        <row r="258">
          <cell r="B258">
            <v>38000</v>
          </cell>
          <cell r="C258" t="str">
            <v>Rowan-Salisbury School System</v>
          </cell>
          <cell r="D258">
            <v>6.2471042055790658E-3</v>
          </cell>
          <cell r="E258">
            <v>10808946.906692294</v>
          </cell>
          <cell r="F258">
            <v>8427983.7882377263</v>
          </cell>
          <cell r="G258">
            <v>-148011</v>
          </cell>
          <cell r="H258">
            <v>-3016080.2645014506</v>
          </cell>
          <cell r="I258">
            <v>-124811.09207926801</v>
          </cell>
          <cell r="J258">
            <v>9121239.0032398552</v>
          </cell>
          <cell r="K258">
            <v>0</v>
          </cell>
          <cell r="L258">
            <v>-479245.03927593114</v>
          </cell>
          <cell r="M258">
            <v>86003.956448812678</v>
          </cell>
          <cell r="N258">
            <v>3242.1221406114237</v>
          </cell>
          <cell r="O258">
            <v>-1463.1342759886729</v>
          </cell>
          <cell r="P258">
            <v>0</v>
          </cell>
          <cell r="Q258">
            <v>0</v>
          </cell>
          <cell r="R258">
            <v>0</v>
          </cell>
          <cell r="S258">
            <v>24677805.246626664</v>
          </cell>
          <cell r="T258">
            <v>0</v>
          </cell>
          <cell r="U258">
            <v>45606195.016199276</v>
          </cell>
          <cell r="V258">
            <v>344015.82579525071</v>
          </cell>
          <cell r="W258">
            <v>0</v>
          </cell>
          <cell r="X258">
            <v>45950210.841994524</v>
          </cell>
          <cell r="Y258">
            <v>740054.71</v>
          </cell>
          <cell r="Z258">
            <v>0</v>
          </cell>
          <cell r="AA258">
            <v>0</v>
          </cell>
          <cell r="AB258">
            <v>624055.46039634</v>
          </cell>
          <cell r="AC258">
            <v>1364110.1703963401</v>
          </cell>
          <cell r="AD258" t="str">
            <v>N/A</v>
          </cell>
          <cell r="AE258">
            <v>8934421</v>
          </cell>
          <cell r="AF258">
            <v>8934421</v>
          </cell>
          <cell r="AG258">
            <v>8934421</v>
          </cell>
          <cell r="AH258">
            <v>8934421</v>
          </cell>
          <cell r="AI258">
            <v>8848417</v>
          </cell>
          <cell r="AJ258">
            <v>0</v>
          </cell>
          <cell r="AK258">
            <v>44586101</v>
          </cell>
          <cell r="AL258">
            <v>207920199</v>
          </cell>
          <cell r="AM258">
            <v>24677805.246626664</v>
          </cell>
          <cell r="AN258">
            <v>-5413838.29</v>
          </cell>
          <cell r="AO258">
            <v>45326155.381598189</v>
          </cell>
          <cell r="AP258">
            <v>0</v>
          </cell>
          <cell r="AQ258">
            <v>-740054.71</v>
          </cell>
          <cell r="AR258">
            <v>0</v>
          </cell>
          <cell r="AS258">
            <v>0</v>
          </cell>
          <cell r="AT258">
            <v>271770266.62822491</v>
          </cell>
          <cell r="AU258">
            <v>6.2712525424480437E-3</v>
          </cell>
          <cell r="AV258">
            <v>0</v>
          </cell>
          <cell r="AW258">
            <v>0</v>
          </cell>
          <cell r="AY258">
            <v>0</v>
          </cell>
          <cell r="AZ258">
            <v>0</v>
          </cell>
          <cell r="BA258">
            <v>0</v>
          </cell>
          <cell r="BB258">
            <v>0</v>
          </cell>
          <cell r="BC258">
            <v>0</v>
          </cell>
          <cell r="BD258">
            <v>0</v>
          </cell>
          <cell r="BE258">
            <v>0</v>
          </cell>
          <cell r="BF258">
            <v>0</v>
          </cell>
          <cell r="BG258">
            <v>0</v>
          </cell>
          <cell r="BH258">
            <v>0</v>
          </cell>
          <cell r="BJ258">
            <v>0</v>
          </cell>
          <cell r="BL258">
            <v>0</v>
          </cell>
          <cell r="BM258">
            <v>0</v>
          </cell>
          <cell r="BN258">
            <v>0</v>
          </cell>
          <cell r="BO258">
            <v>0</v>
          </cell>
          <cell r="BQ258">
            <v>0</v>
          </cell>
          <cell r="BR258">
            <v>0</v>
          </cell>
          <cell r="BS258">
            <v>0</v>
          </cell>
          <cell r="BT258">
            <v>0</v>
          </cell>
          <cell r="CB258">
            <v>0</v>
          </cell>
          <cell r="CC258">
            <v>0</v>
          </cell>
          <cell r="CD258">
            <v>0</v>
          </cell>
          <cell r="CE258">
            <v>0</v>
          </cell>
          <cell r="CF258">
            <v>0</v>
          </cell>
          <cell r="CI258">
            <v>0</v>
          </cell>
          <cell r="CJ258">
            <v>0</v>
          </cell>
          <cell r="CK258">
            <v>0</v>
          </cell>
          <cell r="CV258">
            <v>6.2471042055790658E-3</v>
          </cell>
          <cell r="DG258">
            <v>271770267</v>
          </cell>
          <cell r="DR258">
            <v>93746939.509999946</v>
          </cell>
          <cell r="EC258">
            <v>2.8989774857771264</v>
          </cell>
          <cell r="EN258">
            <v>2.4095909012463064E-2</v>
          </cell>
        </row>
        <row r="259">
          <cell r="B259">
            <v>38005</v>
          </cell>
          <cell r="C259" t="str">
            <v>Rowan-Cabarrus Community College</v>
          </cell>
          <cell r="D259">
            <v>1.3299451332424062E-3</v>
          </cell>
          <cell r="E259">
            <v>2301115.1824861355</v>
          </cell>
          <cell r="F259">
            <v>1794232.2800062343</v>
          </cell>
          <cell r="G259">
            <v>292798</v>
          </cell>
          <cell r="H259">
            <v>-642092.90212573926</v>
          </cell>
          <cell r="I259">
            <v>-26571.015789563888</v>
          </cell>
          <cell r="J259">
            <v>1941819.284952238</v>
          </cell>
          <cell r="K259">
            <v>0</v>
          </cell>
          <cell r="L259">
            <v>-102026.408819366</v>
          </cell>
          <cell r="M259">
            <v>18309.370158503374</v>
          </cell>
          <cell r="N259">
            <v>690.21492525014401</v>
          </cell>
          <cell r="O259">
            <v>-311.48644965670394</v>
          </cell>
          <cell r="P259">
            <v>0</v>
          </cell>
          <cell r="Q259">
            <v>0</v>
          </cell>
          <cell r="R259">
            <v>0</v>
          </cell>
          <cell r="S259">
            <v>5577962.5193440355</v>
          </cell>
          <cell r="T259">
            <v>1467223</v>
          </cell>
          <cell r="U259">
            <v>9709096.4247611891</v>
          </cell>
          <cell r="V259">
            <v>73237.480634013496</v>
          </cell>
          <cell r="W259">
            <v>0</v>
          </cell>
          <cell r="X259">
            <v>11249556.905395202</v>
          </cell>
          <cell r="Y259">
            <v>3233.3300000000745</v>
          </cell>
          <cell r="Z259">
            <v>0</v>
          </cell>
          <cell r="AA259">
            <v>0</v>
          </cell>
          <cell r="AB259">
            <v>132855.07894781942</v>
          </cell>
          <cell r="AC259">
            <v>136088.40894781949</v>
          </cell>
          <cell r="AD259" t="str">
            <v>N/A</v>
          </cell>
          <cell r="AE259">
            <v>2226356</v>
          </cell>
          <cell r="AF259">
            <v>2226356</v>
          </cell>
          <cell r="AG259">
            <v>2226356</v>
          </cell>
          <cell r="AH259">
            <v>2226356</v>
          </cell>
          <cell r="AI259">
            <v>2208046</v>
          </cell>
          <cell r="AJ259">
            <v>0</v>
          </cell>
          <cell r="AK259">
            <v>11113470</v>
          </cell>
          <cell r="AL259">
            <v>42332989</v>
          </cell>
          <cell r="AM259">
            <v>5577962.5193440355</v>
          </cell>
          <cell r="AN259">
            <v>-1167285.67</v>
          </cell>
          <cell r="AO259">
            <v>9649478.8264473844</v>
          </cell>
          <cell r="AP259">
            <v>0</v>
          </cell>
          <cell r="AQ259">
            <v>1463989.67</v>
          </cell>
          <cell r="AR259">
            <v>0</v>
          </cell>
          <cell r="AS259">
            <v>0</v>
          </cell>
          <cell r="AT259">
            <v>57857134.345791414</v>
          </cell>
          <cell r="AU259">
            <v>1.2768401914825278E-3</v>
          </cell>
          <cell r="AV259">
            <v>0</v>
          </cell>
          <cell r="AW259">
            <v>0</v>
          </cell>
          <cell r="AY259">
            <v>0</v>
          </cell>
          <cell r="AZ259">
            <v>0</v>
          </cell>
          <cell r="BA259">
            <v>0</v>
          </cell>
          <cell r="BB259">
            <v>0</v>
          </cell>
          <cell r="BC259">
            <v>0</v>
          </cell>
          <cell r="BD259">
            <v>0</v>
          </cell>
          <cell r="BE259">
            <v>0</v>
          </cell>
          <cell r="BF259">
            <v>0</v>
          </cell>
          <cell r="BG259">
            <v>0</v>
          </cell>
          <cell r="BH259">
            <v>0</v>
          </cell>
          <cell r="BJ259">
            <v>0</v>
          </cell>
          <cell r="BL259">
            <v>0</v>
          </cell>
          <cell r="BM259">
            <v>0</v>
          </cell>
          <cell r="BN259">
            <v>0</v>
          </cell>
          <cell r="BO259">
            <v>0</v>
          </cell>
          <cell r="BQ259">
            <v>0</v>
          </cell>
          <cell r="BR259">
            <v>0</v>
          </cell>
          <cell r="BS259">
            <v>0</v>
          </cell>
          <cell r="BT259">
            <v>0</v>
          </cell>
          <cell r="CB259">
            <v>0</v>
          </cell>
          <cell r="CC259">
            <v>0</v>
          </cell>
          <cell r="CD259">
            <v>0</v>
          </cell>
          <cell r="CE259">
            <v>0</v>
          </cell>
          <cell r="CF259">
            <v>0</v>
          </cell>
          <cell r="CI259">
            <v>0</v>
          </cell>
          <cell r="CJ259">
            <v>0</v>
          </cell>
          <cell r="CK259">
            <v>0</v>
          </cell>
          <cell r="CV259">
            <v>1.3299451332424062E-3</v>
          </cell>
          <cell r="DG259">
            <v>57857134</v>
          </cell>
          <cell r="DR259">
            <v>20810332.490000002</v>
          </cell>
          <cell r="EC259">
            <v>2.7802118984788979</v>
          </cell>
          <cell r="EN259">
            <v>2.4095909012463064E-2</v>
          </cell>
        </row>
        <row r="260">
          <cell r="B260">
            <v>38100</v>
          </cell>
          <cell r="C260" t="str">
            <v>Rutherford County Schools</v>
          </cell>
          <cell r="D260">
            <v>2.8409398017833084E-3</v>
          </cell>
          <cell r="E260">
            <v>4915488.2761777658</v>
          </cell>
          <cell r="F260">
            <v>3832718.9374248041</v>
          </cell>
          <cell r="G260">
            <v>-40278</v>
          </cell>
          <cell r="H260">
            <v>-1371595.8925646024</v>
          </cell>
          <cell r="I260">
            <v>-56759.225958704264</v>
          </cell>
          <cell r="J260">
            <v>4147984.4217646532</v>
          </cell>
          <cell r="K260">
            <v>0</v>
          </cell>
          <cell r="L260">
            <v>-217941.98753244503</v>
          </cell>
          <cell r="M260">
            <v>39111.2513807703</v>
          </cell>
          <cell r="N260">
            <v>1474.3909383295013</v>
          </cell>
          <cell r="O260">
            <v>-665.37651097566868</v>
          </cell>
          <cell r="P260">
            <v>0</v>
          </cell>
          <cell r="Q260">
            <v>0</v>
          </cell>
          <cell r="R260">
            <v>0</v>
          </cell>
          <cell r="S260">
            <v>11249536.795119593</v>
          </cell>
          <cell r="T260">
            <v>48557.000000000466</v>
          </cell>
          <cell r="U260">
            <v>20739922.108823266</v>
          </cell>
          <cell r="V260">
            <v>156445.0055230812</v>
          </cell>
          <cell r="W260">
            <v>0</v>
          </cell>
          <cell r="X260">
            <v>20944924.114346348</v>
          </cell>
          <cell r="Y260">
            <v>249946</v>
          </cell>
          <cell r="Z260">
            <v>0</v>
          </cell>
          <cell r="AA260">
            <v>0</v>
          </cell>
          <cell r="AB260">
            <v>283796.12979352131</v>
          </cell>
          <cell r="AC260">
            <v>533742.12979352125</v>
          </cell>
          <cell r="AD260" t="str">
            <v>N/A</v>
          </cell>
          <cell r="AE260">
            <v>4090058</v>
          </cell>
          <cell r="AF260">
            <v>4090059</v>
          </cell>
          <cell r="AG260">
            <v>4090059</v>
          </cell>
          <cell r="AH260">
            <v>4090059</v>
          </cell>
          <cell r="AI260">
            <v>4050948</v>
          </cell>
          <cell r="AJ260">
            <v>0</v>
          </cell>
          <cell r="AK260">
            <v>20411183</v>
          </cell>
          <cell r="AL260">
            <v>94489854</v>
          </cell>
          <cell r="AM260">
            <v>11249536.795119593</v>
          </cell>
          <cell r="AN260">
            <v>-2560035.0000000005</v>
          </cell>
          <cell r="AO260">
            <v>20612570.984552827</v>
          </cell>
          <cell r="AP260">
            <v>0</v>
          </cell>
          <cell r="AQ260">
            <v>-201388.99999999953</v>
          </cell>
          <cell r="AR260">
            <v>0</v>
          </cell>
          <cell r="AS260">
            <v>0</v>
          </cell>
          <cell r="AT260">
            <v>123590537.77967243</v>
          </cell>
          <cell r="AU260">
            <v>2.8499863722386384E-3</v>
          </cell>
          <cell r="AV260">
            <v>0</v>
          </cell>
          <cell r="AW260">
            <v>0</v>
          </cell>
          <cell r="AY260">
            <v>0</v>
          </cell>
          <cell r="AZ260">
            <v>0</v>
          </cell>
          <cell r="BA260">
            <v>0</v>
          </cell>
          <cell r="BB260">
            <v>0</v>
          </cell>
          <cell r="BC260">
            <v>0</v>
          </cell>
          <cell r="BD260">
            <v>0</v>
          </cell>
          <cell r="BE260">
            <v>0</v>
          </cell>
          <cell r="BF260">
            <v>0</v>
          </cell>
          <cell r="BG260">
            <v>0</v>
          </cell>
          <cell r="BH260">
            <v>0</v>
          </cell>
          <cell r="BJ260">
            <v>0</v>
          </cell>
          <cell r="BL260">
            <v>0</v>
          </cell>
          <cell r="BM260">
            <v>0</v>
          </cell>
          <cell r="BN260">
            <v>0</v>
          </cell>
          <cell r="BO260">
            <v>0</v>
          </cell>
          <cell r="BQ260">
            <v>0</v>
          </cell>
          <cell r="BR260">
            <v>0</v>
          </cell>
          <cell r="BS260">
            <v>0</v>
          </cell>
          <cell r="BT260">
            <v>0</v>
          </cell>
          <cell r="CB260">
            <v>0</v>
          </cell>
          <cell r="CC260">
            <v>0</v>
          </cell>
          <cell r="CD260">
            <v>0</v>
          </cell>
          <cell r="CE260">
            <v>0</v>
          </cell>
          <cell r="CF260">
            <v>0</v>
          </cell>
          <cell r="CI260">
            <v>0</v>
          </cell>
          <cell r="CJ260">
            <v>0</v>
          </cell>
          <cell r="CK260">
            <v>0</v>
          </cell>
          <cell r="CV260">
            <v>2.8409398017833084E-3</v>
          </cell>
          <cell r="DG260">
            <v>123590538</v>
          </cell>
          <cell r="DR260">
            <v>44237044.530000061</v>
          </cell>
          <cell r="EC260">
            <v>2.7938244815651077</v>
          </cell>
          <cell r="EN260">
            <v>2.4095909012463064E-2</v>
          </cell>
        </row>
        <row r="261">
          <cell r="B261">
            <v>38105</v>
          </cell>
          <cell r="C261" t="str">
            <v>Isothermal Community College</v>
          </cell>
          <cell r="D261">
            <v>5.9904529846460555E-4</v>
          </cell>
          <cell r="E261">
            <v>1036488.0451369653</v>
          </cell>
          <cell r="F261">
            <v>808173.49891024269</v>
          </cell>
          <cell r="G261">
            <v>17810</v>
          </cell>
          <cell r="H261">
            <v>-289216.99443206302</v>
          </cell>
          <cell r="I261">
            <v>-11968.344923644188</v>
          </cell>
          <cell r="J261">
            <v>874650.90404336224</v>
          </cell>
          <cell r="K261">
            <v>0</v>
          </cell>
          <cell r="L261">
            <v>-45955.610494594024</v>
          </cell>
          <cell r="M261">
            <v>8247.0636097289716</v>
          </cell>
          <cell r="N261">
            <v>310.89252899716098</v>
          </cell>
          <cell r="O261">
            <v>-140.30239935339526</v>
          </cell>
          <cell r="P261">
            <v>0</v>
          </cell>
          <cell r="Q261">
            <v>0</v>
          </cell>
          <cell r="R261">
            <v>0</v>
          </cell>
          <cell r="S261">
            <v>2398399.1519796415</v>
          </cell>
          <cell r="T261">
            <v>90615</v>
          </cell>
          <cell r="U261">
            <v>4373254.5202168105</v>
          </cell>
          <cell r="V261">
            <v>32988.254438915887</v>
          </cell>
          <cell r="W261">
            <v>0</v>
          </cell>
          <cell r="X261">
            <v>4496857.7746557267</v>
          </cell>
          <cell r="Y261">
            <v>1565.1199999998789</v>
          </cell>
          <cell r="Z261">
            <v>0</v>
          </cell>
          <cell r="AA261">
            <v>0</v>
          </cell>
          <cell r="AB261">
            <v>59841.724618220935</v>
          </cell>
          <cell r="AC261">
            <v>61406.844618220814</v>
          </cell>
          <cell r="AD261" t="str">
            <v>N/A</v>
          </cell>
          <cell r="AE261">
            <v>888740</v>
          </cell>
          <cell r="AF261">
            <v>888740</v>
          </cell>
          <cell r="AG261">
            <v>888740</v>
          </cell>
          <cell r="AH261">
            <v>888740</v>
          </cell>
          <cell r="AI261">
            <v>880493</v>
          </cell>
          <cell r="AJ261">
            <v>0</v>
          </cell>
          <cell r="AK261">
            <v>4435453</v>
          </cell>
          <cell r="AL261">
            <v>19752305</v>
          </cell>
          <cell r="AM261">
            <v>2398399.1519796415</v>
          </cell>
          <cell r="AN261">
            <v>-525648.88000000012</v>
          </cell>
          <cell r="AO261">
            <v>4346401.050037506</v>
          </cell>
          <cell r="AP261">
            <v>0</v>
          </cell>
          <cell r="AQ261">
            <v>89049.880000000121</v>
          </cell>
          <cell r="AR261">
            <v>0</v>
          </cell>
          <cell r="AS261">
            <v>0</v>
          </cell>
          <cell r="AT261">
            <v>26060506.202017147</v>
          </cell>
          <cell r="AU261">
            <v>5.9576555276577038E-4</v>
          </cell>
          <cell r="AV261">
            <v>0</v>
          </cell>
          <cell r="AW261">
            <v>0</v>
          </cell>
          <cell r="AY261">
            <v>0</v>
          </cell>
          <cell r="AZ261">
            <v>0</v>
          </cell>
          <cell r="BA261">
            <v>0</v>
          </cell>
          <cell r="BB261">
            <v>0</v>
          </cell>
          <cell r="BC261">
            <v>0</v>
          </cell>
          <cell r="BD261">
            <v>0</v>
          </cell>
          <cell r="BE261">
            <v>0</v>
          </cell>
          <cell r="BF261">
            <v>0</v>
          </cell>
          <cell r="BG261">
            <v>0</v>
          </cell>
          <cell r="BH261">
            <v>0</v>
          </cell>
          <cell r="BJ261">
            <v>0</v>
          </cell>
          <cell r="BL261">
            <v>0</v>
          </cell>
          <cell r="BM261">
            <v>0</v>
          </cell>
          <cell r="BN261">
            <v>0</v>
          </cell>
          <cell r="BO261">
            <v>0</v>
          </cell>
          <cell r="BQ261">
            <v>0</v>
          </cell>
          <cell r="BR261">
            <v>0</v>
          </cell>
          <cell r="BS261">
            <v>0</v>
          </cell>
          <cell r="BT261">
            <v>0</v>
          </cell>
          <cell r="CB261">
            <v>0</v>
          </cell>
          <cell r="CC261">
            <v>0</v>
          </cell>
          <cell r="CD261">
            <v>0</v>
          </cell>
          <cell r="CE261">
            <v>0</v>
          </cell>
          <cell r="CF261">
            <v>0</v>
          </cell>
          <cell r="CI261">
            <v>0</v>
          </cell>
          <cell r="CJ261">
            <v>0</v>
          </cell>
          <cell r="CK261">
            <v>0</v>
          </cell>
          <cell r="CV261">
            <v>5.9904529846460555E-4</v>
          </cell>
          <cell r="DG261">
            <v>26060507</v>
          </cell>
          <cell r="DR261">
            <v>9339358.4699999988</v>
          </cell>
          <cell r="EC261">
            <v>2.7903958375419338</v>
          </cell>
          <cell r="EN261">
            <v>2.4095909012463064E-2</v>
          </cell>
        </row>
        <row r="262">
          <cell r="B262">
            <v>38200</v>
          </cell>
          <cell r="C262" t="str">
            <v>Sampson County Schools</v>
          </cell>
          <cell r="D262">
            <v>2.7972368238497903E-3</v>
          </cell>
          <cell r="E262">
            <v>4839871.9341731174</v>
          </cell>
          <cell r="F262">
            <v>3773759.1414296515</v>
          </cell>
          <cell r="G262">
            <v>-174241</v>
          </cell>
          <cell r="H262">
            <v>-1350496.2462472718</v>
          </cell>
          <cell r="I262">
            <v>-55886.082783322745</v>
          </cell>
          <cell r="J262">
            <v>4084174.8079392686</v>
          </cell>
          <cell r="K262">
            <v>0</v>
          </cell>
          <cell r="L262">
            <v>-214589.32449258098</v>
          </cell>
          <cell r="M262">
            <v>38509.591973917275</v>
          </cell>
          <cell r="N262">
            <v>1451.7099668415642</v>
          </cell>
          <cell r="O262">
            <v>-655.14083651385943</v>
          </cell>
          <cell r="P262">
            <v>0</v>
          </cell>
          <cell r="Q262">
            <v>0</v>
          </cell>
          <cell r="R262">
            <v>0</v>
          </cell>
          <cell r="S262">
            <v>10941899.391123107</v>
          </cell>
          <cell r="T262">
            <v>0</v>
          </cell>
          <cell r="U262">
            <v>20420874.039696343</v>
          </cell>
          <cell r="V262">
            <v>154038.3678956691</v>
          </cell>
          <cell r="W262">
            <v>0</v>
          </cell>
          <cell r="X262">
            <v>20574912.407592013</v>
          </cell>
          <cell r="Y262">
            <v>871208.10000000009</v>
          </cell>
          <cell r="Z262">
            <v>0</v>
          </cell>
          <cell r="AA262">
            <v>0</v>
          </cell>
          <cell r="AB262">
            <v>279430.41391661373</v>
          </cell>
          <cell r="AC262">
            <v>1150638.5139166138</v>
          </cell>
          <cell r="AD262" t="str">
            <v>N/A</v>
          </cell>
          <cell r="AE262">
            <v>3892557</v>
          </cell>
          <cell r="AF262">
            <v>3892556</v>
          </cell>
          <cell r="AG262">
            <v>3892556</v>
          </cell>
          <cell r="AH262">
            <v>3892556</v>
          </cell>
          <cell r="AI262">
            <v>3854047</v>
          </cell>
          <cell r="AJ262">
            <v>0</v>
          </cell>
          <cell r="AK262">
            <v>19424272</v>
          </cell>
          <cell r="AL262">
            <v>93717867</v>
          </cell>
          <cell r="AM262">
            <v>10941899.391123107</v>
          </cell>
          <cell r="AN262">
            <v>-2394730.9</v>
          </cell>
          <cell r="AO262">
            <v>20295481.9936754</v>
          </cell>
          <cell r="AP262">
            <v>0</v>
          </cell>
          <cell r="AQ262">
            <v>-871208.10000000009</v>
          </cell>
          <cell r="AR262">
            <v>0</v>
          </cell>
          <cell r="AS262">
            <v>0</v>
          </cell>
          <cell r="AT262">
            <v>121689309.3847985</v>
          </cell>
          <cell r="AU262">
            <v>2.8267018549442331E-3</v>
          </cell>
          <cell r="AV262">
            <v>0</v>
          </cell>
          <cell r="AW262">
            <v>0</v>
          </cell>
          <cell r="AY262">
            <v>0</v>
          </cell>
          <cell r="AZ262">
            <v>0</v>
          </cell>
          <cell r="BA262">
            <v>0</v>
          </cell>
          <cell r="BB262">
            <v>0</v>
          </cell>
          <cell r="BC262">
            <v>0</v>
          </cell>
          <cell r="BD262">
            <v>0</v>
          </cell>
          <cell r="BE262">
            <v>0</v>
          </cell>
          <cell r="BF262">
            <v>0</v>
          </cell>
          <cell r="BG262">
            <v>0</v>
          </cell>
          <cell r="BH262">
            <v>0</v>
          </cell>
          <cell r="BJ262">
            <v>0</v>
          </cell>
          <cell r="BL262">
            <v>0</v>
          </cell>
          <cell r="BM262">
            <v>0</v>
          </cell>
          <cell r="BN262">
            <v>0</v>
          </cell>
          <cell r="BO262">
            <v>0</v>
          </cell>
          <cell r="BQ262">
            <v>0</v>
          </cell>
          <cell r="BR262">
            <v>0</v>
          </cell>
          <cell r="BS262">
            <v>0</v>
          </cell>
          <cell r="BT262">
            <v>0</v>
          </cell>
          <cell r="CB262">
            <v>0</v>
          </cell>
          <cell r="CC262">
            <v>0</v>
          </cell>
          <cell r="CD262">
            <v>0</v>
          </cell>
          <cell r="CE262">
            <v>0</v>
          </cell>
          <cell r="CF262">
            <v>0</v>
          </cell>
          <cell r="CI262">
            <v>0</v>
          </cell>
          <cell r="CJ262">
            <v>0</v>
          </cell>
          <cell r="CK262">
            <v>0</v>
          </cell>
          <cell r="CV262">
            <v>2.7972368238497903E-3</v>
          </cell>
          <cell r="DG262">
            <v>121689310</v>
          </cell>
          <cell r="DR262">
            <v>41825389.139999889</v>
          </cell>
          <cell r="EC262">
            <v>2.9094603182931755</v>
          </cell>
          <cell r="EN262">
            <v>2.4095909012463064E-2</v>
          </cell>
        </row>
        <row r="263">
          <cell r="B263">
            <v>38205</v>
          </cell>
          <cell r="C263" t="str">
            <v>Sampson Community College</v>
          </cell>
          <cell r="D263">
            <v>3.8287703535390649E-4</v>
          </cell>
          <cell r="E263">
            <v>662466.54621771467</v>
          </cell>
          <cell r="F263">
            <v>516540.35864640033</v>
          </cell>
          <cell r="G263">
            <v>-92956</v>
          </cell>
          <cell r="H263">
            <v>-184851.70601611573</v>
          </cell>
          <cell r="I263">
            <v>-7649.5123727752843</v>
          </cell>
          <cell r="J263">
            <v>559029.08505928819</v>
          </cell>
          <cell r="K263">
            <v>0</v>
          </cell>
          <cell r="L263">
            <v>-29372.316165650784</v>
          </cell>
          <cell r="M263">
            <v>5271.0726106377779</v>
          </cell>
          <cell r="N263">
            <v>198.70552380797039</v>
          </cell>
          <cell r="O263">
            <v>-89.673630450238434</v>
          </cell>
          <cell r="P263">
            <v>0</v>
          </cell>
          <cell r="Q263">
            <v>0</v>
          </cell>
          <cell r="R263">
            <v>0</v>
          </cell>
          <cell r="S263">
            <v>1428586.5598728573</v>
          </cell>
          <cell r="T263">
            <v>38065.229999999981</v>
          </cell>
          <cell r="U263">
            <v>2795145.4252964412</v>
          </cell>
          <cell r="V263">
            <v>21084.290442551111</v>
          </cell>
          <cell r="W263">
            <v>0</v>
          </cell>
          <cell r="X263">
            <v>2854294.9457389922</v>
          </cell>
          <cell r="Y263">
            <v>502844</v>
          </cell>
          <cell r="Z263">
            <v>0</v>
          </cell>
          <cell r="AA263">
            <v>0</v>
          </cell>
          <cell r="AB263">
            <v>38247.561863876421</v>
          </cell>
          <cell r="AC263">
            <v>541091.56186387641</v>
          </cell>
          <cell r="AD263" t="str">
            <v>N/A</v>
          </cell>
          <cell r="AE263">
            <v>463695</v>
          </cell>
          <cell r="AF263">
            <v>463695</v>
          </cell>
          <cell r="AG263">
            <v>463695</v>
          </cell>
          <cell r="AH263">
            <v>463695</v>
          </cell>
          <cell r="AI263">
            <v>458424</v>
          </cell>
          <cell r="AJ263">
            <v>0</v>
          </cell>
          <cell r="AK263">
            <v>2313204</v>
          </cell>
          <cell r="AL263">
            <v>13297507</v>
          </cell>
          <cell r="AM263">
            <v>1428586.5598728573</v>
          </cell>
          <cell r="AN263">
            <v>-382844.23</v>
          </cell>
          <cell r="AO263">
            <v>2777982.1538751158</v>
          </cell>
          <cell r="AP263">
            <v>0</v>
          </cell>
          <cell r="AQ263">
            <v>-464778.77</v>
          </cell>
          <cell r="AR263">
            <v>0</v>
          </cell>
          <cell r="AS263">
            <v>0</v>
          </cell>
          <cell r="AT263">
            <v>16656452.713747974</v>
          </cell>
          <cell r="AU263">
            <v>4.0107707127556559E-4</v>
          </cell>
          <cell r="AV263">
            <v>0</v>
          </cell>
          <cell r="AW263">
            <v>0</v>
          </cell>
          <cell r="AY263">
            <v>0</v>
          </cell>
          <cell r="AZ263">
            <v>0</v>
          </cell>
          <cell r="BA263">
            <v>0</v>
          </cell>
          <cell r="BB263">
            <v>0</v>
          </cell>
          <cell r="BC263">
            <v>0</v>
          </cell>
          <cell r="BD263">
            <v>0</v>
          </cell>
          <cell r="BE263">
            <v>0</v>
          </cell>
          <cell r="BF263">
            <v>0</v>
          </cell>
          <cell r="BG263">
            <v>0</v>
          </cell>
          <cell r="BH263">
            <v>0</v>
          </cell>
          <cell r="BJ263">
            <v>0</v>
          </cell>
          <cell r="BL263">
            <v>0</v>
          </cell>
          <cell r="BM263">
            <v>0</v>
          </cell>
          <cell r="BN263">
            <v>0</v>
          </cell>
          <cell r="BO263">
            <v>0</v>
          </cell>
          <cell r="BQ263">
            <v>0</v>
          </cell>
          <cell r="BR263">
            <v>0</v>
          </cell>
          <cell r="BS263">
            <v>0</v>
          </cell>
          <cell r="BT263">
            <v>0</v>
          </cell>
          <cell r="CB263">
            <v>0</v>
          </cell>
          <cell r="CC263">
            <v>0</v>
          </cell>
          <cell r="CD263">
            <v>0</v>
          </cell>
          <cell r="CE263">
            <v>0</v>
          </cell>
          <cell r="CF263">
            <v>0</v>
          </cell>
          <cell r="CI263">
            <v>0</v>
          </cell>
          <cell r="CJ263">
            <v>0</v>
          </cell>
          <cell r="CK263">
            <v>0</v>
          </cell>
          <cell r="CV263">
            <v>3.8287703535390649E-4</v>
          </cell>
          <cell r="DG263">
            <v>16656452</v>
          </cell>
          <cell r="DR263">
            <v>6738604.7900000019</v>
          </cell>
          <cell r="EC263">
            <v>2.4717953521651763</v>
          </cell>
          <cell r="EN263">
            <v>2.4095909012463064E-2</v>
          </cell>
        </row>
        <row r="264">
          <cell r="B264">
            <v>38210</v>
          </cell>
          <cell r="C264" t="str">
            <v>Clinton City Schools</v>
          </cell>
          <cell r="D264">
            <v>1.0224584275585027E-3</v>
          </cell>
          <cell r="E264">
            <v>1769091.485285305</v>
          </cell>
          <cell r="F264">
            <v>1379401.2022265177</v>
          </cell>
          <cell r="G264">
            <v>187969</v>
          </cell>
          <cell r="H264">
            <v>-493639.38604999409</v>
          </cell>
          <cell r="I264">
            <v>-20427.729192552961</v>
          </cell>
          <cell r="J264">
            <v>1492865.7153356127</v>
          </cell>
          <cell r="K264">
            <v>0</v>
          </cell>
          <cell r="L264">
            <v>-78437.642969949593</v>
          </cell>
          <cell r="M264">
            <v>14076.197095596857</v>
          </cell>
          <cell r="N264">
            <v>530.63547473431174</v>
          </cell>
          <cell r="O264">
            <v>-239.46998831847691</v>
          </cell>
          <cell r="P264">
            <v>0</v>
          </cell>
          <cell r="Q264">
            <v>0</v>
          </cell>
          <cell r="R264">
            <v>0</v>
          </cell>
          <cell r="S264">
            <v>4251190.0072169518</v>
          </cell>
          <cell r="T264">
            <v>968497</v>
          </cell>
          <cell r="U264">
            <v>7464328.5766780628</v>
          </cell>
          <cell r="V264">
            <v>56304.788382387429</v>
          </cell>
          <cell r="W264">
            <v>0</v>
          </cell>
          <cell r="X264">
            <v>8489130.3650604505</v>
          </cell>
          <cell r="Y264">
            <v>28657.920000000275</v>
          </cell>
          <cell r="Z264">
            <v>0</v>
          </cell>
          <cell r="AA264">
            <v>0</v>
          </cell>
          <cell r="AB264">
            <v>102138.6459627648</v>
          </cell>
          <cell r="AC264">
            <v>130796.56596276507</v>
          </cell>
          <cell r="AD264" t="str">
            <v>N/A</v>
          </cell>
          <cell r="AE264">
            <v>1674481</v>
          </cell>
          <cell r="AF264">
            <v>1674483</v>
          </cell>
          <cell r="AG264">
            <v>1674483</v>
          </cell>
          <cell r="AH264">
            <v>1674483</v>
          </cell>
          <cell r="AI264">
            <v>1660407</v>
          </cell>
          <cell r="AJ264">
            <v>0</v>
          </cell>
          <cell r="AK264">
            <v>8358337</v>
          </cell>
          <cell r="AL264">
            <v>32736894</v>
          </cell>
          <cell r="AM264">
            <v>4251190.0072169518</v>
          </cell>
          <cell r="AN264">
            <v>-866001.07999999973</v>
          </cell>
          <cell r="AO264">
            <v>7418494.719097686</v>
          </cell>
          <cell r="AP264">
            <v>0</v>
          </cell>
          <cell r="AQ264">
            <v>939839.07999999973</v>
          </cell>
          <cell r="AR264">
            <v>0</v>
          </cell>
          <cell r="AS264">
            <v>0</v>
          </cell>
          <cell r="AT264">
            <v>44480416.726314642</v>
          </cell>
          <cell r="AU264">
            <v>9.8740444543833931E-4</v>
          </cell>
          <cell r="AV264">
            <v>0</v>
          </cell>
          <cell r="AW264">
            <v>0</v>
          </cell>
          <cell r="AY264">
            <v>0</v>
          </cell>
          <cell r="AZ264">
            <v>0</v>
          </cell>
          <cell r="BA264">
            <v>0</v>
          </cell>
          <cell r="BB264">
            <v>0</v>
          </cell>
          <cell r="BC264">
            <v>0</v>
          </cell>
          <cell r="BD264">
            <v>0</v>
          </cell>
          <cell r="BE264">
            <v>0</v>
          </cell>
          <cell r="BF264">
            <v>0</v>
          </cell>
          <cell r="BG264">
            <v>0</v>
          </cell>
          <cell r="BH264">
            <v>0</v>
          </cell>
          <cell r="BJ264">
            <v>0</v>
          </cell>
          <cell r="BL264">
            <v>0</v>
          </cell>
          <cell r="BM264">
            <v>0</v>
          </cell>
          <cell r="BN264">
            <v>0</v>
          </cell>
          <cell r="BO264">
            <v>0</v>
          </cell>
          <cell r="BQ264">
            <v>0</v>
          </cell>
          <cell r="BR264">
            <v>0</v>
          </cell>
          <cell r="BS264">
            <v>0</v>
          </cell>
          <cell r="BT264">
            <v>0</v>
          </cell>
          <cell r="CB264">
            <v>0</v>
          </cell>
          <cell r="CC264">
            <v>0</v>
          </cell>
          <cell r="CD264">
            <v>0</v>
          </cell>
          <cell r="CE264">
            <v>0</v>
          </cell>
          <cell r="CF264">
            <v>0</v>
          </cell>
          <cell r="CI264">
            <v>0</v>
          </cell>
          <cell r="CJ264">
            <v>0</v>
          </cell>
          <cell r="CK264">
            <v>0</v>
          </cell>
          <cell r="CV264">
            <v>1.0224584275585027E-3</v>
          </cell>
          <cell r="DG264">
            <v>44480417</v>
          </cell>
          <cell r="DR264">
            <v>15077834.040000003</v>
          </cell>
          <cell r="EC264">
            <v>2.9500534945535182</v>
          </cell>
          <cell r="EN264">
            <v>2.4095909012463064E-2</v>
          </cell>
        </row>
        <row r="265">
          <cell r="B265">
            <v>38300</v>
          </cell>
          <cell r="C265" t="str">
            <v>Scotland County Schools</v>
          </cell>
          <cell r="D265">
            <v>2.1694012522345762E-3</v>
          </cell>
          <cell r="E265">
            <v>3753570.0034863991</v>
          </cell>
          <cell r="F265">
            <v>2926744.6135582514</v>
          </cell>
          <cell r="G265">
            <v>-143954</v>
          </cell>
          <cell r="H265">
            <v>-1047379.407695175</v>
          </cell>
          <cell r="I265">
            <v>-43342.536083793537</v>
          </cell>
          <cell r="J265">
            <v>3167487.9535205727</v>
          </cell>
          <cell r="K265">
            <v>0</v>
          </cell>
          <cell r="L265">
            <v>-166425.07538195333</v>
          </cell>
          <cell r="M265">
            <v>29866.172337986107</v>
          </cell>
          <cell r="N265">
            <v>1125.8758618847003</v>
          </cell>
          <cell r="O265">
            <v>-508.09546728586008</v>
          </cell>
          <cell r="P265">
            <v>0</v>
          </cell>
          <cell r="Q265">
            <v>0</v>
          </cell>
          <cell r="R265">
            <v>0</v>
          </cell>
          <cell r="S265">
            <v>8477185.5041368864</v>
          </cell>
          <cell r="T265">
            <v>0</v>
          </cell>
          <cell r="U265">
            <v>15837439.767602863</v>
          </cell>
          <cell r="V265">
            <v>119464.68935194443</v>
          </cell>
          <cell r="W265">
            <v>0</v>
          </cell>
          <cell r="X265">
            <v>15956904.456954807</v>
          </cell>
          <cell r="Y265">
            <v>719770.33000000007</v>
          </cell>
          <cell r="Z265">
            <v>0</v>
          </cell>
          <cell r="AA265">
            <v>0</v>
          </cell>
          <cell r="AB265">
            <v>216712.68041896768</v>
          </cell>
          <cell r="AC265">
            <v>936483.01041896781</v>
          </cell>
          <cell r="AD265" t="str">
            <v>N/A</v>
          </cell>
          <cell r="AE265">
            <v>3010058</v>
          </cell>
          <cell r="AF265">
            <v>3010057</v>
          </cell>
          <cell r="AG265">
            <v>3010057</v>
          </cell>
          <cell r="AH265">
            <v>3010057</v>
          </cell>
          <cell r="AI265">
            <v>2980190</v>
          </cell>
          <cell r="AJ265">
            <v>0</v>
          </cell>
          <cell r="AK265">
            <v>15020419</v>
          </cell>
          <cell r="AL265">
            <v>72778345</v>
          </cell>
          <cell r="AM265">
            <v>8477185.5041368864</v>
          </cell>
          <cell r="AN265">
            <v>-1899623.67</v>
          </cell>
          <cell r="AO265">
            <v>15740191.776535841</v>
          </cell>
          <cell r="AP265">
            <v>0</v>
          </cell>
          <cell r="AQ265">
            <v>-719770.33000000007</v>
          </cell>
          <cell r="AR265">
            <v>0</v>
          </cell>
          <cell r="AS265">
            <v>0</v>
          </cell>
          <cell r="AT265">
            <v>94376328.280672729</v>
          </cell>
          <cell r="AU265">
            <v>2.1951276669120081E-3</v>
          </cell>
          <cell r="AV265">
            <v>0</v>
          </cell>
          <cell r="AW265">
            <v>0</v>
          </cell>
          <cell r="AY265">
            <v>0</v>
          </cell>
          <cell r="AZ265">
            <v>0</v>
          </cell>
          <cell r="BA265">
            <v>0</v>
          </cell>
          <cell r="BB265">
            <v>0</v>
          </cell>
          <cell r="BC265">
            <v>0</v>
          </cell>
          <cell r="BD265">
            <v>0</v>
          </cell>
          <cell r="BE265">
            <v>0</v>
          </cell>
          <cell r="BF265">
            <v>0</v>
          </cell>
          <cell r="BG265">
            <v>0</v>
          </cell>
          <cell r="BH265">
            <v>0</v>
          </cell>
          <cell r="BJ265">
            <v>0</v>
          </cell>
          <cell r="BL265">
            <v>0</v>
          </cell>
          <cell r="BM265">
            <v>0</v>
          </cell>
          <cell r="BN265">
            <v>0</v>
          </cell>
          <cell r="BO265">
            <v>0</v>
          </cell>
          <cell r="BQ265">
            <v>0</v>
          </cell>
          <cell r="BR265">
            <v>0</v>
          </cell>
          <cell r="BS265">
            <v>0</v>
          </cell>
          <cell r="BT265">
            <v>0</v>
          </cell>
          <cell r="CB265">
            <v>0</v>
          </cell>
          <cell r="CC265">
            <v>0</v>
          </cell>
          <cell r="CD265">
            <v>0</v>
          </cell>
          <cell r="CE265">
            <v>0</v>
          </cell>
          <cell r="CF265">
            <v>0</v>
          </cell>
          <cell r="CI265">
            <v>0</v>
          </cell>
          <cell r="CJ265">
            <v>0</v>
          </cell>
          <cell r="CK265">
            <v>0</v>
          </cell>
          <cell r="CV265">
            <v>2.1694012522345762E-3</v>
          </cell>
          <cell r="DG265">
            <v>94376328</v>
          </cell>
          <cell r="DR265">
            <v>32869761.020000018</v>
          </cell>
          <cell r="EC265">
            <v>2.8712203883251703</v>
          </cell>
          <cell r="EN265">
            <v>2.4095909012463064E-2</v>
          </cell>
        </row>
        <row r="266">
          <cell r="B266">
            <v>38400</v>
          </cell>
          <cell r="C266" t="str">
            <v>Stanly County Schools</v>
          </cell>
          <cell r="D266">
            <v>2.6936973243421778E-3</v>
          </cell>
          <cell r="E266">
            <v>4660724.4578233873</v>
          </cell>
          <cell r="F266">
            <v>3634073.7456725114</v>
          </cell>
          <cell r="G266">
            <v>-562641</v>
          </cell>
          <cell r="H266">
            <v>-1300507.7346449876</v>
          </cell>
          <cell r="I266">
            <v>-53817.463854996728</v>
          </cell>
          <cell r="J266">
            <v>3932999.4008696456</v>
          </cell>
          <cell r="K266">
            <v>0</v>
          </cell>
          <cell r="L266">
            <v>-206646.31764089098</v>
          </cell>
          <cell r="M266">
            <v>37084.1624767701</v>
          </cell>
          <cell r="N266">
            <v>1397.9750373871034</v>
          </cell>
          <cell r="O266">
            <v>-630.89085033418144</v>
          </cell>
          <cell r="P266">
            <v>0</v>
          </cell>
          <cell r="Q266">
            <v>0</v>
          </cell>
          <cell r="R266">
            <v>0</v>
          </cell>
          <cell r="S266">
            <v>10142036.334888494</v>
          </cell>
          <cell r="T266">
            <v>0</v>
          </cell>
          <cell r="U266">
            <v>19664997.00434823</v>
          </cell>
          <cell r="V266">
            <v>148336.6499070804</v>
          </cell>
          <cell r="W266">
            <v>0</v>
          </cell>
          <cell r="X266">
            <v>19813333.654255308</v>
          </cell>
          <cell r="Y266">
            <v>2813203.05</v>
          </cell>
          <cell r="Z266">
            <v>0</v>
          </cell>
          <cell r="AA266">
            <v>0</v>
          </cell>
          <cell r="AB266">
            <v>269087.3192749836</v>
          </cell>
          <cell r="AC266">
            <v>3082290.3692749832</v>
          </cell>
          <cell r="AD266" t="str">
            <v>N/A</v>
          </cell>
          <cell r="AE266">
            <v>3353625</v>
          </cell>
          <cell r="AF266">
            <v>3353625</v>
          </cell>
          <cell r="AG266">
            <v>3353625</v>
          </cell>
          <cell r="AH266">
            <v>3353625</v>
          </cell>
          <cell r="AI266">
            <v>3316541</v>
          </cell>
          <cell r="AJ266">
            <v>0</v>
          </cell>
          <cell r="AK266">
            <v>16731041</v>
          </cell>
          <cell r="AL266">
            <v>92650101</v>
          </cell>
          <cell r="AM266">
            <v>10142036.334888494</v>
          </cell>
          <cell r="AN266">
            <v>-2338191.9500000002</v>
          </cell>
          <cell r="AO266">
            <v>19544246.334980328</v>
          </cell>
          <cell r="AP266">
            <v>0</v>
          </cell>
          <cell r="AQ266">
            <v>-2813203.05</v>
          </cell>
          <cell r="AR266">
            <v>0</v>
          </cell>
          <cell r="AS266">
            <v>0</v>
          </cell>
          <cell r="AT266">
            <v>117184988.66986881</v>
          </cell>
          <cell r="AU266">
            <v>2.7944960664973819E-3</v>
          </cell>
          <cell r="AV266">
            <v>0</v>
          </cell>
          <cell r="AW266">
            <v>0</v>
          </cell>
          <cell r="AY266">
            <v>0</v>
          </cell>
          <cell r="AZ266">
            <v>0</v>
          </cell>
          <cell r="BA266">
            <v>0</v>
          </cell>
          <cell r="BB266">
            <v>0</v>
          </cell>
          <cell r="BC266">
            <v>0</v>
          </cell>
          <cell r="BD266">
            <v>0</v>
          </cell>
          <cell r="BE266">
            <v>0</v>
          </cell>
          <cell r="BF266">
            <v>0</v>
          </cell>
          <cell r="BG266">
            <v>0</v>
          </cell>
          <cell r="BH266">
            <v>0</v>
          </cell>
          <cell r="BJ266">
            <v>0</v>
          </cell>
          <cell r="BL266">
            <v>0</v>
          </cell>
          <cell r="BM266">
            <v>0</v>
          </cell>
          <cell r="BN266">
            <v>0</v>
          </cell>
          <cell r="BO266">
            <v>0</v>
          </cell>
          <cell r="BQ266">
            <v>0</v>
          </cell>
          <cell r="BR266">
            <v>0</v>
          </cell>
          <cell r="BS266">
            <v>0</v>
          </cell>
          <cell r="BT266">
            <v>0</v>
          </cell>
          <cell r="CB266">
            <v>0</v>
          </cell>
          <cell r="CC266">
            <v>0</v>
          </cell>
          <cell r="CD266">
            <v>0</v>
          </cell>
          <cell r="CE266">
            <v>0</v>
          </cell>
          <cell r="CF266">
            <v>0</v>
          </cell>
          <cell r="CI266">
            <v>0</v>
          </cell>
          <cell r="CJ266">
            <v>0</v>
          </cell>
          <cell r="CK266">
            <v>0</v>
          </cell>
          <cell r="CV266">
            <v>2.6936973243421778E-3</v>
          </cell>
          <cell r="DG266">
            <v>117184989</v>
          </cell>
          <cell r="DR266">
            <v>40948904.550000034</v>
          </cell>
          <cell r="EC266">
            <v>2.8617368471215894</v>
          </cell>
          <cell r="EN266">
            <v>2.4095909012463064E-2</v>
          </cell>
        </row>
        <row r="267">
          <cell r="B267">
            <v>38402</v>
          </cell>
          <cell r="C267" t="str">
            <v>Gray Stone Day School</v>
          </cell>
          <cell r="D267">
            <v>9.6334000593835368E-5</v>
          </cell>
          <cell r="E267">
            <v>166680.28312991964</v>
          </cell>
          <cell r="F267">
            <v>129964.43928946275</v>
          </cell>
          <cell r="G267">
            <v>22379</v>
          </cell>
          <cell r="H267">
            <v>-46509.721693461921</v>
          </cell>
          <cell r="I267">
            <v>-1924.6600381251269</v>
          </cell>
          <cell r="J267">
            <v>140654.84016896979</v>
          </cell>
          <cell r="K267">
            <v>0</v>
          </cell>
          <cell r="L267">
            <v>-7390.2388016786363</v>
          </cell>
          <cell r="M267">
            <v>1326.2313095742793</v>
          </cell>
          <cell r="N267">
            <v>49.995419628188678</v>
          </cell>
          <cell r="O267">
            <v>-22.562386279082183</v>
          </cell>
          <cell r="P267">
            <v>0</v>
          </cell>
          <cell r="Q267">
            <v>0</v>
          </cell>
          <cell r="R267">
            <v>0</v>
          </cell>
          <cell r="S267">
            <v>405207.60639800981</v>
          </cell>
          <cell r="T267">
            <v>117947</v>
          </cell>
          <cell r="U267">
            <v>703274.20084484888</v>
          </cell>
          <cell r="V267">
            <v>5304.9252382971172</v>
          </cell>
          <cell r="W267">
            <v>0</v>
          </cell>
          <cell r="X267">
            <v>826526.12608314597</v>
          </cell>
          <cell r="Y267">
            <v>6047.3400000000111</v>
          </cell>
          <cell r="Z267">
            <v>0</v>
          </cell>
          <cell r="AA267">
            <v>0</v>
          </cell>
          <cell r="AB267">
            <v>9623.3001906256341</v>
          </cell>
          <cell r="AC267">
            <v>15670.640190625645</v>
          </cell>
          <cell r="AD267" t="str">
            <v>N/A</v>
          </cell>
          <cell r="AE267">
            <v>162436</v>
          </cell>
          <cell r="AF267">
            <v>162436</v>
          </cell>
          <cell r="AG267">
            <v>162436</v>
          </cell>
          <cell r="AH267">
            <v>162436</v>
          </cell>
          <cell r="AI267">
            <v>161110</v>
          </cell>
          <cell r="AJ267">
            <v>0</v>
          </cell>
          <cell r="AK267">
            <v>810854</v>
          </cell>
          <cell r="AL267">
            <v>3052369</v>
          </cell>
          <cell r="AM267">
            <v>405207.60639800981</v>
          </cell>
          <cell r="AN267">
            <v>-77575.659999999989</v>
          </cell>
          <cell r="AO267">
            <v>698955.82589252049</v>
          </cell>
          <cell r="AP267">
            <v>0</v>
          </cell>
          <cell r="AQ267">
            <v>111899.65999999999</v>
          </cell>
          <cell r="AR267">
            <v>0</v>
          </cell>
          <cell r="AS267">
            <v>0</v>
          </cell>
          <cell r="AT267">
            <v>4190856.4322905303</v>
          </cell>
          <cell r="AU267">
            <v>9.2065003565337255E-5</v>
          </cell>
          <cell r="AV267">
            <v>0</v>
          </cell>
          <cell r="AW267">
            <v>0</v>
          </cell>
          <cell r="AY267">
            <v>0</v>
          </cell>
          <cell r="AZ267">
            <v>0</v>
          </cell>
          <cell r="BA267">
            <v>0</v>
          </cell>
          <cell r="BB267">
            <v>0</v>
          </cell>
          <cell r="BC267">
            <v>0</v>
          </cell>
          <cell r="BD267">
            <v>0</v>
          </cell>
          <cell r="BE267">
            <v>0</v>
          </cell>
          <cell r="BF267">
            <v>0</v>
          </cell>
          <cell r="BG267">
            <v>0</v>
          </cell>
          <cell r="BH267">
            <v>0</v>
          </cell>
          <cell r="BJ267">
            <v>0</v>
          </cell>
          <cell r="BL267">
            <v>0</v>
          </cell>
          <cell r="BM267">
            <v>0</v>
          </cell>
          <cell r="BN267">
            <v>0</v>
          </cell>
          <cell r="BO267">
            <v>0</v>
          </cell>
          <cell r="BQ267">
            <v>0</v>
          </cell>
          <cell r="BR267">
            <v>0</v>
          </cell>
          <cell r="BS267">
            <v>0</v>
          </cell>
          <cell r="BT267">
            <v>0</v>
          </cell>
          <cell r="CB267">
            <v>0</v>
          </cell>
          <cell r="CC267">
            <v>0</v>
          </cell>
          <cell r="CD267">
            <v>0</v>
          </cell>
          <cell r="CE267">
            <v>0</v>
          </cell>
          <cell r="CF267">
            <v>0</v>
          </cell>
          <cell r="CI267">
            <v>0</v>
          </cell>
          <cell r="CJ267">
            <v>0</v>
          </cell>
          <cell r="CK267">
            <v>0</v>
          </cell>
          <cell r="CV267">
            <v>9.6334000593835368E-5</v>
          </cell>
          <cell r="DG267">
            <v>4190856</v>
          </cell>
          <cell r="DR267">
            <v>1315384.7700000005</v>
          </cell>
          <cell r="EC267">
            <v>3.1860305026946589</v>
          </cell>
          <cell r="EN267">
            <v>2.4095909012463064E-2</v>
          </cell>
        </row>
        <row r="268">
          <cell r="B268">
            <v>38405</v>
          </cell>
          <cell r="C268" t="str">
            <v>Stanly Community College</v>
          </cell>
          <cell r="D268">
            <v>6.8747164768666325E-4</v>
          </cell>
          <cell r="E268">
            <v>1189486.2475745468</v>
          </cell>
          <cell r="F268">
            <v>927469.70610828954</v>
          </cell>
          <cell r="G268">
            <v>78725</v>
          </cell>
          <cell r="H268">
            <v>-331908.92944290856</v>
          </cell>
          <cell r="I268">
            <v>-13735.017745450388</v>
          </cell>
          <cell r="J268">
            <v>1003759.9822492345</v>
          </cell>
          <cell r="K268">
            <v>0</v>
          </cell>
          <cell r="L268">
            <v>-52739.215795767974</v>
          </cell>
          <cell r="M268">
            <v>9464.4301906529108</v>
          </cell>
          <cell r="N268">
            <v>356.78403571642451</v>
          </cell>
          <cell r="O268">
            <v>-161.01273460469341</v>
          </cell>
          <cell r="P268">
            <v>0</v>
          </cell>
          <cell r="Q268">
            <v>0</v>
          </cell>
          <cell r="R268">
            <v>0</v>
          </cell>
          <cell r="S268">
            <v>2810717.9744397085</v>
          </cell>
          <cell r="T268">
            <v>424570</v>
          </cell>
          <cell r="U268">
            <v>5018799.9112461722</v>
          </cell>
          <cell r="V268">
            <v>37857.720762611643</v>
          </cell>
          <cell r="W268">
            <v>0</v>
          </cell>
          <cell r="X268">
            <v>5481227.6320087835</v>
          </cell>
          <cell r="Y268">
            <v>30946.070000000065</v>
          </cell>
          <cell r="Z268">
            <v>0</v>
          </cell>
          <cell r="AA268">
            <v>0</v>
          </cell>
          <cell r="AB268">
            <v>68675.088727251947</v>
          </cell>
          <cell r="AC268">
            <v>99621.158727252012</v>
          </cell>
          <cell r="AD268" t="str">
            <v>N/A</v>
          </cell>
          <cell r="AE268">
            <v>1078214</v>
          </cell>
          <cell r="AF268">
            <v>1078214</v>
          </cell>
          <cell r="AG268">
            <v>1078214</v>
          </cell>
          <cell r="AH268">
            <v>1078214</v>
          </cell>
          <cell r="AI268">
            <v>1068750</v>
          </cell>
          <cell r="AJ268">
            <v>0</v>
          </cell>
          <cell r="AK268">
            <v>5381606</v>
          </cell>
          <cell r="AL268">
            <v>22283290</v>
          </cell>
          <cell r="AM268">
            <v>2810717.9744397085</v>
          </cell>
          <cell r="AN268">
            <v>-568260.92999999993</v>
          </cell>
          <cell r="AO268">
            <v>4987982.5432815319</v>
          </cell>
          <cell r="AP268">
            <v>0</v>
          </cell>
          <cell r="AQ268">
            <v>393623.92999999993</v>
          </cell>
          <cell r="AR268">
            <v>0</v>
          </cell>
          <cell r="AS268">
            <v>0</v>
          </cell>
          <cell r="AT268">
            <v>29907353.517721243</v>
          </cell>
          <cell r="AU268">
            <v>6.7210467655146164E-4</v>
          </cell>
          <cell r="AV268">
            <v>0</v>
          </cell>
          <cell r="AW268">
            <v>0</v>
          </cell>
          <cell r="AY268">
            <v>0</v>
          </cell>
          <cell r="AZ268">
            <v>0</v>
          </cell>
          <cell r="BA268">
            <v>0</v>
          </cell>
          <cell r="BB268">
            <v>0</v>
          </cell>
          <cell r="BC268">
            <v>0</v>
          </cell>
          <cell r="BD268">
            <v>0</v>
          </cell>
          <cell r="BE268">
            <v>0</v>
          </cell>
          <cell r="BF268">
            <v>0</v>
          </cell>
          <cell r="BG268">
            <v>0</v>
          </cell>
          <cell r="BH268">
            <v>0</v>
          </cell>
          <cell r="BJ268">
            <v>0</v>
          </cell>
          <cell r="BL268">
            <v>0</v>
          </cell>
          <cell r="BM268">
            <v>0</v>
          </cell>
          <cell r="BN268">
            <v>0</v>
          </cell>
          <cell r="BO268">
            <v>0</v>
          </cell>
          <cell r="BQ268">
            <v>0</v>
          </cell>
          <cell r="BR268">
            <v>0</v>
          </cell>
          <cell r="BS268">
            <v>0</v>
          </cell>
          <cell r="BT268">
            <v>0</v>
          </cell>
          <cell r="CB268">
            <v>0</v>
          </cell>
          <cell r="CC268">
            <v>0</v>
          </cell>
          <cell r="CD268">
            <v>0</v>
          </cell>
          <cell r="CE268">
            <v>0</v>
          </cell>
          <cell r="CF268">
            <v>0</v>
          </cell>
          <cell r="CI268">
            <v>0</v>
          </cell>
          <cell r="CJ268">
            <v>0</v>
          </cell>
          <cell r="CK268">
            <v>0</v>
          </cell>
          <cell r="CV268">
            <v>6.8747164768666325E-4</v>
          </cell>
          <cell r="DG268">
            <v>29907353</v>
          </cell>
          <cell r="DR268">
            <v>10006684.970000004</v>
          </cell>
          <cell r="EC268">
            <v>2.9887373380557203</v>
          </cell>
          <cell r="EN268">
            <v>2.4095909012463064E-2</v>
          </cell>
        </row>
        <row r="269">
          <cell r="B269">
            <v>38500</v>
          </cell>
          <cell r="C269" t="str">
            <v>Stokes County Schools</v>
          </cell>
          <cell r="D269">
            <v>2.1597062547939207E-3</v>
          </cell>
          <cell r="E269">
            <v>3736795.3973412067</v>
          </cell>
          <cell r="F269">
            <v>2913665.0684493547</v>
          </cell>
          <cell r="G269">
            <v>-456385</v>
          </cell>
          <cell r="H269">
            <v>-1042698.696523583</v>
          </cell>
          <cell r="I269">
            <v>-43148.839423956604</v>
          </cell>
          <cell r="J269">
            <v>3153332.5327236787</v>
          </cell>
          <cell r="K269">
            <v>0</v>
          </cell>
          <cell r="L269">
            <v>-165681.3260740616</v>
          </cell>
          <cell r="M269">
            <v>29732.70119516239</v>
          </cell>
          <cell r="N269">
            <v>1120.8443521129491</v>
          </cell>
          <cell r="O269">
            <v>-505.8248019352842</v>
          </cell>
          <cell r="P269">
            <v>0</v>
          </cell>
          <cell r="Q269">
            <v>0</v>
          </cell>
          <cell r="R269">
            <v>0</v>
          </cell>
          <cell r="S269">
            <v>8126226.8572379788</v>
          </cell>
          <cell r="T269">
            <v>0</v>
          </cell>
          <cell r="U269">
            <v>15766662.663618393</v>
          </cell>
          <cell r="V269">
            <v>118930.80478064956</v>
          </cell>
          <cell r="W269">
            <v>0</v>
          </cell>
          <cell r="X269">
            <v>15885593.468399042</v>
          </cell>
          <cell r="Y269">
            <v>2281925.2800000003</v>
          </cell>
          <cell r="Z269">
            <v>0</v>
          </cell>
          <cell r="AA269">
            <v>0</v>
          </cell>
          <cell r="AB269">
            <v>215744.197119783</v>
          </cell>
          <cell r="AC269">
            <v>2497669.4771197834</v>
          </cell>
          <cell r="AD269" t="str">
            <v>N/A</v>
          </cell>
          <cell r="AE269">
            <v>2683531</v>
          </cell>
          <cell r="AF269">
            <v>2683530</v>
          </cell>
          <cell r="AG269">
            <v>2683530</v>
          </cell>
          <cell r="AH269">
            <v>2683530</v>
          </cell>
          <cell r="AI269">
            <v>2653798</v>
          </cell>
          <cell r="AJ269">
            <v>0</v>
          </cell>
          <cell r="AK269">
            <v>13387919</v>
          </cell>
          <cell r="AL269">
            <v>74321596</v>
          </cell>
          <cell r="AM269">
            <v>8126226.8572379788</v>
          </cell>
          <cell r="AN269">
            <v>-1881183.72</v>
          </cell>
          <cell r="AO269">
            <v>15669849.271279262</v>
          </cell>
          <cell r="AP269">
            <v>0</v>
          </cell>
          <cell r="AQ269">
            <v>-2281925.2800000003</v>
          </cell>
          <cell r="AR269">
            <v>0</v>
          </cell>
          <cell r="AS269">
            <v>0</v>
          </cell>
          <cell r="AT269">
            <v>93954563.12851724</v>
          </cell>
          <cell r="AU269">
            <v>2.2416749322209215E-3</v>
          </cell>
          <cell r="AV269">
            <v>0</v>
          </cell>
          <cell r="AW269">
            <v>0</v>
          </cell>
          <cell r="AY269">
            <v>0</v>
          </cell>
          <cell r="AZ269">
            <v>0</v>
          </cell>
          <cell r="BA269">
            <v>0</v>
          </cell>
          <cell r="BB269">
            <v>0</v>
          </cell>
          <cell r="BC269">
            <v>0</v>
          </cell>
          <cell r="BD269">
            <v>0</v>
          </cell>
          <cell r="BE269">
            <v>0</v>
          </cell>
          <cell r="BF269">
            <v>0</v>
          </cell>
          <cell r="BG269">
            <v>0</v>
          </cell>
          <cell r="BH269">
            <v>0</v>
          </cell>
          <cell r="BJ269">
            <v>0</v>
          </cell>
          <cell r="BL269">
            <v>0</v>
          </cell>
          <cell r="BM269">
            <v>0</v>
          </cell>
          <cell r="BN269">
            <v>0</v>
          </cell>
          <cell r="BO269">
            <v>0</v>
          </cell>
          <cell r="BQ269">
            <v>0</v>
          </cell>
          <cell r="BR269">
            <v>0</v>
          </cell>
          <cell r="BS269">
            <v>0</v>
          </cell>
          <cell r="BT269">
            <v>0</v>
          </cell>
          <cell r="CB269">
            <v>0</v>
          </cell>
          <cell r="CC269">
            <v>0</v>
          </cell>
          <cell r="CD269">
            <v>0</v>
          </cell>
          <cell r="CE269">
            <v>0</v>
          </cell>
          <cell r="CF269">
            <v>0</v>
          </cell>
          <cell r="CI269">
            <v>0</v>
          </cell>
          <cell r="CJ269">
            <v>0</v>
          </cell>
          <cell r="CK269">
            <v>0</v>
          </cell>
          <cell r="CV269">
            <v>2.1597062547939207E-3</v>
          </cell>
          <cell r="DG269">
            <v>93954563</v>
          </cell>
          <cell r="DR269">
            <v>33024718.000000022</v>
          </cell>
          <cell r="EC269">
            <v>2.8449769957157525</v>
          </cell>
          <cell r="EN269">
            <v>2.4095909012463064E-2</v>
          </cell>
        </row>
        <row r="270">
          <cell r="B270">
            <v>38600</v>
          </cell>
          <cell r="C270" t="str">
            <v>Surry County Schools</v>
          </cell>
          <cell r="D270">
            <v>2.6427570235023103E-3</v>
          </cell>
          <cell r="E270">
            <v>4572585.8596714102</v>
          </cell>
          <cell r="F270">
            <v>3565350.059382319</v>
          </cell>
          <cell r="G270">
            <v>-554197</v>
          </cell>
          <cell r="H270">
            <v>-1275913.9339054897</v>
          </cell>
          <cell r="I270">
            <v>-52799.725976862363</v>
          </cell>
          <cell r="J270">
            <v>3858622.7547361585</v>
          </cell>
          <cell r="K270">
            <v>0</v>
          </cell>
          <cell r="L270">
            <v>-202738.44518137162</v>
          </cell>
          <cell r="M270">
            <v>36382.866761067329</v>
          </cell>
          <cell r="N270">
            <v>1371.538040057229</v>
          </cell>
          <cell r="O270">
            <v>-618.96012247447607</v>
          </cell>
          <cell r="P270">
            <v>0</v>
          </cell>
          <cell r="Q270">
            <v>0</v>
          </cell>
          <cell r="R270">
            <v>0</v>
          </cell>
          <cell r="S270">
            <v>9948045.0134048145</v>
          </cell>
          <cell r="T270">
            <v>0</v>
          </cell>
          <cell r="U270">
            <v>19293113.773680795</v>
          </cell>
          <cell r="V270">
            <v>145531.46704426932</v>
          </cell>
          <cell r="W270">
            <v>0</v>
          </cell>
          <cell r="X270">
            <v>19438645.240725063</v>
          </cell>
          <cell r="Y270">
            <v>2770984.62</v>
          </cell>
          <cell r="Z270">
            <v>0</v>
          </cell>
          <cell r="AA270">
            <v>0</v>
          </cell>
          <cell r="AB270">
            <v>263998.62988431181</v>
          </cell>
          <cell r="AC270">
            <v>3034983.249884312</v>
          </cell>
          <cell r="AD270" t="str">
            <v>N/A</v>
          </cell>
          <cell r="AE270">
            <v>3288009</v>
          </cell>
          <cell r="AF270">
            <v>3288009</v>
          </cell>
          <cell r="AG270">
            <v>3288009</v>
          </cell>
          <cell r="AH270">
            <v>3288009</v>
          </cell>
          <cell r="AI270">
            <v>3251626</v>
          </cell>
          <cell r="AJ270">
            <v>0</v>
          </cell>
          <cell r="AK270">
            <v>16403662</v>
          </cell>
          <cell r="AL270">
            <v>90936327</v>
          </cell>
          <cell r="AM270">
            <v>9948045.0134048145</v>
          </cell>
          <cell r="AN270">
            <v>-2319120.38</v>
          </cell>
          <cell r="AO270">
            <v>19174646.610840753</v>
          </cell>
          <cell r="AP270">
            <v>0</v>
          </cell>
          <cell r="AQ270">
            <v>-2770984.62</v>
          </cell>
          <cell r="AR270">
            <v>0</v>
          </cell>
          <cell r="AS270">
            <v>0</v>
          </cell>
          <cell r="AT270">
            <v>114968913.62424557</v>
          </cell>
          <cell r="AU270">
            <v>2.7428055248050602E-3</v>
          </cell>
          <cell r="AV270">
            <v>0</v>
          </cell>
          <cell r="AW270">
            <v>0</v>
          </cell>
          <cell r="AY270">
            <v>0</v>
          </cell>
          <cell r="AZ270">
            <v>0</v>
          </cell>
          <cell r="BA270">
            <v>0</v>
          </cell>
          <cell r="BB270">
            <v>0</v>
          </cell>
          <cell r="BC270">
            <v>0</v>
          </cell>
          <cell r="BD270">
            <v>0</v>
          </cell>
          <cell r="BE270">
            <v>0</v>
          </cell>
          <cell r="BF270">
            <v>0</v>
          </cell>
          <cell r="BG270">
            <v>0</v>
          </cell>
          <cell r="BH270">
            <v>0</v>
          </cell>
          <cell r="BJ270">
            <v>0</v>
          </cell>
          <cell r="BL270">
            <v>0</v>
          </cell>
          <cell r="BM270">
            <v>0</v>
          </cell>
          <cell r="BN270">
            <v>0</v>
          </cell>
          <cell r="BO270">
            <v>0</v>
          </cell>
          <cell r="BQ270">
            <v>0</v>
          </cell>
          <cell r="BR270">
            <v>0</v>
          </cell>
          <cell r="BS270">
            <v>0</v>
          </cell>
          <cell r="BT270">
            <v>0</v>
          </cell>
          <cell r="CB270">
            <v>0</v>
          </cell>
          <cell r="CC270">
            <v>0</v>
          </cell>
          <cell r="CD270">
            <v>0</v>
          </cell>
          <cell r="CE270">
            <v>0</v>
          </cell>
          <cell r="CF270">
            <v>0</v>
          </cell>
          <cell r="CI270">
            <v>0</v>
          </cell>
          <cell r="CJ270">
            <v>0</v>
          </cell>
          <cell r="CK270">
            <v>0</v>
          </cell>
          <cell r="CV270">
            <v>2.6427570235023103E-3</v>
          </cell>
          <cell r="DG270">
            <v>114968913</v>
          </cell>
          <cell r="DR270">
            <v>40492841.820000008</v>
          </cell>
          <cell r="EC270">
            <v>2.8392404146654675</v>
          </cell>
          <cell r="EN270">
            <v>2.4095909012463064E-2</v>
          </cell>
        </row>
        <row r="271">
          <cell r="B271">
            <v>38601</v>
          </cell>
          <cell r="C271" t="str">
            <v>Bridges Charter Schools</v>
          </cell>
          <cell r="D271">
            <v>3.7248194923832202E-5</v>
          </cell>
          <cell r="E271">
            <v>64448.062342591904</v>
          </cell>
          <cell r="F271">
            <v>50251.632216862876</v>
          </cell>
          <cell r="G271">
            <v>-12690</v>
          </cell>
          <cell r="H271">
            <v>-17983.299445804572</v>
          </cell>
          <cell r="I271">
            <v>-744.1828619207439</v>
          </cell>
          <cell r="J271">
            <v>54385.148247746649</v>
          </cell>
          <cell r="K271">
            <v>0</v>
          </cell>
          <cell r="L271">
            <v>-2857.4859729868758</v>
          </cell>
          <cell r="M271">
            <v>512.7963338862229</v>
          </cell>
          <cell r="N271">
            <v>19.331068201570435</v>
          </cell>
          <cell r="O271">
            <v>-8.7238997331107395</v>
          </cell>
          <cell r="P271">
            <v>0</v>
          </cell>
          <cell r="Q271">
            <v>0</v>
          </cell>
          <cell r="R271">
            <v>0</v>
          </cell>
          <cell r="S271">
            <v>135333.27802884392</v>
          </cell>
          <cell r="T271">
            <v>0</v>
          </cell>
          <cell r="U271">
            <v>271925.74123873323</v>
          </cell>
          <cell r="V271">
            <v>2051.1853355448916</v>
          </cell>
          <cell r="W271">
            <v>0</v>
          </cell>
          <cell r="X271">
            <v>273976.9265742781</v>
          </cell>
          <cell r="Y271">
            <v>63448.209999999992</v>
          </cell>
          <cell r="Z271">
            <v>0</v>
          </cell>
          <cell r="AA271">
            <v>0</v>
          </cell>
          <cell r="AB271">
            <v>3720.9143096037192</v>
          </cell>
          <cell r="AC271">
            <v>67169.124309603707</v>
          </cell>
          <cell r="AD271" t="str">
            <v>N/A</v>
          </cell>
          <cell r="AE271">
            <v>41465</v>
          </cell>
          <cell r="AF271">
            <v>41464</v>
          </cell>
          <cell r="AG271">
            <v>41464</v>
          </cell>
          <cell r="AH271">
            <v>41464</v>
          </cell>
          <cell r="AI271">
            <v>40951</v>
          </cell>
          <cell r="AJ271">
            <v>0</v>
          </cell>
          <cell r="AK271">
            <v>206808</v>
          </cell>
          <cell r="AL271">
            <v>1306174</v>
          </cell>
          <cell r="AM271">
            <v>135333.27802884392</v>
          </cell>
          <cell r="AN271">
            <v>-27891.790000000005</v>
          </cell>
          <cell r="AO271">
            <v>270256.01226467441</v>
          </cell>
          <cell r="AP271">
            <v>0</v>
          </cell>
          <cell r="AQ271">
            <v>-63448.209999999992</v>
          </cell>
          <cell r="AR271">
            <v>0</v>
          </cell>
          <cell r="AS271">
            <v>0</v>
          </cell>
          <cell r="AT271">
            <v>1620423.2902935185</v>
          </cell>
          <cell r="AU271">
            <v>3.9396594532019387E-5</v>
          </cell>
          <cell r="AV271">
            <v>0</v>
          </cell>
          <cell r="AW271">
            <v>0</v>
          </cell>
          <cell r="AY271">
            <v>0</v>
          </cell>
          <cell r="AZ271">
            <v>0</v>
          </cell>
          <cell r="BA271">
            <v>0</v>
          </cell>
          <cell r="BB271">
            <v>0</v>
          </cell>
          <cell r="BC271">
            <v>0</v>
          </cell>
          <cell r="BD271">
            <v>0</v>
          </cell>
          <cell r="BE271">
            <v>0</v>
          </cell>
          <cell r="BF271">
            <v>0</v>
          </cell>
          <cell r="BG271">
            <v>0</v>
          </cell>
          <cell r="BH271">
            <v>0</v>
          </cell>
          <cell r="BJ271">
            <v>0</v>
          </cell>
          <cell r="BL271">
            <v>0</v>
          </cell>
          <cell r="BM271">
            <v>0</v>
          </cell>
          <cell r="BN271">
            <v>0</v>
          </cell>
          <cell r="BO271">
            <v>0</v>
          </cell>
          <cell r="BQ271">
            <v>0</v>
          </cell>
          <cell r="BR271">
            <v>0</v>
          </cell>
          <cell r="BS271">
            <v>0</v>
          </cell>
          <cell r="BT271">
            <v>0</v>
          </cell>
          <cell r="CB271">
            <v>0</v>
          </cell>
          <cell r="CC271">
            <v>0</v>
          </cell>
          <cell r="CD271">
            <v>0</v>
          </cell>
          <cell r="CE271">
            <v>0</v>
          </cell>
          <cell r="CF271">
            <v>0</v>
          </cell>
          <cell r="CI271">
            <v>0</v>
          </cell>
          <cell r="CJ271">
            <v>0</v>
          </cell>
          <cell r="CK271">
            <v>0</v>
          </cell>
          <cell r="CV271">
            <v>3.7248194923832202E-5</v>
          </cell>
          <cell r="DG271">
            <v>1620423</v>
          </cell>
          <cell r="DR271">
            <v>503972.35</v>
          </cell>
          <cell r="EC271">
            <v>3.2153013950070872</v>
          </cell>
          <cell r="EN271">
            <v>2.4095909012463064E-2</v>
          </cell>
        </row>
        <row r="272">
          <cell r="B272">
            <v>38602</v>
          </cell>
          <cell r="C272" t="str">
            <v>Millennium Charter Academy</v>
          </cell>
          <cell r="D272">
            <v>1.6666563666537258E-4</v>
          </cell>
          <cell r="E272">
            <v>288370.41269093018</v>
          </cell>
          <cell r="F272">
            <v>224849.0240674442</v>
          </cell>
          <cell r="G272">
            <v>127309</v>
          </cell>
          <cell r="H272">
            <v>-80465.591892652723</v>
          </cell>
          <cell r="I272">
            <v>-3329.8180148354768</v>
          </cell>
          <cell r="J272">
            <v>243344.28490793621</v>
          </cell>
          <cell r="K272">
            <v>0</v>
          </cell>
          <cell r="L272">
            <v>-12785.712701624572</v>
          </cell>
          <cell r="M272">
            <v>2294.4877635435059</v>
          </cell>
          <cell r="N272">
            <v>86.496132116595064</v>
          </cell>
          <cell r="O272">
            <v>-39.034758763396916</v>
          </cell>
          <cell r="P272">
            <v>0</v>
          </cell>
          <cell r="Q272">
            <v>0</v>
          </cell>
          <cell r="R272">
            <v>0</v>
          </cell>
          <cell r="S272">
            <v>789633.54819409456</v>
          </cell>
          <cell r="T272">
            <v>642711</v>
          </cell>
          <cell r="U272">
            <v>1216721.4245396811</v>
          </cell>
          <cell r="V272">
            <v>9177.9510541740237</v>
          </cell>
          <cell r="W272">
            <v>0</v>
          </cell>
          <cell r="X272">
            <v>1868610.375593855</v>
          </cell>
          <cell r="Y272">
            <v>6167.2099999999627</v>
          </cell>
          <cell r="Z272">
            <v>0</v>
          </cell>
          <cell r="AA272">
            <v>0</v>
          </cell>
          <cell r="AB272">
            <v>16649.090074177384</v>
          </cell>
          <cell r="AC272">
            <v>22816.300074177347</v>
          </cell>
          <cell r="AD272" t="str">
            <v>N/A</v>
          </cell>
          <cell r="AE272">
            <v>369618</v>
          </cell>
          <cell r="AF272">
            <v>369617</v>
          </cell>
          <cell r="AG272">
            <v>369617</v>
          </cell>
          <cell r="AH272">
            <v>369617</v>
          </cell>
          <cell r="AI272">
            <v>367322</v>
          </cell>
          <cell r="AJ272">
            <v>0</v>
          </cell>
          <cell r="AK272">
            <v>1845791</v>
          </cell>
          <cell r="AL272">
            <v>4754462</v>
          </cell>
          <cell r="AM272">
            <v>789633.54819409456</v>
          </cell>
          <cell r="AN272">
            <v>-139367.79000000004</v>
          </cell>
          <cell r="AO272">
            <v>1209250.2855196779</v>
          </cell>
          <cell r="AP272">
            <v>0</v>
          </cell>
          <cell r="AQ272">
            <v>636543.79</v>
          </cell>
          <cell r="AR272">
            <v>0</v>
          </cell>
          <cell r="AS272">
            <v>0</v>
          </cell>
          <cell r="AT272">
            <v>7250521.8337137727</v>
          </cell>
          <cell r="AU272">
            <v>1.4340323318558199E-4</v>
          </cell>
          <cell r="AV272">
            <v>0</v>
          </cell>
          <cell r="AW272">
            <v>0</v>
          </cell>
          <cell r="AY272">
            <v>0</v>
          </cell>
          <cell r="AZ272">
            <v>0</v>
          </cell>
          <cell r="BA272">
            <v>0</v>
          </cell>
          <cell r="BB272">
            <v>0</v>
          </cell>
          <cell r="BC272">
            <v>0</v>
          </cell>
          <cell r="BD272">
            <v>0</v>
          </cell>
          <cell r="BE272">
            <v>0</v>
          </cell>
          <cell r="BF272">
            <v>0</v>
          </cell>
          <cell r="BG272">
            <v>0</v>
          </cell>
          <cell r="BH272">
            <v>0</v>
          </cell>
          <cell r="BJ272">
            <v>0</v>
          </cell>
          <cell r="BL272">
            <v>0</v>
          </cell>
          <cell r="BM272">
            <v>0</v>
          </cell>
          <cell r="BN272">
            <v>0</v>
          </cell>
          <cell r="BO272">
            <v>0</v>
          </cell>
          <cell r="BQ272">
            <v>0</v>
          </cell>
          <cell r="BR272">
            <v>0</v>
          </cell>
          <cell r="BS272">
            <v>0</v>
          </cell>
          <cell r="BT272">
            <v>0</v>
          </cell>
          <cell r="CB272">
            <v>0</v>
          </cell>
          <cell r="CC272">
            <v>0</v>
          </cell>
          <cell r="CD272">
            <v>0</v>
          </cell>
          <cell r="CE272">
            <v>0</v>
          </cell>
          <cell r="CF272">
            <v>0</v>
          </cell>
          <cell r="CI272">
            <v>0</v>
          </cell>
          <cell r="CJ272">
            <v>0</v>
          </cell>
          <cell r="CK272">
            <v>0</v>
          </cell>
          <cell r="CV272">
            <v>1.6666563666537258E-4</v>
          </cell>
          <cell r="DG272">
            <v>7250522</v>
          </cell>
          <cell r="DR272">
            <v>2406930.850000001</v>
          </cell>
          <cell r="EC272">
            <v>3.012351601210312</v>
          </cell>
          <cell r="EN272">
            <v>2.4095909012463064E-2</v>
          </cell>
        </row>
        <row r="273">
          <cell r="B273">
            <v>38605</v>
          </cell>
          <cell r="C273" t="str">
            <v>Surry Community College</v>
          </cell>
          <cell r="D273">
            <v>7.4540113900093731E-4</v>
          </cell>
          <cell r="E273">
            <v>1289717.7749098013</v>
          </cell>
          <cell r="F273">
            <v>1005622.5266137552</v>
          </cell>
          <cell r="G273">
            <v>-21038</v>
          </cell>
          <cell r="H273">
            <v>-359877.08712620026</v>
          </cell>
          <cell r="I273">
            <v>-14892.39288064886</v>
          </cell>
          <cell r="J273">
            <v>1088341.3687965751</v>
          </cell>
          <cell r="K273">
            <v>0</v>
          </cell>
          <cell r="L273">
            <v>-57183.262257383001</v>
          </cell>
          <cell r="M273">
            <v>10261.946173121285</v>
          </cell>
          <cell r="N273">
            <v>386.84828311870643</v>
          </cell>
          <cell r="O273">
            <v>-174.58040076540954</v>
          </cell>
          <cell r="P273">
            <v>0</v>
          </cell>
          <cell r="Q273">
            <v>0</v>
          </cell>
          <cell r="R273">
            <v>0</v>
          </cell>
          <cell r="S273">
            <v>2941165.1421113736</v>
          </cell>
          <cell r="T273">
            <v>1639.1299999998882</v>
          </cell>
          <cell r="U273">
            <v>5441706.8439828753</v>
          </cell>
          <cell r="V273">
            <v>41047.78469248514</v>
          </cell>
          <cell r="W273">
            <v>0</v>
          </cell>
          <cell r="X273">
            <v>5484393.7586753601</v>
          </cell>
          <cell r="Y273">
            <v>106829</v>
          </cell>
          <cell r="Z273">
            <v>0</v>
          </cell>
          <cell r="AA273">
            <v>0</v>
          </cell>
          <cell r="AB273">
            <v>74461.964403244303</v>
          </cell>
          <cell r="AC273">
            <v>181290.96440324432</v>
          </cell>
          <cell r="AD273" t="str">
            <v>N/A</v>
          </cell>
          <cell r="AE273">
            <v>1062673</v>
          </cell>
          <cell r="AF273">
            <v>1062673</v>
          </cell>
          <cell r="AG273">
            <v>1062673</v>
          </cell>
          <cell r="AH273">
            <v>1062673</v>
          </cell>
          <cell r="AI273">
            <v>1052411</v>
          </cell>
          <cell r="AJ273">
            <v>0</v>
          </cell>
          <cell r="AK273">
            <v>5303103</v>
          </cell>
          <cell r="AL273">
            <v>24841592</v>
          </cell>
          <cell r="AM273">
            <v>2941165.1421113736</v>
          </cell>
          <cell r="AN273">
            <v>-658377.12999999989</v>
          </cell>
          <cell r="AO273">
            <v>5408292.6642721174</v>
          </cell>
          <cell r="AP273">
            <v>0</v>
          </cell>
          <cell r="AQ273">
            <v>-105189.87000000011</v>
          </cell>
          <cell r="AR273">
            <v>0</v>
          </cell>
          <cell r="AS273">
            <v>0</v>
          </cell>
          <cell r="AT273">
            <v>32427482.806383491</v>
          </cell>
          <cell r="AU273">
            <v>7.4926773769812261E-4</v>
          </cell>
          <cell r="AV273">
            <v>0</v>
          </cell>
          <cell r="AW273">
            <v>0</v>
          </cell>
          <cell r="AY273">
            <v>0</v>
          </cell>
          <cell r="AZ273">
            <v>0</v>
          </cell>
          <cell r="BA273">
            <v>0</v>
          </cell>
          <cell r="BB273">
            <v>0</v>
          </cell>
          <cell r="BC273">
            <v>0</v>
          </cell>
          <cell r="BD273">
            <v>0</v>
          </cell>
          <cell r="BE273">
            <v>0</v>
          </cell>
          <cell r="BF273">
            <v>0</v>
          </cell>
          <cell r="BG273">
            <v>0</v>
          </cell>
          <cell r="BH273">
            <v>0</v>
          </cell>
          <cell r="BJ273">
            <v>0</v>
          </cell>
          <cell r="BL273">
            <v>0</v>
          </cell>
          <cell r="BM273">
            <v>0</v>
          </cell>
          <cell r="BN273">
            <v>0</v>
          </cell>
          <cell r="BO273">
            <v>0</v>
          </cell>
          <cell r="BQ273">
            <v>0</v>
          </cell>
          <cell r="BR273">
            <v>0</v>
          </cell>
          <cell r="BS273">
            <v>0</v>
          </cell>
          <cell r="BT273">
            <v>0</v>
          </cell>
          <cell r="CB273">
            <v>0</v>
          </cell>
          <cell r="CC273">
            <v>0</v>
          </cell>
          <cell r="CD273">
            <v>0</v>
          </cell>
          <cell r="CE273">
            <v>0</v>
          </cell>
          <cell r="CF273">
            <v>0</v>
          </cell>
          <cell r="CI273">
            <v>0</v>
          </cell>
          <cell r="CJ273">
            <v>0</v>
          </cell>
          <cell r="CK273">
            <v>0</v>
          </cell>
          <cell r="CV273">
            <v>7.4540113900093731E-4</v>
          </cell>
          <cell r="DG273">
            <v>32427483</v>
          </cell>
          <cell r="DR273">
            <v>11448381.560000028</v>
          </cell>
          <cell r="EC273">
            <v>2.8324949539854365</v>
          </cell>
          <cell r="EN273">
            <v>2.4095909012463064E-2</v>
          </cell>
        </row>
        <row r="274">
          <cell r="B274">
            <v>38610</v>
          </cell>
          <cell r="C274" t="str">
            <v>Mount Airy City Schools</v>
          </cell>
          <cell r="D274">
            <v>5.5285532827617642E-4</v>
          </cell>
          <cell r="E274">
            <v>956568.62664182403</v>
          </cell>
          <cell r="F274">
            <v>745858.49549160188</v>
          </cell>
          <cell r="G274">
            <v>-41607</v>
          </cell>
          <cell r="H274">
            <v>-266916.63687138451</v>
          </cell>
          <cell r="I274">
            <v>-11045.514051513363</v>
          </cell>
          <cell r="J274">
            <v>807210.0956661097</v>
          </cell>
          <cell r="K274">
            <v>0</v>
          </cell>
          <cell r="L274">
            <v>-42412.158464877815</v>
          </cell>
          <cell r="M274">
            <v>7611.16575150053</v>
          </cell>
          <cell r="N274">
            <v>286.92085826877002</v>
          </cell>
          <cell r="O274">
            <v>-129.48424643556328</v>
          </cell>
          <cell r="P274">
            <v>0</v>
          </cell>
          <cell r="Q274">
            <v>0</v>
          </cell>
          <cell r="R274">
            <v>0</v>
          </cell>
          <cell r="S274">
            <v>2155424.5107750935</v>
          </cell>
          <cell r="T274">
            <v>16544.940000000061</v>
          </cell>
          <cell r="U274">
            <v>4036050.4783305484</v>
          </cell>
          <cell r="V274">
            <v>30444.66300600212</v>
          </cell>
          <cell r="W274">
            <v>0</v>
          </cell>
          <cell r="X274">
            <v>4083040.0813365504</v>
          </cell>
          <cell r="Y274">
            <v>224578</v>
          </cell>
          <cell r="Z274">
            <v>0</v>
          </cell>
          <cell r="AA274">
            <v>0</v>
          </cell>
          <cell r="AB274">
            <v>55227.570257566811</v>
          </cell>
          <cell r="AC274">
            <v>279805.57025756681</v>
          </cell>
          <cell r="AD274" t="str">
            <v>N/A</v>
          </cell>
          <cell r="AE274">
            <v>762169</v>
          </cell>
          <cell r="AF274">
            <v>762169</v>
          </cell>
          <cell r="AG274">
            <v>762169</v>
          </cell>
          <cell r="AH274">
            <v>762169</v>
          </cell>
          <cell r="AI274">
            <v>754558</v>
          </cell>
          <cell r="AJ274">
            <v>0</v>
          </cell>
          <cell r="AK274">
            <v>3803234</v>
          </cell>
          <cell r="AL274">
            <v>18599132</v>
          </cell>
          <cell r="AM274">
            <v>2155424.5107750935</v>
          </cell>
          <cell r="AN274">
            <v>-506704.94000000006</v>
          </cell>
          <cell r="AO274">
            <v>4011267.5710789841</v>
          </cell>
          <cell r="AP274">
            <v>0</v>
          </cell>
          <cell r="AQ274">
            <v>-208033.05999999994</v>
          </cell>
          <cell r="AR274">
            <v>0</v>
          </cell>
          <cell r="AS274">
            <v>0</v>
          </cell>
          <cell r="AT274">
            <v>24051086.081854079</v>
          </cell>
          <cell r="AU274">
            <v>5.609837447125022E-4</v>
          </cell>
          <cell r="AV274">
            <v>0</v>
          </cell>
          <cell r="AW274">
            <v>0</v>
          </cell>
          <cell r="AY274">
            <v>0</v>
          </cell>
          <cell r="AZ274">
            <v>0</v>
          </cell>
          <cell r="BA274">
            <v>0</v>
          </cell>
          <cell r="BB274">
            <v>0</v>
          </cell>
          <cell r="BC274">
            <v>0</v>
          </cell>
          <cell r="BD274">
            <v>0</v>
          </cell>
          <cell r="BE274">
            <v>0</v>
          </cell>
          <cell r="BF274">
            <v>0</v>
          </cell>
          <cell r="BG274">
            <v>0</v>
          </cell>
          <cell r="BH274">
            <v>0</v>
          </cell>
          <cell r="BJ274">
            <v>0</v>
          </cell>
          <cell r="BL274">
            <v>0</v>
          </cell>
          <cell r="BM274">
            <v>0</v>
          </cell>
          <cell r="BN274">
            <v>0</v>
          </cell>
          <cell r="BO274">
            <v>0</v>
          </cell>
          <cell r="BQ274">
            <v>0</v>
          </cell>
          <cell r="BR274">
            <v>0</v>
          </cell>
          <cell r="BS274">
            <v>0</v>
          </cell>
          <cell r="BT274">
            <v>0</v>
          </cell>
          <cell r="CB274">
            <v>0</v>
          </cell>
          <cell r="CC274">
            <v>0</v>
          </cell>
          <cell r="CD274">
            <v>0</v>
          </cell>
          <cell r="CE274">
            <v>0</v>
          </cell>
          <cell r="CF274">
            <v>0</v>
          </cell>
          <cell r="CI274">
            <v>0</v>
          </cell>
          <cell r="CJ274">
            <v>0</v>
          </cell>
          <cell r="CK274">
            <v>0</v>
          </cell>
          <cell r="CV274">
            <v>5.5285532827617642E-4</v>
          </cell>
          <cell r="DG274">
            <v>24051086</v>
          </cell>
          <cell r="DR274">
            <v>8723212.9699999988</v>
          </cell>
          <cell r="EC274">
            <v>2.7571361702063322</v>
          </cell>
          <cell r="EN274">
            <v>2.4095909012463064E-2</v>
          </cell>
        </row>
        <row r="275">
          <cell r="B275">
            <v>38620</v>
          </cell>
          <cell r="C275" t="str">
            <v>Elkin City Schools</v>
          </cell>
          <cell r="D275">
            <v>4.586899091346144E-4</v>
          </cell>
          <cell r="E275">
            <v>793640.49507030589</v>
          </cell>
          <cell r="F275">
            <v>618819.69482153514</v>
          </cell>
          <cell r="G275">
            <v>-738</v>
          </cell>
          <cell r="H275">
            <v>-221453.89878903705</v>
          </cell>
          <cell r="I275">
            <v>-9164.1801706627321</v>
          </cell>
          <cell r="J275">
            <v>669721.54648145125</v>
          </cell>
          <cell r="K275">
            <v>0</v>
          </cell>
          <cell r="L275">
            <v>-35188.2818478318</v>
          </cell>
          <cell r="M275">
            <v>6314.7893280686112</v>
          </cell>
          <cell r="N275">
            <v>238.05088904268217</v>
          </cell>
          <cell r="O275">
            <v>-107.42976361841804</v>
          </cell>
          <cell r="P275">
            <v>0</v>
          </cell>
          <cell r="Q275">
            <v>0</v>
          </cell>
          <cell r="R275">
            <v>0</v>
          </cell>
          <cell r="S275">
            <v>1822082.7860192535</v>
          </cell>
          <cell r="T275">
            <v>3575.960000000021</v>
          </cell>
          <cell r="U275">
            <v>3348607.732407256</v>
          </cell>
          <cell r="V275">
            <v>25259.157312274445</v>
          </cell>
          <cell r="W275">
            <v>0</v>
          </cell>
          <cell r="X275">
            <v>3377442.8497195304</v>
          </cell>
          <cell r="Y275">
            <v>7263</v>
          </cell>
          <cell r="Z275">
            <v>0</v>
          </cell>
          <cell r="AA275">
            <v>0</v>
          </cell>
          <cell r="AB275">
            <v>45820.900853313658</v>
          </cell>
          <cell r="AC275">
            <v>53083.900853313658</v>
          </cell>
          <cell r="AD275" t="str">
            <v>N/A</v>
          </cell>
          <cell r="AE275">
            <v>666134</v>
          </cell>
          <cell r="AF275">
            <v>666134</v>
          </cell>
          <cell r="AG275">
            <v>666134</v>
          </cell>
          <cell r="AH275">
            <v>666134</v>
          </cell>
          <cell r="AI275">
            <v>659819</v>
          </cell>
          <cell r="AJ275">
            <v>0</v>
          </cell>
          <cell r="AK275">
            <v>3324355</v>
          </cell>
          <cell r="AL275">
            <v>15216347</v>
          </cell>
          <cell r="AM275">
            <v>1822082.7860192535</v>
          </cell>
          <cell r="AN275">
            <v>-408218.96</v>
          </cell>
          <cell r="AO275">
            <v>3328045.988866217</v>
          </cell>
          <cell r="AP275">
            <v>0</v>
          </cell>
          <cell r="AQ275">
            <v>-3687.039999999979</v>
          </cell>
          <cell r="AR275">
            <v>0</v>
          </cell>
          <cell r="AS275">
            <v>0</v>
          </cell>
          <cell r="AT275">
            <v>19954569.774885472</v>
          </cell>
          <cell r="AU275">
            <v>4.5895278001503308E-4</v>
          </cell>
          <cell r="AV275">
            <v>0</v>
          </cell>
          <cell r="AW275">
            <v>0</v>
          </cell>
          <cell r="AY275">
            <v>0</v>
          </cell>
          <cell r="AZ275">
            <v>0</v>
          </cell>
          <cell r="BA275">
            <v>0</v>
          </cell>
          <cell r="BB275">
            <v>0</v>
          </cell>
          <cell r="BC275">
            <v>0</v>
          </cell>
          <cell r="BD275">
            <v>0</v>
          </cell>
          <cell r="BE275">
            <v>0</v>
          </cell>
          <cell r="BF275">
            <v>0</v>
          </cell>
          <cell r="BG275">
            <v>0</v>
          </cell>
          <cell r="BH275">
            <v>0</v>
          </cell>
          <cell r="BJ275">
            <v>0</v>
          </cell>
          <cell r="BL275">
            <v>0</v>
          </cell>
          <cell r="BM275">
            <v>0</v>
          </cell>
          <cell r="BN275">
            <v>0</v>
          </cell>
          <cell r="BO275">
            <v>0</v>
          </cell>
          <cell r="BQ275">
            <v>0</v>
          </cell>
          <cell r="BR275">
            <v>0</v>
          </cell>
          <cell r="BS275">
            <v>0</v>
          </cell>
          <cell r="BT275">
            <v>0</v>
          </cell>
          <cell r="CB275">
            <v>0</v>
          </cell>
          <cell r="CC275">
            <v>0</v>
          </cell>
          <cell r="CD275">
            <v>0</v>
          </cell>
          <cell r="CE275">
            <v>0</v>
          </cell>
          <cell r="CF275">
            <v>0</v>
          </cell>
          <cell r="CI275">
            <v>0</v>
          </cell>
          <cell r="CJ275">
            <v>0</v>
          </cell>
          <cell r="CK275">
            <v>0</v>
          </cell>
          <cell r="CV275">
            <v>4.586899091346144E-4</v>
          </cell>
          <cell r="DG275">
            <v>19954570</v>
          </cell>
          <cell r="DR275">
            <v>7242311.8899999987</v>
          </cell>
          <cell r="EC275">
            <v>2.7552762575100869</v>
          </cell>
          <cell r="EN275">
            <v>2.4095909012463064E-2</v>
          </cell>
        </row>
        <row r="276">
          <cell r="B276">
            <v>38700</v>
          </cell>
          <cell r="C276" t="str">
            <v>Swain County Schools</v>
          </cell>
          <cell r="D276">
            <v>7.9049572641102942E-4</v>
          </cell>
          <cell r="E276">
            <v>1367741.9257891125</v>
          </cell>
          <cell r="F276">
            <v>1066459.7464075454</v>
          </cell>
          <cell r="G276">
            <v>134558</v>
          </cell>
          <cell r="H276">
            <v>-381648.59767695266</v>
          </cell>
          <cell r="I276">
            <v>-15793.339065681466</v>
          </cell>
          <cell r="J276">
            <v>1154182.8364565203</v>
          </cell>
          <cell r="K276">
            <v>0</v>
          </cell>
          <cell r="L276">
            <v>-60642.682270767946</v>
          </cell>
          <cell r="M276">
            <v>10882.763883866553</v>
          </cell>
          <cell r="N276">
            <v>410.25147209279606</v>
          </cell>
          <cell r="O276">
            <v>-185.1420040827272</v>
          </cell>
          <cell r="P276">
            <v>0</v>
          </cell>
          <cell r="Q276">
            <v>0</v>
          </cell>
          <cell r="R276">
            <v>0</v>
          </cell>
          <cell r="S276">
            <v>3275965.7629916514</v>
          </cell>
          <cell r="T276">
            <v>673506</v>
          </cell>
          <cell r="U276">
            <v>5770914.1822826015</v>
          </cell>
          <cell r="V276">
            <v>43531.055535466214</v>
          </cell>
          <cell r="W276">
            <v>0</v>
          </cell>
          <cell r="X276">
            <v>6487951.2378180679</v>
          </cell>
          <cell r="Y276">
            <v>714.42000000004191</v>
          </cell>
          <cell r="Z276">
            <v>0</v>
          </cell>
          <cell r="AA276">
            <v>0</v>
          </cell>
          <cell r="AB276">
            <v>78966.695328407324</v>
          </cell>
          <cell r="AC276">
            <v>79681.115328407366</v>
          </cell>
          <cell r="AD276" t="str">
            <v>N/A</v>
          </cell>
          <cell r="AE276">
            <v>1283830</v>
          </cell>
          <cell r="AF276">
            <v>1283830</v>
          </cell>
          <cell r="AG276">
            <v>1283830</v>
          </cell>
          <cell r="AH276">
            <v>1283830</v>
          </cell>
          <cell r="AI276">
            <v>1272947</v>
          </cell>
          <cell r="AJ276">
            <v>0</v>
          </cell>
          <cell r="AK276">
            <v>6408267</v>
          </cell>
          <cell r="AL276">
            <v>25400278</v>
          </cell>
          <cell r="AM276">
            <v>3275965.7629916514</v>
          </cell>
          <cell r="AN276">
            <v>-695262.58</v>
          </cell>
          <cell r="AO276">
            <v>5735478.5424896609</v>
          </cell>
          <cell r="AP276">
            <v>0</v>
          </cell>
          <cell r="AQ276">
            <v>672791.58</v>
          </cell>
          <cell r="AR276">
            <v>0</v>
          </cell>
          <cell r="AS276">
            <v>0</v>
          </cell>
          <cell r="AT276">
            <v>34389251.305481315</v>
          </cell>
          <cell r="AU276">
            <v>7.6611873442585746E-4</v>
          </cell>
          <cell r="AV276">
            <v>0</v>
          </cell>
          <cell r="AW276">
            <v>0</v>
          </cell>
          <cell r="AY276">
            <v>0</v>
          </cell>
          <cell r="AZ276">
            <v>0</v>
          </cell>
          <cell r="BA276">
            <v>0</v>
          </cell>
          <cell r="BB276">
            <v>0</v>
          </cell>
          <cell r="BC276">
            <v>0</v>
          </cell>
          <cell r="BD276">
            <v>0</v>
          </cell>
          <cell r="BE276">
            <v>0</v>
          </cell>
          <cell r="BF276">
            <v>0</v>
          </cell>
          <cell r="BG276">
            <v>0</v>
          </cell>
          <cell r="BH276">
            <v>0</v>
          </cell>
          <cell r="BJ276">
            <v>0</v>
          </cell>
          <cell r="BL276">
            <v>0</v>
          </cell>
          <cell r="BM276">
            <v>0</v>
          </cell>
          <cell r="BN276">
            <v>0</v>
          </cell>
          <cell r="BO276">
            <v>0</v>
          </cell>
          <cell r="BQ276">
            <v>0</v>
          </cell>
          <cell r="BR276">
            <v>0</v>
          </cell>
          <cell r="BS276">
            <v>0</v>
          </cell>
          <cell r="BT276">
            <v>0</v>
          </cell>
          <cell r="CB276">
            <v>0</v>
          </cell>
          <cell r="CC276">
            <v>0</v>
          </cell>
          <cell r="CD276">
            <v>0</v>
          </cell>
          <cell r="CE276">
            <v>0</v>
          </cell>
          <cell r="CF276">
            <v>0</v>
          </cell>
          <cell r="CI276">
            <v>0</v>
          </cell>
          <cell r="CJ276">
            <v>0</v>
          </cell>
          <cell r="CK276">
            <v>0</v>
          </cell>
          <cell r="CV276">
            <v>7.9049572641102942E-4</v>
          </cell>
          <cell r="DG276">
            <v>34389251</v>
          </cell>
          <cell r="DR276">
            <v>11830318.769999996</v>
          </cell>
          <cell r="EC276">
            <v>2.9068744189046067</v>
          </cell>
          <cell r="EN276">
            <v>2.4095909012463064E-2</v>
          </cell>
        </row>
        <row r="277">
          <cell r="B277">
            <v>38701</v>
          </cell>
          <cell r="C277" t="str">
            <v>Mountain Discovery Charter</v>
          </cell>
          <cell r="D277">
            <v>5.057752486594943E-5</v>
          </cell>
          <cell r="E277">
            <v>87510.91112898798</v>
          </cell>
          <cell r="F277">
            <v>68234.264323417054</v>
          </cell>
          <cell r="G277">
            <v>-25154</v>
          </cell>
          <cell r="H277">
            <v>-24418.653756293705</v>
          </cell>
          <cell r="I277">
            <v>-1010.4899655023989</v>
          </cell>
          <cell r="J277">
            <v>73846.966100330843</v>
          </cell>
          <cell r="K277">
            <v>0</v>
          </cell>
          <cell r="L277">
            <v>-3880.0421912626825</v>
          </cell>
          <cell r="M277">
            <v>696.30137463933193</v>
          </cell>
          <cell r="N277">
            <v>26.248723854930436</v>
          </cell>
          <cell r="O277">
            <v>-11.845762098854015</v>
          </cell>
          <cell r="P277">
            <v>0</v>
          </cell>
          <cell r="Q277">
            <v>0</v>
          </cell>
          <cell r="R277">
            <v>0</v>
          </cell>
          <cell r="S277">
            <v>175839.65997607249</v>
          </cell>
          <cell r="T277">
            <v>1557.7400000000052</v>
          </cell>
          <cell r="U277">
            <v>369234.83050165424</v>
          </cell>
          <cell r="V277">
            <v>2785.2054985573277</v>
          </cell>
          <cell r="W277">
            <v>0</v>
          </cell>
          <cell r="X277">
            <v>373577.77600021154</v>
          </cell>
          <cell r="Y277">
            <v>127326</v>
          </cell>
          <cell r="Z277">
            <v>0</v>
          </cell>
          <cell r="AA277">
            <v>0</v>
          </cell>
          <cell r="AB277">
            <v>5052.449827511995</v>
          </cell>
          <cell r="AC277">
            <v>132378.449827512</v>
          </cell>
          <cell r="AD277" t="str">
            <v>N/A</v>
          </cell>
          <cell r="AE277">
            <v>48380</v>
          </cell>
          <cell r="AF277">
            <v>48379</v>
          </cell>
          <cell r="AG277">
            <v>48379</v>
          </cell>
          <cell r="AH277">
            <v>48379</v>
          </cell>
          <cell r="AI277">
            <v>47682</v>
          </cell>
          <cell r="AJ277">
            <v>0</v>
          </cell>
          <cell r="AK277">
            <v>241199</v>
          </cell>
          <cell r="AL277">
            <v>1829663</v>
          </cell>
          <cell r="AM277">
            <v>175839.65997607249</v>
          </cell>
          <cell r="AN277">
            <v>-46407.740000000005</v>
          </cell>
          <cell r="AO277">
            <v>366967.58617269958</v>
          </cell>
          <cell r="AP277">
            <v>0</v>
          </cell>
          <cell r="AQ277">
            <v>-125768.26</v>
          </cell>
          <cell r="AR277">
            <v>0</v>
          </cell>
          <cell r="AS277">
            <v>0</v>
          </cell>
          <cell r="AT277">
            <v>2200294.2461487725</v>
          </cell>
          <cell r="AU277">
            <v>5.5185961254208455E-5</v>
          </cell>
          <cell r="AV277">
            <v>0</v>
          </cell>
          <cell r="AW277">
            <v>0</v>
          </cell>
          <cell r="AY277">
            <v>0</v>
          </cell>
          <cell r="AZ277">
            <v>0</v>
          </cell>
          <cell r="BA277">
            <v>0</v>
          </cell>
          <cell r="BB277">
            <v>0</v>
          </cell>
          <cell r="BC277">
            <v>0</v>
          </cell>
          <cell r="BD277">
            <v>0</v>
          </cell>
          <cell r="BE277">
            <v>0</v>
          </cell>
          <cell r="BF277">
            <v>0</v>
          </cell>
          <cell r="BG277">
            <v>0</v>
          </cell>
          <cell r="BH277">
            <v>0</v>
          </cell>
          <cell r="BJ277">
            <v>0</v>
          </cell>
          <cell r="BL277">
            <v>0</v>
          </cell>
          <cell r="BM277">
            <v>0</v>
          </cell>
          <cell r="BN277">
            <v>0</v>
          </cell>
          <cell r="BO277">
            <v>0</v>
          </cell>
          <cell r="BQ277">
            <v>0</v>
          </cell>
          <cell r="BR277">
            <v>0</v>
          </cell>
          <cell r="BS277">
            <v>0</v>
          </cell>
          <cell r="BT277">
            <v>0</v>
          </cell>
          <cell r="CB277">
            <v>0</v>
          </cell>
          <cell r="CC277">
            <v>0</v>
          </cell>
          <cell r="CD277">
            <v>0</v>
          </cell>
          <cell r="CE277">
            <v>0</v>
          </cell>
          <cell r="CF277">
            <v>0</v>
          </cell>
          <cell r="CI277">
            <v>0</v>
          </cell>
          <cell r="CJ277">
            <v>0</v>
          </cell>
          <cell r="CK277">
            <v>0</v>
          </cell>
          <cell r="CV277">
            <v>5.057752486594943E-5</v>
          </cell>
          <cell r="DG277">
            <v>2200294</v>
          </cell>
          <cell r="DR277">
            <v>838007.07999999984</v>
          </cell>
          <cell r="EC277">
            <v>2.6256269815763376</v>
          </cell>
          <cell r="EN277">
            <v>2.4095909012463064E-2</v>
          </cell>
        </row>
        <row r="278">
          <cell r="B278">
            <v>38800</v>
          </cell>
          <cell r="C278" t="str">
            <v>Transylvania County Schools</v>
          </cell>
          <cell r="D278">
            <v>1.375706345486662E-3</v>
          </cell>
          <cell r="E278">
            <v>2380292.7497647963</v>
          </cell>
          <cell r="F278">
            <v>1855968.84501827</v>
          </cell>
          <cell r="G278">
            <v>80894</v>
          </cell>
          <cell r="H278">
            <v>-664186.25683659909</v>
          </cell>
          <cell r="I278">
            <v>-27485.280493196653</v>
          </cell>
          <cell r="J278">
            <v>2008634.0746887499</v>
          </cell>
          <cell r="K278">
            <v>0</v>
          </cell>
          <cell r="L278">
            <v>-105536.96879045259</v>
          </cell>
          <cell r="M278">
            <v>18939.36530111442</v>
          </cell>
          <cell r="N278">
            <v>713.96407918066791</v>
          </cell>
          <cell r="O278">
            <v>-322.20418317643112</v>
          </cell>
          <cell r="P278">
            <v>0</v>
          </cell>
          <cell r="Q278">
            <v>0</v>
          </cell>
          <cell r="R278">
            <v>0</v>
          </cell>
          <cell r="S278">
            <v>5547912.2885486865</v>
          </cell>
          <cell r="T278">
            <v>427723</v>
          </cell>
          <cell r="U278">
            <v>10043170.373443749</v>
          </cell>
          <cell r="V278">
            <v>75757.461204457679</v>
          </cell>
          <cell r="W278">
            <v>0</v>
          </cell>
          <cell r="X278">
            <v>10546650.834648207</v>
          </cell>
          <cell r="Y278">
            <v>23253.649999999907</v>
          </cell>
          <cell r="Z278">
            <v>0</v>
          </cell>
          <cell r="AA278">
            <v>0</v>
          </cell>
          <cell r="AB278">
            <v>137426.40246598326</v>
          </cell>
          <cell r="AC278">
            <v>160680.05246598317</v>
          </cell>
          <cell r="AD278" t="str">
            <v>N/A</v>
          </cell>
          <cell r="AE278">
            <v>2080982</v>
          </cell>
          <cell r="AF278">
            <v>2080982</v>
          </cell>
          <cell r="AG278">
            <v>2080982</v>
          </cell>
          <cell r="AH278">
            <v>2080982</v>
          </cell>
          <cell r="AI278">
            <v>2062043</v>
          </cell>
          <cell r="AJ278">
            <v>0</v>
          </cell>
          <cell r="AK278">
            <v>10385971</v>
          </cell>
          <cell r="AL278">
            <v>45097579</v>
          </cell>
          <cell r="AM278">
            <v>5547912.2885486865</v>
          </cell>
          <cell r="AN278">
            <v>-1183559.3500000001</v>
          </cell>
          <cell r="AO278">
            <v>9981501.4321822245</v>
          </cell>
          <cell r="AP278">
            <v>0</v>
          </cell>
          <cell r="AQ278">
            <v>404469.35000000009</v>
          </cell>
          <cell r="AR278">
            <v>0</v>
          </cell>
          <cell r="AS278">
            <v>0</v>
          </cell>
          <cell r="AT278">
            <v>59847902.720730908</v>
          </cell>
          <cell r="AU278">
            <v>1.3602252629795213E-3</v>
          </cell>
          <cell r="AV278">
            <v>0</v>
          </cell>
          <cell r="AW278">
            <v>0</v>
          </cell>
          <cell r="AY278">
            <v>0</v>
          </cell>
          <cell r="AZ278">
            <v>0</v>
          </cell>
          <cell r="BA278">
            <v>0</v>
          </cell>
          <cell r="BB278">
            <v>0</v>
          </cell>
          <cell r="BC278">
            <v>0</v>
          </cell>
          <cell r="BD278">
            <v>0</v>
          </cell>
          <cell r="BE278">
            <v>0</v>
          </cell>
          <cell r="BF278">
            <v>0</v>
          </cell>
          <cell r="BG278">
            <v>0</v>
          </cell>
          <cell r="BH278">
            <v>0</v>
          </cell>
          <cell r="BJ278">
            <v>0</v>
          </cell>
          <cell r="BL278">
            <v>0</v>
          </cell>
          <cell r="BM278">
            <v>0</v>
          </cell>
          <cell r="BN278">
            <v>0</v>
          </cell>
          <cell r="BO278">
            <v>0</v>
          </cell>
          <cell r="BQ278">
            <v>0</v>
          </cell>
          <cell r="BR278">
            <v>0</v>
          </cell>
          <cell r="BS278">
            <v>0</v>
          </cell>
          <cell r="BT278">
            <v>0</v>
          </cell>
          <cell r="CB278">
            <v>0</v>
          </cell>
          <cell r="CC278">
            <v>0</v>
          </cell>
          <cell r="CD278">
            <v>0</v>
          </cell>
          <cell r="CE278">
            <v>0</v>
          </cell>
          <cell r="CF278">
            <v>0</v>
          </cell>
          <cell r="CI278">
            <v>0</v>
          </cell>
          <cell r="CJ278">
            <v>0</v>
          </cell>
          <cell r="CK278">
            <v>0</v>
          </cell>
          <cell r="CV278">
            <v>1.375706345486662E-3</v>
          </cell>
          <cell r="DG278">
            <v>59847902</v>
          </cell>
          <cell r="DR278">
            <v>20528974.84999999</v>
          </cell>
          <cell r="EC278">
            <v>2.9152893623424174</v>
          </cell>
          <cell r="EN278">
            <v>2.4095909012463064E-2</v>
          </cell>
        </row>
        <row r="279">
          <cell r="B279">
            <v>38801</v>
          </cell>
          <cell r="C279" t="str">
            <v>Brevard Academy Charter School</v>
          </cell>
          <cell r="D279">
            <v>9.3767503745672195E-5</v>
          </cell>
          <cell r="E279">
            <v>162239.64515509378</v>
          </cell>
          <cell r="F279">
            <v>126501.9720218982</v>
          </cell>
          <cell r="G279">
            <v>101701</v>
          </cell>
          <cell r="H279">
            <v>-45270.62590797188</v>
          </cell>
          <cell r="I279">
            <v>-1873.3839165981044</v>
          </cell>
          <cell r="J279">
            <v>136907.56296935916</v>
          </cell>
          <cell r="K279">
            <v>0</v>
          </cell>
          <cell r="L279">
            <v>-7193.3506368068129</v>
          </cell>
          <cell r="M279">
            <v>1290.8983175364137</v>
          </cell>
          <cell r="N279">
            <v>48.663459093928957</v>
          </cell>
          <cell r="O279">
            <v>-21.961287052273885</v>
          </cell>
          <cell r="P279">
            <v>0</v>
          </cell>
          <cell r="Q279">
            <v>0</v>
          </cell>
          <cell r="R279">
            <v>0</v>
          </cell>
          <cell r="S279">
            <v>474330.42017455248</v>
          </cell>
          <cell r="T279">
            <v>520923</v>
          </cell>
          <cell r="U279">
            <v>684537.81484679575</v>
          </cell>
          <cell r="V279">
            <v>5163.593270145655</v>
          </cell>
          <cell r="W279">
            <v>0</v>
          </cell>
          <cell r="X279">
            <v>1210624.4081169413</v>
          </cell>
          <cell r="Y279">
            <v>12420.680000000008</v>
          </cell>
          <cell r="Z279">
            <v>0</v>
          </cell>
          <cell r="AA279">
            <v>0</v>
          </cell>
          <cell r="AB279">
            <v>9366.919582990522</v>
          </cell>
          <cell r="AC279">
            <v>21787.59958299053</v>
          </cell>
          <cell r="AD279" t="str">
            <v>N/A</v>
          </cell>
          <cell r="AE279">
            <v>238026</v>
          </cell>
          <cell r="AF279">
            <v>238026</v>
          </cell>
          <cell r="AG279">
            <v>238026</v>
          </cell>
          <cell r="AH279">
            <v>238026</v>
          </cell>
          <cell r="AI279">
            <v>236735</v>
          </cell>
          <cell r="AJ279">
            <v>0</v>
          </cell>
          <cell r="AK279">
            <v>1188839</v>
          </cell>
          <cell r="AL279">
            <v>2483706</v>
          </cell>
          <cell r="AM279">
            <v>474330.42017455248</v>
          </cell>
          <cell r="AN279">
            <v>-67668.319999999992</v>
          </cell>
          <cell r="AO279">
            <v>680334.48853395099</v>
          </cell>
          <cell r="AP279">
            <v>0</v>
          </cell>
          <cell r="AQ279">
            <v>508502.32</v>
          </cell>
          <cell r="AR279">
            <v>0</v>
          </cell>
          <cell r="AS279">
            <v>0</v>
          </cell>
          <cell r="AT279">
            <v>4079204.9087085035</v>
          </cell>
          <cell r="AU279">
            <v>7.4913116459634409E-5</v>
          </cell>
          <cell r="AV279">
            <v>0</v>
          </cell>
          <cell r="AW279">
            <v>0</v>
          </cell>
          <cell r="AY279">
            <v>0</v>
          </cell>
          <cell r="AZ279">
            <v>0</v>
          </cell>
          <cell r="BA279">
            <v>0</v>
          </cell>
          <cell r="BB279">
            <v>0</v>
          </cell>
          <cell r="BC279">
            <v>0</v>
          </cell>
          <cell r="BD279">
            <v>0</v>
          </cell>
          <cell r="BE279">
            <v>0</v>
          </cell>
          <cell r="BF279">
            <v>0</v>
          </cell>
          <cell r="BG279">
            <v>0</v>
          </cell>
          <cell r="BH279">
            <v>0</v>
          </cell>
          <cell r="BJ279">
            <v>0</v>
          </cell>
          <cell r="BL279">
            <v>0</v>
          </cell>
          <cell r="BM279">
            <v>0</v>
          </cell>
          <cell r="BN279">
            <v>0</v>
          </cell>
          <cell r="BO279">
            <v>0</v>
          </cell>
          <cell r="BQ279">
            <v>0</v>
          </cell>
          <cell r="BR279">
            <v>0</v>
          </cell>
          <cell r="BS279">
            <v>0</v>
          </cell>
          <cell r="BT279">
            <v>0</v>
          </cell>
          <cell r="CB279">
            <v>0</v>
          </cell>
          <cell r="CC279">
            <v>0</v>
          </cell>
          <cell r="CD279">
            <v>0</v>
          </cell>
          <cell r="CE279">
            <v>0</v>
          </cell>
          <cell r="CF279">
            <v>0</v>
          </cell>
          <cell r="CI279">
            <v>0</v>
          </cell>
          <cell r="CJ279">
            <v>0</v>
          </cell>
          <cell r="CK279">
            <v>0</v>
          </cell>
          <cell r="CV279">
            <v>9.3767503745672195E-5</v>
          </cell>
          <cell r="DG279">
            <v>4079205</v>
          </cell>
          <cell r="DR279">
            <v>1091578.8099999996</v>
          </cell>
          <cell r="EC279">
            <v>3.7369770855115827</v>
          </cell>
          <cell r="EN279">
            <v>2.4095909012463064E-2</v>
          </cell>
        </row>
        <row r="280">
          <cell r="B280">
            <v>38900</v>
          </cell>
          <cell r="C280" t="str">
            <v>Tyrrell County Schools</v>
          </cell>
          <cell r="D280">
            <v>3.0670444720009053E-4</v>
          </cell>
          <cell r="E280">
            <v>530670.20762540586</v>
          </cell>
          <cell r="F280">
            <v>413775.73091774178</v>
          </cell>
          <cell r="G280">
            <v>166344</v>
          </cell>
          <cell r="H280">
            <v>-148075.8443902529</v>
          </cell>
          <cell r="I280">
            <v>-6127.6578300750743</v>
          </cell>
          <cell r="J280">
            <v>447811.41376995359</v>
          </cell>
          <cell r="K280">
            <v>0</v>
          </cell>
          <cell r="L280">
            <v>-23528.75508515476</v>
          </cell>
          <cell r="M280">
            <v>4222.4037012375566</v>
          </cell>
          <cell r="N280">
            <v>159.17347400790297</v>
          </cell>
          <cell r="O280">
            <v>-71.833248578733205</v>
          </cell>
          <cell r="P280">
            <v>0</v>
          </cell>
          <cell r="Q280">
            <v>0</v>
          </cell>
          <cell r="R280">
            <v>0</v>
          </cell>
          <cell r="S280">
            <v>1385178.8389342856</v>
          </cell>
          <cell r="T280">
            <v>849882</v>
          </cell>
          <cell r="U280">
            <v>2239057.068849768</v>
          </cell>
          <cell r="V280">
            <v>16889.614804950226</v>
          </cell>
          <cell r="W280">
            <v>0</v>
          </cell>
          <cell r="X280">
            <v>3105828.6836547181</v>
          </cell>
          <cell r="Y280">
            <v>18162.280000000028</v>
          </cell>
          <cell r="Z280">
            <v>0</v>
          </cell>
          <cell r="AA280">
            <v>0</v>
          </cell>
          <cell r="AB280">
            <v>30638.289150375374</v>
          </cell>
          <cell r="AC280">
            <v>48800.569150375406</v>
          </cell>
          <cell r="AD280" t="str">
            <v>N/A</v>
          </cell>
          <cell r="AE280">
            <v>612250</v>
          </cell>
          <cell r="AF280">
            <v>612250</v>
          </cell>
          <cell r="AG280">
            <v>612250</v>
          </cell>
          <cell r="AH280">
            <v>612250</v>
          </cell>
          <cell r="AI280">
            <v>608028</v>
          </cell>
          <cell r="AJ280">
            <v>0</v>
          </cell>
          <cell r="AK280">
            <v>3057028</v>
          </cell>
          <cell r="AL280">
            <v>9148771</v>
          </cell>
          <cell r="AM280">
            <v>1385178.8389342856</v>
          </cell>
          <cell r="AN280">
            <v>-248292.71999999997</v>
          </cell>
          <cell r="AO280">
            <v>2225308.3945043432</v>
          </cell>
          <cell r="AP280">
            <v>0</v>
          </cell>
          <cell r="AQ280">
            <v>831719.72</v>
          </cell>
          <cell r="AR280">
            <v>0</v>
          </cell>
          <cell r="AS280">
            <v>0</v>
          </cell>
          <cell r="AT280">
            <v>13342685.233438628</v>
          </cell>
          <cell r="AU280">
            <v>2.7594363778227297E-4</v>
          </cell>
          <cell r="AV280">
            <v>0</v>
          </cell>
          <cell r="AW280">
            <v>0</v>
          </cell>
          <cell r="AY280">
            <v>0</v>
          </cell>
          <cell r="AZ280">
            <v>0</v>
          </cell>
          <cell r="BA280">
            <v>0</v>
          </cell>
          <cell r="BB280">
            <v>0</v>
          </cell>
          <cell r="BC280">
            <v>0</v>
          </cell>
          <cell r="BD280">
            <v>0</v>
          </cell>
          <cell r="BE280">
            <v>0</v>
          </cell>
          <cell r="BF280">
            <v>0</v>
          </cell>
          <cell r="BG280">
            <v>0</v>
          </cell>
          <cell r="BH280">
            <v>0</v>
          </cell>
          <cell r="BJ280">
            <v>0</v>
          </cell>
          <cell r="BL280">
            <v>0</v>
          </cell>
          <cell r="BM280">
            <v>0</v>
          </cell>
          <cell r="BN280">
            <v>0</v>
          </cell>
          <cell r="BO280">
            <v>0</v>
          </cell>
          <cell r="BQ280">
            <v>0</v>
          </cell>
          <cell r="BR280">
            <v>0</v>
          </cell>
          <cell r="BS280">
            <v>0</v>
          </cell>
          <cell r="BT280">
            <v>0</v>
          </cell>
          <cell r="CB280">
            <v>0</v>
          </cell>
          <cell r="CC280">
            <v>0</v>
          </cell>
          <cell r="CD280">
            <v>0</v>
          </cell>
          <cell r="CE280">
            <v>0</v>
          </cell>
          <cell r="CF280">
            <v>0</v>
          </cell>
          <cell r="CI280">
            <v>0</v>
          </cell>
          <cell r="CJ280">
            <v>0</v>
          </cell>
          <cell r="CK280">
            <v>0</v>
          </cell>
          <cell r="CV280">
            <v>3.0670444720009053E-4</v>
          </cell>
          <cell r="DG280">
            <v>13342686</v>
          </cell>
          <cell r="DR280">
            <v>4694135.16</v>
          </cell>
          <cell r="EC280">
            <v>2.8424162375418263</v>
          </cell>
          <cell r="EN280">
            <v>2.4095909012463064E-2</v>
          </cell>
        </row>
        <row r="281">
          <cell r="B281">
            <v>39000</v>
          </cell>
          <cell r="C281" t="str">
            <v>Union County Schools</v>
          </cell>
          <cell r="D281">
            <v>1.3912259251114766E-2</v>
          </cell>
          <cell r="E281">
            <v>24071452.412005868</v>
          </cell>
          <cell r="F281">
            <v>18769063.484076627</v>
          </cell>
          <cell r="G281">
            <v>309528</v>
          </cell>
          <cell r="H281">
            <v>-6716790.5610477189</v>
          </cell>
          <cell r="I281">
            <v>-277953.46664312284</v>
          </cell>
          <cell r="J281">
            <v>20312938.2076139</v>
          </cell>
          <cell r="K281">
            <v>0</v>
          </cell>
          <cell r="L281">
            <v>-1067275.494662476</v>
          </cell>
          <cell r="M281">
            <v>191530.23534790819</v>
          </cell>
          <cell r="N281">
            <v>7220.1843061435411</v>
          </cell>
          <cell r="O281">
            <v>-3258.3902392035893</v>
          </cell>
          <cell r="P281">
            <v>0</v>
          </cell>
          <cell r="Q281">
            <v>0</v>
          </cell>
          <cell r="R281">
            <v>0</v>
          </cell>
          <cell r="S281">
            <v>55596454.610757925</v>
          </cell>
          <cell r="T281">
            <v>2212122</v>
          </cell>
          <cell r="U281">
            <v>101564691.0380695</v>
          </cell>
          <cell r="V281">
            <v>766120.94139163278</v>
          </cell>
          <cell r="W281">
            <v>0</v>
          </cell>
          <cell r="X281">
            <v>104542933.97946113</v>
          </cell>
          <cell r="Y281">
            <v>664486.50000000186</v>
          </cell>
          <cell r="Z281">
            <v>0</v>
          </cell>
          <cell r="AA281">
            <v>0</v>
          </cell>
          <cell r="AB281">
            <v>1389767.3332156141</v>
          </cell>
          <cell r="AC281">
            <v>2054253.8332156159</v>
          </cell>
          <cell r="AD281" t="str">
            <v>N/A</v>
          </cell>
          <cell r="AE281">
            <v>20536042</v>
          </cell>
          <cell r="AF281">
            <v>20536043</v>
          </cell>
          <cell r="AG281">
            <v>20536043</v>
          </cell>
          <cell r="AH281">
            <v>20536043</v>
          </cell>
          <cell r="AI281">
            <v>20344513</v>
          </cell>
          <cell r="AJ281">
            <v>0</v>
          </cell>
          <cell r="AK281">
            <v>102488684</v>
          </cell>
          <cell r="AL281">
            <v>458599356</v>
          </cell>
          <cell r="AM281">
            <v>55596454.610757925</v>
          </cell>
          <cell r="AN281">
            <v>-11453925.499999998</v>
          </cell>
          <cell r="AO281">
            <v>100941044.64624552</v>
          </cell>
          <cell r="AP281">
            <v>0</v>
          </cell>
          <cell r="AQ281">
            <v>1547635.4999999981</v>
          </cell>
          <cell r="AR281">
            <v>0</v>
          </cell>
          <cell r="AS281">
            <v>0</v>
          </cell>
          <cell r="AT281">
            <v>605230565.25700343</v>
          </cell>
          <cell r="AU281">
            <v>1.3832193252420312E-2</v>
          </cell>
          <cell r="AV281">
            <v>0</v>
          </cell>
          <cell r="AW281">
            <v>0</v>
          </cell>
          <cell r="AY281">
            <v>0</v>
          </cell>
          <cell r="AZ281">
            <v>0</v>
          </cell>
          <cell r="BA281">
            <v>0</v>
          </cell>
          <cell r="BB281">
            <v>0</v>
          </cell>
          <cell r="BC281">
            <v>0</v>
          </cell>
          <cell r="BD281">
            <v>0</v>
          </cell>
          <cell r="BE281">
            <v>0</v>
          </cell>
          <cell r="BF281">
            <v>0</v>
          </cell>
          <cell r="BG281">
            <v>0</v>
          </cell>
          <cell r="BH281">
            <v>0</v>
          </cell>
          <cell r="BJ281">
            <v>0</v>
          </cell>
          <cell r="BL281">
            <v>0</v>
          </cell>
          <cell r="BM281">
            <v>0</v>
          </cell>
          <cell r="BN281">
            <v>0</v>
          </cell>
          <cell r="BO281">
            <v>0</v>
          </cell>
          <cell r="BQ281">
            <v>0</v>
          </cell>
          <cell r="BR281">
            <v>0</v>
          </cell>
          <cell r="BS281">
            <v>0</v>
          </cell>
          <cell r="BT281">
            <v>0</v>
          </cell>
          <cell r="CB281">
            <v>0</v>
          </cell>
          <cell r="CC281">
            <v>0</v>
          </cell>
          <cell r="CD281">
            <v>0</v>
          </cell>
          <cell r="CE281">
            <v>0</v>
          </cell>
          <cell r="CF281">
            <v>0</v>
          </cell>
          <cell r="CI281">
            <v>0</v>
          </cell>
          <cell r="CJ281">
            <v>0</v>
          </cell>
          <cell r="CK281">
            <v>0</v>
          </cell>
          <cell r="CV281">
            <v>1.3912259251114766E-2</v>
          </cell>
          <cell r="DG281">
            <v>605230565</v>
          </cell>
          <cell r="DR281">
            <v>197758811.1799998</v>
          </cell>
          <cell r="EC281">
            <v>3.0604480345966478</v>
          </cell>
          <cell r="EN281">
            <v>2.4095909012463064E-2</v>
          </cell>
        </row>
        <row r="282">
          <cell r="B282">
            <v>39100</v>
          </cell>
          <cell r="C282" t="str">
            <v>Vance County Schools</v>
          </cell>
          <cell r="D282">
            <v>2.1343134136276353E-3</v>
          </cell>
          <cell r="E282">
            <v>3692859.8613001513</v>
          </cell>
          <cell r="F282">
            <v>2879407.5234102267</v>
          </cell>
          <cell r="G282">
            <v>-37320</v>
          </cell>
          <cell r="H282">
            <v>-1030439.1207936222</v>
          </cell>
          <cell r="I282">
            <v>-42641.51504890791</v>
          </cell>
          <cell r="J282">
            <v>3116257.0869447929</v>
          </cell>
          <cell r="K282">
            <v>0</v>
          </cell>
          <cell r="L282">
            <v>-163733.32060439198</v>
          </cell>
          <cell r="M282">
            <v>29383.117654707523</v>
          </cell>
          <cell r="N282">
            <v>1107.6659754044701</v>
          </cell>
          <cell r="O282">
            <v>-499.87754460572847</v>
          </cell>
          <cell r="P282">
            <v>0</v>
          </cell>
          <cell r="Q282">
            <v>0</v>
          </cell>
          <cell r="R282">
            <v>0</v>
          </cell>
          <cell r="S282">
            <v>8444381.421293756</v>
          </cell>
          <cell r="T282">
            <v>121488.72999999975</v>
          </cell>
          <cell r="U282">
            <v>15581285.434723964</v>
          </cell>
          <cell r="V282">
            <v>117532.47061883009</v>
          </cell>
          <cell r="W282">
            <v>0</v>
          </cell>
          <cell r="X282">
            <v>15820306.635342795</v>
          </cell>
          <cell r="Y282">
            <v>308092</v>
          </cell>
          <cell r="Z282">
            <v>0</v>
          </cell>
          <cell r="AA282">
            <v>0</v>
          </cell>
          <cell r="AB282">
            <v>213207.57524453953</v>
          </cell>
          <cell r="AC282">
            <v>521299.57524453953</v>
          </cell>
          <cell r="AD282" t="str">
            <v>N/A</v>
          </cell>
          <cell r="AE282">
            <v>3065679</v>
          </cell>
          <cell r="AF282">
            <v>3065678</v>
          </cell>
          <cell r="AG282">
            <v>3065678</v>
          </cell>
          <cell r="AH282">
            <v>3065678</v>
          </cell>
          <cell r="AI282">
            <v>3036295</v>
          </cell>
          <cell r="AJ282">
            <v>0</v>
          </cell>
          <cell r="AK282">
            <v>15299008</v>
          </cell>
          <cell r="AL282">
            <v>71131789</v>
          </cell>
          <cell r="AM282">
            <v>8444381.421293756</v>
          </cell>
          <cell r="AN282">
            <v>-2025289.7299999997</v>
          </cell>
          <cell r="AO282">
            <v>15485610.330098255</v>
          </cell>
          <cell r="AP282">
            <v>0</v>
          </cell>
          <cell r="AQ282">
            <v>-186603.27000000025</v>
          </cell>
          <cell r="AR282">
            <v>0</v>
          </cell>
          <cell r="AS282">
            <v>0</v>
          </cell>
          <cell r="AT282">
            <v>92849887.751392007</v>
          </cell>
          <cell r="AU282">
            <v>2.1454645216955467E-3</v>
          </cell>
          <cell r="AV282">
            <v>0</v>
          </cell>
          <cell r="AW282">
            <v>0</v>
          </cell>
          <cell r="AY282">
            <v>0</v>
          </cell>
          <cell r="AZ282">
            <v>0</v>
          </cell>
          <cell r="BA282">
            <v>0</v>
          </cell>
          <cell r="BB282">
            <v>0</v>
          </cell>
          <cell r="BC282">
            <v>0</v>
          </cell>
          <cell r="BD282">
            <v>0</v>
          </cell>
          <cell r="BE282">
            <v>0</v>
          </cell>
          <cell r="BF282">
            <v>0</v>
          </cell>
          <cell r="BG282">
            <v>0</v>
          </cell>
          <cell r="BH282">
            <v>0</v>
          </cell>
          <cell r="BJ282">
            <v>0</v>
          </cell>
          <cell r="BL282">
            <v>0</v>
          </cell>
          <cell r="BM282">
            <v>0</v>
          </cell>
          <cell r="BN282">
            <v>0</v>
          </cell>
          <cell r="BO282">
            <v>0</v>
          </cell>
          <cell r="BQ282">
            <v>0</v>
          </cell>
          <cell r="BR282">
            <v>0</v>
          </cell>
          <cell r="BS282">
            <v>0</v>
          </cell>
          <cell r="BT282">
            <v>0</v>
          </cell>
          <cell r="CB282">
            <v>0</v>
          </cell>
          <cell r="CC282">
            <v>0</v>
          </cell>
          <cell r="CD282">
            <v>0</v>
          </cell>
          <cell r="CE282">
            <v>0</v>
          </cell>
          <cell r="CF282">
            <v>0</v>
          </cell>
          <cell r="CI282">
            <v>0</v>
          </cell>
          <cell r="CJ282">
            <v>0</v>
          </cell>
          <cell r="CK282">
            <v>0</v>
          </cell>
          <cell r="CV282">
            <v>2.1343134136276353E-3</v>
          </cell>
          <cell r="DG282">
            <v>92849888</v>
          </cell>
          <cell r="DR282">
            <v>34567866.200000018</v>
          </cell>
          <cell r="EC282">
            <v>2.6860173394214293</v>
          </cell>
          <cell r="EN282">
            <v>2.4095909012463064E-2</v>
          </cell>
        </row>
        <row r="283">
          <cell r="B283">
            <v>39101</v>
          </cell>
          <cell r="C283" t="str">
            <v>Vance Charter School</v>
          </cell>
          <cell r="D283">
            <v>1.5215746481731001E-4</v>
          </cell>
          <cell r="E283">
            <v>263267.89253786032</v>
          </cell>
          <cell r="F283">
            <v>205276.0134198486</v>
          </cell>
          <cell r="G283">
            <v>36828</v>
          </cell>
          <cell r="H283">
            <v>-73461.096794610581</v>
          </cell>
          <cell r="I283">
            <v>-3039.9587916111809</v>
          </cell>
          <cell r="J283">
            <v>222161.26977460878</v>
          </cell>
          <cell r="K283">
            <v>0</v>
          </cell>
          <cell r="L283">
            <v>-11672.721920882152</v>
          </cell>
          <cell r="M283">
            <v>2094.7535925241823</v>
          </cell>
          <cell r="N283">
            <v>78.966681090887548</v>
          </cell>
          <cell r="O283">
            <v>-35.636799834862174</v>
          </cell>
          <cell r="P283">
            <v>0</v>
          </cell>
          <cell r="Q283">
            <v>0</v>
          </cell>
          <cell r="R283">
            <v>0</v>
          </cell>
          <cell r="S283">
            <v>641497.48169899406</v>
          </cell>
          <cell r="T283">
            <v>186264</v>
          </cell>
          <cell r="U283">
            <v>1110806.3488730439</v>
          </cell>
          <cell r="V283">
            <v>8379.0143700967292</v>
          </cell>
          <cell r="W283">
            <v>0</v>
          </cell>
          <cell r="X283">
            <v>1305449.3632431405</v>
          </cell>
          <cell r="Y283">
            <v>2125.3099999999977</v>
          </cell>
          <cell r="Z283">
            <v>0</v>
          </cell>
          <cell r="AA283">
            <v>0</v>
          </cell>
          <cell r="AB283">
            <v>15199.793958055903</v>
          </cell>
          <cell r="AC283">
            <v>17325.103958055901</v>
          </cell>
          <cell r="AD283" t="str">
            <v>N/A</v>
          </cell>
          <cell r="AE283">
            <v>258044</v>
          </cell>
          <cell r="AF283">
            <v>258044</v>
          </cell>
          <cell r="AG283">
            <v>258044</v>
          </cell>
          <cell r="AH283">
            <v>258044</v>
          </cell>
          <cell r="AI283">
            <v>255949</v>
          </cell>
          <cell r="AJ283">
            <v>0</v>
          </cell>
          <cell r="AK283">
            <v>1288125</v>
          </cell>
          <cell r="AL283">
            <v>4821187</v>
          </cell>
          <cell r="AM283">
            <v>641497.48169899406</v>
          </cell>
          <cell r="AN283">
            <v>-131441.69</v>
          </cell>
          <cell r="AO283">
            <v>1103985.569285085</v>
          </cell>
          <cell r="AP283">
            <v>0</v>
          </cell>
          <cell r="AQ283">
            <v>184138.69</v>
          </cell>
          <cell r="AR283">
            <v>0</v>
          </cell>
          <cell r="AS283">
            <v>0</v>
          </cell>
          <cell r="AT283">
            <v>6619367.0509840781</v>
          </cell>
          <cell r="AU283">
            <v>1.4541579333947972E-4</v>
          </cell>
          <cell r="AV283">
            <v>0</v>
          </cell>
          <cell r="AW283">
            <v>0</v>
          </cell>
          <cell r="AY283">
            <v>0</v>
          </cell>
          <cell r="AZ283">
            <v>0</v>
          </cell>
          <cell r="BA283">
            <v>0</v>
          </cell>
          <cell r="BB283">
            <v>0</v>
          </cell>
          <cell r="BC283">
            <v>0</v>
          </cell>
          <cell r="BD283">
            <v>0</v>
          </cell>
          <cell r="BE283">
            <v>0</v>
          </cell>
          <cell r="BF283">
            <v>0</v>
          </cell>
          <cell r="BG283">
            <v>0</v>
          </cell>
          <cell r="BH283">
            <v>0</v>
          </cell>
          <cell r="BJ283">
            <v>0</v>
          </cell>
          <cell r="BL283">
            <v>0</v>
          </cell>
          <cell r="BM283">
            <v>0</v>
          </cell>
          <cell r="BN283">
            <v>0</v>
          </cell>
          <cell r="BO283">
            <v>0</v>
          </cell>
          <cell r="BQ283">
            <v>0</v>
          </cell>
          <cell r="BR283">
            <v>0</v>
          </cell>
          <cell r="BS283">
            <v>0</v>
          </cell>
          <cell r="BT283">
            <v>0</v>
          </cell>
          <cell r="CB283">
            <v>0</v>
          </cell>
          <cell r="CC283">
            <v>0</v>
          </cell>
          <cell r="CD283">
            <v>0</v>
          </cell>
          <cell r="CE283">
            <v>0</v>
          </cell>
          <cell r="CF283">
            <v>0</v>
          </cell>
          <cell r="CI283">
            <v>0</v>
          </cell>
          <cell r="CJ283">
            <v>0</v>
          </cell>
          <cell r="CK283">
            <v>0</v>
          </cell>
          <cell r="CV283">
            <v>1.5215746481731001E-4</v>
          </cell>
          <cell r="DG283">
            <v>6619367</v>
          </cell>
          <cell r="DR283">
            <v>2334424.14</v>
          </cell>
          <cell r="EC283">
            <v>2.8355459860863159</v>
          </cell>
          <cell r="EN283">
            <v>2.4095909012463064E-2</v>
          </cell>
        </row>
        <row r="284">
          <cell r="B284">
            <v>39105</v>
          </cell>
          <cell r="C284" t="str">
            <v>Vance-Granville Community College</v>
          </cell>
          <cell r="D284">
            <v>8.8130321561062132E-4</v>
          </cell>
          <cell r="E284">
            <v>1524860.0555958557</v>
          </cell>
          <cell r="F284">
            <v>1188968.3554589599</v>
          </cell>
          <cell r="G284">
            <v>-15710</v>
          </cell>
          <cell r="H284">
            <v>-425490.13881840237</v>
          </cell>
          <cell r="I284">
            <v>-17607.584758246609</v>
          </cell>
          <cell r="J284">
            <v>1286768.5569786616</v>
          </cell>
          <cell r="K284">
            <v>0</v>
          </cell>
          <cell r="L284">
            <v>-67608.95613076564</v>
          </cell>
          <cell r="M284">
            <v>12132.911646628871</v>
          </cell>
          <cell r="N284">
            <v>457.37874283760027</v>
          </cell>
          <cell r="O284">
            <v>-206.41002612816362</v>
          </cell>
          <cell r="P284">
            <v>0</v>
          </cell>
          <cell r="Q284">
            <v>0</v>
          </cell>
          <cell r="R284">
            <v>0</v>
          </cell>
          <cell r="S284">
            <v>3486564.1686894009</v>
          </cell>
          <cell r="T284">
            <v>24041.95000000007</v>
          </cell>
          <cell r="U284">
            <v>6433842.7848933078</v>
          </cell>
          <cell r="V284">
            <v>48531.646586515482</v>
          </cell>
          <cell r="W284">
            <v>0</v>
          </cell>
          <cell r="X284">
            <v>6506416.381479824</v>
          </cell>
          <cell r="Y284">
            <v>102591</v>
          </cell>
          <cell r="Z284">
            <v>0</v>
          </cell>
          <cell r="AA284">
            <v>0</v>
          </cell>
          <cell r="AB284">
            <v>88037.923791233043</v>
          </cell>
          <cell r="AC284">
            <v>190628.92379123304</v>
          </cell>
          <cell r="AD284" t="str">
            <v>N/A</v>
          </cell>
          <cell r="AE284">
            <v>1265584</v>
          </cell>
          <cell r="AF284">
            <v>1265584</v>
          </cell>
          <cell r="AG284">
            <v>1265584</v>
          </cell>
          <cell r="AH284">
            <v>1265584</v>
          </cell>
          <cell r="AI284">
            <v>1253451</v>
          </cell>
          <cell r="AJ284">
            <v>0</v>
          </cell>
          <cell r="AK284">
            <v>6315787</v>
          </cell>
          <cell r="AL284">
            <v>29342270</v>
          </cell>
          <cell r="AM284">
            <v>3486564.1686894009</v>
          </cell>
          <cell r="AN284">
            <v>-804936.95000000007</v>
          </cell>
          <cell r="AO284">
            <v>6394336.5076885903</v>
          </cell>
          <cell r="AP284">
            <v>0</v>
          </cell>
          <cell r="AQ284">
            <v>-78549.04999999993</v>
          </cell>
          <cell r="AR284">
            <v>0</v>
          </cell>
          <cell r="AS284">
            <v>0</v>
          </cell>
          <cell r="AT284">
            <v>38339684.676377997</v>
          </cell>
          <cell r="AU284">
            <v>8.8501638459836463E-4</v>
          </cell>
          <cell r="AV284">
            <v>0</v>
          </cell>
          <cell r="AW284">
            <v>0</v>
          </cell>
          <cell r="AY284">
            <v>0</v>
          </cell>
          <cell r="AZ284">
            <v>0</v>
          </cell>
          <cell r="BA284">
            <v>0</v>
          </cell>
          <cell r="BB284">
            <v>0</v>
          </cell>
          <cell r="BC284">
            <v>0</v>
          </cell>
          <cell r="BD284">
            <v>0</v>
          </cell>
          <cell r="BE284">
            <v>0</v>
          </cell>
          <cell r="BF284">
            <v>0</v>
          </cell>
          <cell r="BG284">
            <v>0</v>
          </cell>
          <cell r="BH284">
            <v>0</v>
          </cell>
          <cell r="BJ284">
            <v>0</v>
          </cell>
          <cell r="BL284">
            <v>0</v>
          </cell>
          <cell r="BM284">
            <v>0</v>
          </cell>
          <cell r="BN284">
            <v>0</v>
          </cell>
          <cell r="BO284">
            <v>0</v>
          </cell>
          <cell r="BQ284">
            <v>0</v>
          </cell>
          <cell r="BR284">
            <v>0</v>
          </cell>
          <cell r="BS284">
            <v>0</v>
          </cell>
          <cell r="BT284">
            <v>0</v>
          </cell>
          <cell r="CB284">
            <v>0</v>
          </cell>
          <cell r="CC284">
            <v>0</v>
          </cell>
          <cell r="CD284">
            <v>0</v>
          </cell>
          <cell r="CE284">
            <v>0</v>
          </cell>
          <cell r="CF284">
            <v>0</v>
          </cell>
          <cell r="CI284">
            <v>0</v>
          </cell>
          <cell r="CJ284">
            <v>0</v>
          </cell>
          <cell r="CK284">
            <v>0</v>
          </cell>
          <cell r="CV284">
            <v>8.8130321561062132E-4</v>
          </cell>
          <cell r="DG284">
            <v>38339685</v>
          </cell>
          <cell r="DR284">
            <v>13797491.369999997</v>
          </cell>
          <cell r="EC284">
            <v>2.7787431767025637</v>
          </cell>
          <cell r="EN284">
            <v>2.4095909012463064E-2</v>
          </cell>
        </row>
        <row r="285">
          <cell r="B285">
            <v>39200</v>
          </cell>
          <cell r="C285" t="str">
            <v>Wake County Schools</v>
          </cell>
          <cell r="D285">
            <v>5.6205005681760727E-2</v>
          </cell>
          <cell r="E285">
            <v>97247765.094415873</v>
          </cell>
          <cell r="F285">
            <v>75826312.658695325</v>
          </cell>
          <cell r="G285">
            <v>12440559</v>
          </cell>
          <cell r="H285">
            <v>-27135581.995184142</v>
          </cell>
          <cell r="I285">
            <v>-1122921.5823224408</v>
          </cell>
          <cell r="J285">
            <v>82063508.648367971</v>
          </cell>
          <cell r="K285">
            <v>0</v>
          </cell>
          <cell r="L285">
            <v>-4311752.9769078922</v>
          </cell>
          <cell r="M285">
            <v>773774.96865547355</v>
          </cell>
          <cell r="N285">
            <v>29169.273848720182</v>
          </cell>
          <cell r="O285">
            <v>-13163.774380725179</v>
          </cell>
          <cell r="P285">
            <v>0</v>
          </cell>
          <cell r="Q285">
            <v>0</v>
          </cell>
          <cell r="R285">
            <v>0</v>
          </cell>
          <cell r="S285">
            <v>235797669.31518814</v>
          </cell>
          <cell r="T285">
            <v>64262666</v>
          </cell>
          <cell r="U285">
            <v>410317543.24183983</v>
          </cell>
          <cell r="V285">
            <v>3095099.8746218942</v>
          </cell>
          <cell r="W285">
            <v>0</v>
          </cell>
          <cell r="X285">
            <v>477675309.11646169</v>
          </cell>
          <cell r="Y285">
            <v>2059870.0199999958</v>
          </cell>
          <cell r="Z285">
            <v>0</v>
          </cell>
          <cell r="AA285">
            <v>0</v>
          </cell>
          <cell r="AB285">
            <v>5614607.9116122043</v>
          </cell>
          <cell r="AC285">
            <v>7674477.9316122001</v>
          </cell>
          <cell r="AD285" t="str">
            <v>N/A</v>
          </cell>
          <cell r="AE285">
            <v>94154921</v>
          </cell>
          <cell r="AF285">
            <v>94154921</v>
          </cell>
          <cell r="AG285">
            <v>94154921</v>
          </cell>
          <cell r="AH285">
            <v>94154921</v>
          </cell>
          <cell r="AI285">
            <v>93381146</v>
          </cell>
          <cell r="AJ285">
            <v>0</v>
          </cell>
          <cell r="AK285">
            <v>470000830</v>
          </cell>
          <cell r="AL285">
            <v>1786333274</v>
          </cell>
          <cell r="AM285">
            <v>235797669.31518814</v>
          </cell>
          <cell r="AN285">
            <v>-47022986.980000004</v>
          </cell>
          <cell r="AO285">
            <v>407798035.20484954</v>
          </cell>
          <cell r="AP285">
            <v>0</v>
          </cell>
          <cell r="AQ285">
            <v>62202795.980000004</v>
          </cell>
          <cell r="AR285">
            <v>0</v>
          </cell>
          <cell r="AS285">
            <v>0</v>
          </cell>
          <cell r="AT285">
            <v>2445108787.5200377</v>
          </cell>
          <cell r="AU285">
            <v>5.3879070587080385E-2</v>
          </cell>
          <cell r="AV285">
            <v>0</v>
          </cell>
          <cell r="AW285">
            <v>0</v>
          </cell>
          <cell r="AY285">
            <v>0</v>
          </cell>
          <cell r="AZ285">
            <v>0</v>
          </cell>
          <cell r="BA285">
            <v>0</v>
          </cell>
          <cell r="BB285">
            <v>0</v>
          </cell>
          <cell r="BC285">
            <v>0</v>
          </cell>
          <cell r="BD285">
            <v>0</v>
          </cell>
          <cell r="BE285">
            <v>0</v>
          </cell>
          <cell r="BF285">
            <v>0</v>
          </cell>
          <cell r="BG285">
            <v>0</v>
          </cell>
          <cell r="BH285">
            <v>0</v>
          </cell>
          <cell r="BJ285">
            <v>0</v>
          </cell>
          <cell r="BL285">
            <v>0</v>
          </cell>
          <cell r="BM285">
            <v>0</v>
          </cell>
          <cell r="BN285">
            <v>0</v>
          </cell>
          <cell r="BO285">
            <v>0</v>
          </cell>
          <cell r="BQ285">
            <v>0</v>
          </cell>
          <cell r="BR285">
            <v>0</v>
          </cell>
          <cell r="BS285">
            <v>0</v>
          </cell>
          <cell r="BT285">
            <v>0</v>
          </cell>
          <cell r="CB285">
            <v>0</v>
          </cell>
          <cell r="CC285">
            <v>0</v>
          </cell>
          <cell r="CD285">
            <v>0</v>
          </cell>
          <cell r="CE285">
            <v>0</v>
          </cell>
          <cell r="CF285">
            <v>0</v>
          </cell>
          <cell r="CI285">
            <v>0</v>
          </cell>
          <cell r="CJ285">
            <v>0</v>
          </cell>
          <cell r="CK285">
            <v>0</v>
          </cell>
          <cell r="CV285">
            <v>5.6205005681760727E-2</v>
          </cell>
          <cell r="DG285">
            <v>2445108788</v>
          </cell>
          <cell r="DR285">
            <v>801554623.66998684</v>
          </cell>
          <cell r="EC285">
            <v>3.0504580920572311</v>
          </cell>
          <cell r="EN285">
            <v>2.4095909012463064E-2</v>
          </cell>
        </row>
        <row r="286">
          <cell r="B286">
            <v>39201</v>
          </cell>
          <cell r="C286" t="str">
            <v>Endeavor Charter School</v>
          </cell>
          <cell r="D286">
            <v>1.7905342645631924E-4</v>
          </cell>
          <cell r="E286">
            <v>309804.17747782567</v>
          </cell>
          <cell r="F286">
            <v>241561.42201927534</v>
          </cell>
          <cell r="G286">
            <v>58806</v>
          </cell>
          <cell r="H286">
            <v>-86446.373880553554</v>
          </cell>
          <cell r="I286">
            <v>-3577.3140580222807</v>
          </cell>
          <cell r="J286">
            <v>261431.38377595413</v>
          </cell>
          <cell r="K286">
            <v>0</v>
          </cell>
          <cell r="L286">
            <v>-13736.038902298844</v>
          </cell>
          <cell r="M286">
            <v>2465.0306100556791</v>
          </cell>
          <cell r="N286">
            <v>92.925147262300555</v>
          </cell>
          <cell r="O286">
            <v>-41.936103010334527</v>
          </cell>
          <cell r="P286">
            <v>0</v>
          </cell>
          <cell r="Q286">
            <v>0</v>
          </cell>
          <cell r="R286">
            <v>0</v>
          </cell>
          <cell r="S286">
            <v>770359.27608648804</v>
          </cell>
          <cell r="T286">
            <v>326181</v>
          </cell>
          <cell r="U286">
            <v>1307156.9188797707</v>
          </cell>
          <cell r="V286">
            <v>9860.1224402227162</v>
          </cell>
          <cell r="W286">
            <v>0</v>
          </cell>
          <cell r="X286">
            <v>1643198.0413199933</v>
          </cell>
          <cell r="Y286">
            <v>32152.429999999993</v>
          </cell>
          <cell r="Z286">
            <v>0</v>
          </cell>
          <cell r="AA286">
            <v>0</v>
          </cell>
          <cell r="AB286">
            <v>17886.570290111402</v>
          </cell>
          <cell r="AC286">
            <v>50039.000290111391</v>
          </cell>
          <cell r="AD286" t="str">
            <v>N/A</v>
          </cell>
          <cell r="AE286">
            <v>319125</v>
          </cell>
          <cell r="AF286">
            <v>319124</v>
          </cell>
          <cell r="AG286">
            <v>319124</v>
          </cell>
          <cell r="AH286">
            <v>319124</v>
          </cell>
          <cell r="AI286">
            <v>316659</v>
          </cell>
          <cell r="AJ286">
            <v>0</v>
          </cell>
          <cell r="AK286">
            <v>1593156</v>
          </cell>
          <cell r="AL286">
            <v>5545009</v>
          </cell>
          <cell r="AM286">
            <v>770359.27608648804</v>
          </cell>
          <cell r="AN286">
            <v>-119094.57</v>
          </cell>
          <cell r="AO286">
            <v>1299130.4710298821</v>
          </cell>
          <cell r="AP286">
            <v>0</v>
          </cell>
          <cell r="AQ286">
            <v>294028.57</v>
          </cell>
          <cell r="AR286">
            <v>0</v>
          </cell>
          <cell r="AS286">
            <v>0</v>
          </cell>
          <cell r="AT286">
            <v>7789432.7471163701</v>
          </cell>
          <cell r="AU286">
            <v>1.6724759613249247E-4</v>
          </cell>
          <cell r="AV286">
            <v>0</v>
          </cell>
          <cell r="AW286">
            <v>0</v>
          </cell>
          <cell r="AY286">
            <v>0</v>
          </cell>
          <cell r="AZ286">
            <v>0</v>
          </cell>
          <cell r="BA286">
            <v>0</v>
          </cell>
          <cell r="BB286">
            <v>0</v>
          </cell>
          <cell r="BC286">
            <v>0</v>
          </cell>
          <cell r="BD286">
            <v>0</v>
          </cell>
          <cell r="BE286">
            <v>0</v>
          </cell>
          <cell r="BF286">
            <v>0</v>
          </cell>
          <cell r="BG286">
            <v>0</v>
          </cell>
          <cell r="BH286">
            <v>0</v>
          </cell>
          <cell r="BJ286">
            <v>0</v>
          </cell>
          <cell r="BL286">
            <v>0</v>
          </cell>
          <cell r="BM286">
            <v>0</v>
          </cell>
          <cell r="BN286">
            <v>0</v>
          </cell>
          <cell r="BO286">
            <v>0</v>
          </cell>
          <cell r="BQ286">
            <v>0</v>
          </cell>
          <cell r="BR286">
            <v>0</v>
          </cell>
          <cell r="BS286">
            <v>0</v>
          </cell>
          <cell r="BT286">
            <v>0</v>
          </cell>
          <cell r="CB286">
            <v>0</v>
          </cell>
          <cell r="CC286">
            <v>0</v>
          </cell>
          <cell r="CD286">
            <v>0</v>
          </cell>
          <cell r="CE286">
            <v>0</v>
          </cell>
          <cell r="CF286">
            <v>0</v>
          </cell>
          <cell r="CI286">
            <v>0</v>
          </cell>
          <cell r="CJ286">
            <v>0</v>
          </cell>
          <cell r="CK286">
            <v>0</v>
          </cell>
          <cell r="CV286">
            <v>1.7905342645631924E-4</v>
          </cell>
          <cell r="DG286">
            <v>7789433</v>
          </cell>
          <cell r="DR286">
            <v>2039344.5000000002</v>
          </cell>
          <cell r="EC286">
            <v>3.8195768297117034</v>
          </cell>
          <cell r="EN286">
            <v>2.4095909012463064E-2</v>
          </cell>
        </row>
        <row r="287">
          <cell r="B287">
            <v>39204</v>
          </cell>
          <cell r="C287" t="str">
            <v>Southern Wake Academy</v>
          </cell>
          <cell r="D287">
            <v>1.1647535282977027E-4</v>
          </cell>
          <cell r="E287">
            <v>201529.51883704652</v>
          </cell>
          <cell r="F287">
            <v>157137.18757914976</v>
          </cell>
          <cell r="G287">
            <v>72091</v>
          </cell>
          <cell r="H287">
            <v>-56233.896764036799</v>
          </cell>
          <cell r="I287">
            <v>-2327.0647500995483</v>
          </cell>
          <cell r="J287">
            <v>170062.71965148798</v>
          </cell>
          <cell r="K287">
            <v>0</v>
          </cell>
          <cell r="L287">
            <v>-8935.3776093137876</v>
          </cell>
          <cell r="M287">
            <v>1603.5175406847741</v>
          </cell>
          <cell r="N287">
            <v>60.448378611594173</v>
          </cell>
          <cell r="O287">
            <v>-27.279692386260496</v>
          </cell>
          <cell r="P287">
            <v>0</v>
          </cell>
          <cell r="Q287">
            <v>0</v>
          </cell>
          <cell r="R287">
            <v>0</v>
          </cell>
          <cell r="S287">
            <v>534960.77317114419</v>
          </cell>
          <cell r="T287">
            <v>370823</v>
          </cell>
          <cell r="U287">
            <v>850313.59825743979</v>
          </cell>
          <cell r="V287">
            <v>6414.0701627390963</v>
          </cell>
          <cell r="W287">
            <v>0</v>
          </cell>
          <cell r="X287">
            <v>1227550.6684201788</v>
          </cell>
          <cell r="Y287">
            <v>10371.540000000008</v>
          </cell>
          <cell r="Z287">
            <v>0</v>
          </cell>
          <cell r="AA287">
            <v>0</v>
          </cell>
          <cell r="AB287">
            <v>11635.323750497742</v>
          </cell>
          <cell r="AC287">
            <v>22006.863750497752</v>
          </cell>
          <cell r="AD287" t="str">
            <v>N/A</v>
          </cell>
          <cell r="AE287">
            <v>241430</v>
          </cell>
          <cell r="AF287">
            <v>241430</v>
          </cell>
          <cell r="AG287">
            <v>241430</v>
          </cell>
          <cell r="AH287">
            <v>241430</v>
          </cell>
          <cell r="AI287">
            <v>239827</v>
          </cell>
          <cell r="AJ287">
            <v>0</v>
          </cell>
          <cell r="AK287">
            <v>1205547</v>
          </cell>
          <cell r="AL287">
            <v>3416693</v>
          </cell>
          <cell r="AM287">
            <v>534960.77317114419</v>
          </cell>
          <cell r="AN287">
            <v>-90124.459999999992</v>
          </cell>
          <cell r="AO287">
            <v>845092.34466968128</v>
          </cell>
          <cell r="AP287">
            <v>0</v>
          </cell>
          <cell r="AQ287">
            <v>360451.45999999996</v>
          </cell>
          <cell r="AR287">
            <v>0</v>
          </cell>
          <cell r="AS287">
            <v>0</v>
          </cell>
          <cell r="AT287">
            <v>5067073.1178408256</v>
          </cell>
          <cell r="AU287">
            <v>1.0305369739751568E-4</v>
          </cell>
          <cell r="AV287">
            <v>0</v>
          </cell>
          <cell r="AW287">
            <v>0</v>
          </cell>
          <cell r="AY287">
            <v>0</v>
          </cell>
          <cell r="AZ287">
            <v>0</v>
          </cell>
          <cell r="BA287">
            <v>0</v>
          </cell>
          <cell r="BB287">
            <v>0</v>
          </cell>
          <cell r="BC287">
            <v>0</v>
          </cell>
          <cell r="BD287">
            <v>0</v>
          </cell>
          <cell r="BE287">
            <v>0</v>
          </cell>
          <cell r="BF287">
            <v>0</v>
          </cell>
          <cell r="BG287">
            <v>0</v>
          </cell>
          <cell r="BH287">
            <v>0</v>
          </cell>
          <cell r="BJ287">
            <v>0</v>
          </cell>
          <cell r="BL287">
            <v>0</v>
          </cell>
          <cell r="BM287">
            <v>0</v>
          </cell>
          <cell r="BN287">
            <v>0</v>
          </cell>
          <cell r="BO287">
            <v>0</v>
          </cell>
          <cell r="BQ287">
            <v>0</v>
          </cell>
          <cell r="BR287">
            <v>0</v>
          </cell>
          <cell r="BS287">
            <v>0</v>
          </cell>
          <cell r="BT287">
            <v>0</v>
          </cell>
          <cell r="CB287">
            <v>0</v>
          </cell>
          <cell r="CC287">
            <v>0</v>
          </cell>
          <cell r="CD287">
            <v>0</v>
          </cell>
          <cell r="CE287">
            <v>0</v>
          </cell>
          <cell r="CF287">
            <v>0</v>
          </cell>
          <cell r="CI287">
            <v>0</v>
          </cell>
          <cell r="CJ287">
            <v>0</v>
          </cell>
          <cell r="CK287">
            <v>0</v>
          </cell>
          <cell r="CV287">
            <v>1.1647535282977027E-4</v>
          </cell>
          <cell r="DG287">
            <v>5067074</v>
          </cell>
          <cell r="DR287">
            <v>1435585.1600000004</v>
          </cell>
          <cell r="EC287">
            <v>3.529622721928944</v>
          </cell>
          <cell r="EN287">
            <v>2.4095909012463064E-2</v>
          </cell>
        </row>
        <row r="288">
          <cell r="B288">
            <v>39205</v>
          </cell>
          <cell r="C288" t="str">
            <v>Wake Technical College</v>
          </cell>
          <cell r="D288">
            <v>4.3781538993554296E-3</v>
          </cell>
          <cell r="E288">
            <v>7575227.0956514524</v>
          </cell>
          <cell r="F288">
            <v>5906578.2916225661</v>
          </cell>
          <cell r="G288">
            <v>1450691</v>
          </cell>
          <cell r="H288">
            <v>-2113757.532490524</v>
          </cell>
          <cell r="I288">
            <v>-87471.274927933613</v>
          </cell>
          <cell r="J288">
            <v>6392431.8844119171</v>
          </cell>
          <cell r="K288">
            <v>0</v>
          </cell>
          <cell r="L288">
            <v>-335868.98319685925</v>
          </cell>
          <cell r="M288">
            <v>60274.095788267885</v>
          </cell>
          <cell r="N288">
            <v>2272.174310687481</v>
          </cell>
          <cell r="O288">
            <v>-1025.4074247680351</v>
          </cell>
          <cell r="P288">
            <v>0</v>
          </cell>
          <cell r="Q288">
            <v>0</v>
          </cell>
          <cell r="R288">
            <v>0</v>
          </cell>
          <cell r="S288">
            <v>18849351.343744811</v>
          </cell>
          <cell r="T288">
            <v>7253455.8300000001</v>
          </cell>
          <cell r="U288">
            <v>31962159.422059588</v>
          </cell>
          <cell r="V288">
            <v>241096.38315307154</v>
          </cell>
          <cell r="W288">
            <v>0</v>
          </cell>
          <cell r="X288">
            <v>39456711.63521266</v>
          </cell>
          <cell r="Y288">
            <v>0</v>
          </cell>
          <cell r="Z288">
            <v>0</v>
          </cell>
          <cell r="AA288">
            <v>0</v>
          </cell>
          <cell r="AB288">
            <v>437356.37463966809</v>
          </cell>
          <cell r="AC288">
            <v>437356.37463966809</v>
          </cell>
          <cell r="AD288" t="str">
            <v>N/A</v>
          </cell>
          <cell r="AE288">
            <v>7815926</v>
          </cell>
          <cell r="AF288">
            <v>7815926</v>
          </cell>
          <cell r="AG288">
            <v>7815926</v>
          </cell>
          <cell r="AH288">
            <v>7815926</v>
          </cell>
          <cell r="AI288">
            <v>7755652</v>
          </cell>
          <cell r="AJ288">
            <v>0</v>
          </cell>
          <cell r="AK288">
            <v>39019356</v>
          </cell>
          <cell r="AL288">
            <v>136626690</v>
          </cell>
          <cell r="AM288">
            <v>18849351.343744811</v>
          </cell>
          <cell r="AN288">
            <v>-4030820.8299999996</v>
          </cell>
          <cell r="AO288">
            <v>31765899.430572994</v>
          </cell>
          <cell r="AP288">
            <v>0</v>
          </cell>
          <cell r="AQ288">
            <v>7253455.8300000001</v>
          </cell>
          <cell r="AR288">
            <v>0</v>
          </cell>
          <cell r="AS288">
            <v>0</v>
          </cell>
          <cell r="AT288">
            <v>190464575.7743178</v>
          </cell>
          <cell r="AU288">
            <v>4.1209102446008112E-3</v>
          </cell>
          <cell r="AV288">
            <v>0</v>
          </cell>
          <cell r="AW288">
            <v>0</v>
          </cell>
          <cell r="AY288">
            <v>0</v>
          </cell>
          <cell r="AZ288">
            <v>0</v>
          </cell>
          <cell r="BA288">
            <v>0</v>
          </cell>
          <cell r="BB288">
            <v>0</v>
          </cell>
          <cell r="BC288">
            <v>0</v>
          </cell>
          <cell r="BD288">
            <v>0</v>
          </cell>
          <cell r="BE288">
            <v>0</v>
          </cell>
          <cell r="BF288">
            <v>0</v>
          </cell>
          <cell r="BG288">
            <v>0</v>
          </cell>
          <cell r="BH288">
            <v>0</v>
          </cell>
          <cell r="BJ288">
            <v>0</v>
          </cell>
          <cell r="BL288">
            <v>0</v>
          </cell>
          <cell r="BM288">
            <v>0</v>
          </cell>
          <cell r="BN288">
            <v>0</v>
          </cell>
          <cell r="BO288">
            <v>0</v>
          </cell>
          <cell r="BQ288">
            <v>0</v>
          </cell>
          <cell r="BR288">
            <v>0</v>
          </cell>
          <cell r="BS288">
            <v>0</v>
          </cell>
          <cell r="BT288">
            <v>0</v>
          </cell>
          <cell r="CB288">
            <v>0</v>
          </cell>
          <cell r="CC288">
            <v>0</v>
          </cell>
          <cell r="CD288">
            <v>0</v>
          </cell>
          <cell r="CE288">
            <v>0</v>
          </cell>
          <cell r="CF288">
            <v>0</v>
          </cell>
          <cell r="CI288">
            <v>0</v>
          </cell>
          <cell r="CJ288">
            <v>0</v>
          </cell>
          <cell r="CK288">
            <v>0</v>
          </cell>
          <cell r="CV288">
            <v>4.3781538993554296E-3</v>
          </cell>
          <cell r="DG288">
            <v>190464576</v>
          </cell>
          <cell r="DR288">
            <v>68393645.809999987</v>
          </cell>
          <cell r="EC288">
            <v>2.7848285282103173</v>
          </cell>
          <cell r="EN288">
            <v>2.4095909012463064E-2</v>
          </cell>
        </row>
        <row r="289">
          <cell r="B289">
            <v>39208</v>
          </cell>
          <cell r="C289" t="str">
            <v>East Wake Academy</v>
          </cell>
          <cell r="D289">
            <v>3.6078335581388513E-4</v>
          </cell>
          <cell r="E289">
            <v>624239.329052313</v>
          </cell>
          <cell r="F289">
            <v>486733.7207453507</v>
          </cell>
          <cell r="G289">
            <v>89574</v>
          </cell>
          <cell r="H289">
            <v>-174184.95408785951</v>
          </cell>
          <cell r="I289">
            <v>-7208.1020519778831</v>
          </cell>
          <cell r="J289">
            <v>526770.66181007249</v>
          </cell>
          <cell r="K289">
            <v>0</v>
          </cell>
          <cell r="L289">
            <v>-27677.405056364121</v>
          </cell>
          <cell r="M289">
            <v>4966.9086667648598</v>
          </cell>
          <cell r="N289">
            <v>187.23934600029011</v>
          </cell>
          <cell r="O289">
            <v>-84.499069765170034</v>
          </cell>
          <cell r="P289">
            <v>0</v>
          </cell>
          <cell r="Q289">
            <v>0</v>
          </cell>
          <cell r="R289">
            <v>0</v>
          </cell>
          <cell r="S289">
            <v>1523316.8993545347</v>
          </cell>
          <cell r="T289">
            <v>499557</v>
          </cell>
          <cell r="U289">
            <v>2633853.3090503621</v>
          </cell>
          <cell r="V289">
            <v>19867.634667059439</v>
          </cell>
          <cell r="W289">
            <v>0</v>
          </cell>
          <cell r="X289">
            <v>3153277.9437174215</v>
          </cell>
          <cell r="Y289">
            <v>51686.150000000023</v>
          </cell>
          <cell r="Z289">
            <v>0</v>
          </cell>
          <cell r="AA289">
            <v>0</v>
          </cell>
          <cell r="AB289">
            <v>36040.510259889415</v>
          </cell>
          <cell r="AC289">
            <v>87726.660259889439</v>
          </cell>
          <cell r="AD289" t="str">
            <v>N/A</v>
          </cell>
          <cell r="AE289">
            <v>614103</v>
          </cell>
          <cell r="AF289">
            <v>614104</v>
          </cell>
          <cell r="AG289">
            <v>614104</v>
          </cell>
          <cell r="AH289">
            <v>614104</v>
          </cell>
          <cell r="AI289">
            <v>609138</v>
          </cell>
          <cell r="AJ289">
            <v>0</v>
          </cell>
          <cell r="AK289">
            <v>3065553</v>
          </cell>
          <cell r="AL289">
            <v>11362121</v>
          </cell>
          <cell r="AM289">
            <v>1523316.8993545347</v>
          </cell>
          <cell r="AN289">
            <v>-255686.84999999998</v>
          </cell>
          <cell r="AO289">
            <v>2617680.4334575324</v>
          </cell>
          <cell r="AP289">
            <v>0</v>
          </cell>
          <cell r="AQ289">
            <v>447870.85</v>
          </cell>
          <cell r="AR289">
            <v>0</v>
          </cell>
          <cell r="AS289">
            <v>0</v>
          </cell>
          <cell r="AT289">
            <v>15695302.332812067</v>
          </cell>
          <cell r="AU289">
            <v>3.427022837792467E-4</v>
          </cell>
          <cell r="AV289">
            <v>0</v>
          </cell>
          <cell r="AW289">
            <v>0</v>
          </cell>
          <cell r="AY289">
            <v>0</v>
          </cell>
          <cell r="AZ289">
            <v>0</v>
          </cell>
          <cell r="BA289">
            <v>0</v>
          </cell>
          <cell r="BB289">
            <v>0</v>
          </cell>
          <cell r="BC289">
            <v>0</v>
          </cell>
          <cell r="BD289">
            <v>0</v>
          </cell>
          <cell r="BE289">
            <v>0</v>
          </cell>
          <cell r="BF289">
            <v>0</v>
          </cell>
          <cell r="BG289">
            <v>0</v>
          </cell>
          <cell r="BH289">
            <v>0</v>
          </cell>
          <cell r="BJ289">
            <v>0</v>
          </cell>
          <cell r="BL289">
            <v>0</v>
          </cell>
          <cell r="BM289">
            <v>0</v>
          </cell>
          <cell r="BN289">
            <v>0</v>
          </cell>
          <cell r="BO289">
            <v>0</v>
          </cell>
          <cell r="BQ289">
            <v>0</v>
          </cell>
          <cell r="BR289">
            <v>0</v>
          </cell>
          <cell r="BS289">
            <v>0</v>
          </cell>
          <cell r="BT289">
            <v>0</v>
          </cell>
          <cell r="CB289">
            <v>0</v>
          </cell>
          <cell r="CC289">
            <v>0</v>
          </cell>
          <cell r="CD289">
            <v>0</v>
          </cell>
          <cell r="CE289">
            <v>0</v>
          </cell>
          <cell r="CF289">
            <v>0</v>
          </cell>
          <cell r="CI289">
            <v>0</v>
          </cell>
          <cell r="CJ289">
            <v>0</v>
          </cell>
          <cell r="CK289">
            <v>0</v>
          </cell>
          <cell r="CV289">
            <v>3.6078335581388513E-4</v>
          </cell>
          <cell r="DG289">
            <v>15695302</v>
          </cell>
          <cell r="DR289">
            <v>4537560.049999998</v>
          </cell>
          <cell r="EC289">
            <v>3.458973947904008</v>
          </cell>
          <cell r="EN289">
            <v>2.4095909012463064E-2</v>
          </cell>
        </row>
        <row r="290">
          <cell r="B290">
            <v>39209</v>
          </cell>
          <cell r="C290" t="str">
            <v>Casa Esperanza Montessori</v>
          </cell>
          <cell r="D290">
            <v>1.7782890442666379E-4</v>
          </cell>
          <cell r="E290">
            <v>307685.46884594462</v>
          </cell>
          <cell r="F290">
            <v>239909.41630996455</v>
          </cell>
          <cell r="G290">
            <v>111430</v>
          </cell>
          <cell r="H290">
            <v>-85855.178887552989</v>
          </cell>
          <cell r="I290">
            <v>-3552.8492937463898</v>
          </cell>
          <cell r="J290">
            <v>259643.49010079424</v>
          </cell>
          <cell r="K290">
            <v>0</v>
          </cell>
          <cell r="L290">
            <v>-13642.100000547793</v>
          </cell>
          <cell r="M290">
            <v>2448.1726009936488</v>
          </cell>
          <cell r="N290">
            <v>92.289644819349974</v>
          </cell>
          <cell r="O290">
            <v>-41.649307705768926</v>
          </cell>
          <cell r="P290">
            <v>0</v>
          </cell>
          <cell r="Q290">
            <v>0</v>
          </cell>
          <cell r="R290">
            <v>0</v>
          </cell>
          <cell r="S290">
            <v>818117.06001296337</v>
          </cell>
          <cell r="T290">
            <v>583101</v>
          </cell>
          <cell r="U290">
            <v>1298217.4505039712</v>
          </cell>
          <cell r="V290">
            <v>9792.690403974595</v>
          </cell>
          <cell r="W290">
            <v>0</v>
          </cell>
          <cell r="X290">
            <v>1891111.1409079458</v>
          </cell>
          <cell r="Y290">
            <v>25949.479999999996</v>
          </cell>
          <cell r="Z290">
            <v>0</v>
          </cell>
          <cell r="AA290">
            <v>0</v>
          </cell>
          <cell r="AB290">
            <v>17764.246468731948</v>
          </cell>
          <cell r="AC290">
            <v>43713.72646873194</v>
          </cell>
          <cell r="AD290" t="str">
            <v>N/A</v>
          </cell>
          <cell r="AE290">
            <v>369969</v>
          </cell>
          <cell r="AF290">
            <v>369969</v>
          </cell>
          <cell r="AG290">
            <v>369969</v>
          </cell>
          <cell r="AH290">
            <v>369969</v>
          </cell>
          <cell r="AI290">
            <v>367521</v>
          </cell>
          <cell r="AJ290">
            <v>0</v>
          </cell>
          <cell r="AK290">
            <v>1847397</v>
          </cell>
          <cell r="AL290">
            <v>5196106</v>
          </cell>
          <cell r="AM290">
            <v>818117.06001296337</v>
          </cell>
          <cell r="AN290">
            <v>-125458.52</v>
          </cell>
          <cell r="AO290">
            <v>1290245.8944392139</v>
          </cell>
          <cell r="AP290">
            <v>0</v>
          </cell>
          <cell r="AQ290">
            <v>557151.52</v>
          </cell>
          <cell r="AR290">
            <v>0</v>
          </cell>
          <cell r="AS290">
            <v>0</v>
          </cell>
          <cell r="AT290">
            <v>7736161.9544521775</v>
          </cell>
          <cell r="AU290">
            <v>1.5672403443852371E-4</v>
          </cell>
          <cell r="AV290">
            <v>0</v>
          </cell>
          <cell r="AW290">
            <v>0</v>
          </cell>
          <cell r="AY290">
            <v>0</v>
          </cell>
          <cell r="AZ290">
            <v>0</v>
          </cell>
          <cell r="BA290">
            <v>0</v>
          </cell>
          <cell r="BB290">
            <v>0</v>
          </cell>
          <cell r="BC290">
            <v>0</v>
          </cell>
          <cell r="BD290">
            <v>0</v>
          </cell>
          <cell r="BE290">
            <v>0</v>
          </cell>
          <cell r="BF290">
            <v>0</v>
          </cell>
          <cell r="BG290">
            <v>0</v>
          </cell>
          <cell r="BH290">
            <v>0</v>
          </cell>
          <cell r="BJ290">
            <v>0</v>
          </cell>
          <cell r="BL290">
            <v>0</v>
          </cell>
          <cell r="BM290">
            <v>0</v>
          </cell>
          <cell r="BN290">
            <v>0</v>
          </cell>
          <cell r="BO290">
            <v>0</v>
          </cell>
          <cell r="BQ290">
            <v>0</v>
          </cell>
          <cell r="BR290">
            <v>0</v>
          </cell>
          <cell r="BS290">
            <v>0</v>
          </cell>
          <cell r="BT290">
            <v>0</v>
          </cell>
          <cell r="CB290">
            <v>0</v>
          </cell>
          <cell r="CC290">
            <v>0</v>
          </cell>
          <cell r="CD290">
            <v>0</v>
          </cell>
          <cell r="CE290">
            <v>0</v>
          </cell>
          <cell r="CF290">
            <v>0</v>
          </cell>
          <cell r="CI290">
            <v>0</v>
          </cell>
          <cell r="CJ290">
            <v>0</v>
          </cell>
          <cell r="CK290">
            <v>0</v>
          </cell>
          <cell r="CV290">
            <v>1.7782890442666379E-4</v>
          </cell>
          <cell r="DG290">
            <v>7736162</v>
          </cell>
          <cell r="DR290">
            <v>2186947.2299999995</v>
          </cell>
          <cell r="EC290">
            <v>3.5374250891275514</v>
          </cell>
          <cell r="EN290">
            <v>2.4095909012463064E-2</v>
          </cell>
        </row>
        <row r="291">
          <cell r="B291">
            <v>39300</v>
          </cell>
          <cell r="C291" t="str">
            <v>Warren County Schools</v>
          </cell>
          <cell r="D291">
            <v>8.4495419907795039E-4</v>
          </cell>
          <cell r="E291">
            <v>1461967.781530499</v>
          </cell>
          <cell r="F291">
            <v>1139929.8070412551</v>
          </cell>
          <cell r="G291">
            <v>69747</v>
          </cell>
          <cell r="H291">
            <v>-407940.95958423527</v>
          </cell>
          <cell r="I291">
            <v>-16881.366609780569</v>
          </cell>
          <cell r="J291">
            <v>1233696.2763800579</v>
          </cell>
          <cell r="K291">
            <v>0</v>
          </cell>
          <cell r="L291">
            <v>-64820.450403538605</v>
          </cell>
          <cell r="M291">
            <v>11632.494312139534</v>
          </cell>
          <cell r="N291">
            <v>438.51433023747467</v>
          </cell>
          <cell r="O291">
            <v>-197.89672296604675</v>
          </cell>
          <cell r="P291">
            <v>0</v>
          </cell>
          <cell r="Q291">
            <v>0</v>
          </cell>
          <cell r="R291">
            <v>0</v>
          </cell>
          <cell r="S291">
            <v>3427571.2002736693</v>
          </cell>
          <cell r="T291">
            <v>348735.02</v>
          </cell>
          <cell r="U291">
            <v>6168481.38190029</v>
          </cell>
          <cell r="V291">
            <v>46529.977248558134</v>
          </cell>
          <cell r="W291">
            <v>0</v>
          </cell>
          <cell r="X291">
            <v>6563746.3791488474</v>
          </cell>
          <cell r="Y291">
            <v>0</v>
          </cell>
          <cell r="Z291">
            <v>0</v>
          </cell>
          <cell r="AA291">
            <v>0</v>
          </cell>
          <cell r="AB291">
            <v>84406.833048902845</v>
          </cell>
          <cell r="AC291">
            <v>84406.833048902845</v>
          </cell>
          <cell r="AD291" t="str">
            <v>N/A</v>
          </cell>
          <cell r="AE291">
            <v>1298194</v>
          </cell>
          <cell r="AF291">
            <v>1298194</v>
          </cell>
          <cell r="AG291">
            <v>1298194</v>
          </cell>
          <cell r="AH291">
            <v>1298194</v>
          </cell>
          <cell r="AI291">
            <v>1286562</v>
          </cell>
          <cell r="AJ291">
            <v>0</v>
          </cell>
          <cell r="AK291">
            <v>6479338</v>
          </cell>
          <cell r="AL291">
            <v>27604301</v>
          </cell>
          <cell r="AM291">
            <v>3427571.2002736693</v>
          </cell>
          <cell r="AN291">
            <v>-752832.02</v>
          </cell>
          <cell r="AO291">
            <v>6130604.5260999454</v>
          </cell>
          <cell r="AP291">
            <v>0</v>
          </cell>
          <cell r="AQ291">
            <v>348735.02</v>
          </cell>
          <cell r="AR291">
            <v>0</v>
          </cell>
          <cell r="AS291">
            <v>0</v>
          </cell>
          <cell r="AT291">
            <v>36758379.72637362</v>
          </cell>
          <cell r="AU291">
            <v>8.3259607708030536E-4</v>
          </cell>
          <cell r="AV291">
            <v>0</v>
          </cell>
          <cell r="AW291">
            <v>0</v>
          </cell>
          <cell r="AY291">
            <v>0</v>
          </cell>
          <cell r="AZ291">
            <v>0</v>
          </cell>
          <cell r="BA291">
            <v>0</v>
          </cell>
          <cell r="BB291">
            <v>0</v>
          </cell>
          <cell r="BC291">
            <v>0</v>
          </cell>
          <cell r="BD291">
            <v>0</v>
          </cell>
          <cell r="BE291">
            <v>0</v>
          </cell>
          <cell r="BF291">
            <v>0</v>
          </cell>
          <cell r="BG291">
            <v>0</v>
          </cell>
          <cell r="BH291">
            <v>0</v>
          </cell>
          <cell r="BJ291">
            <v>0</v>
          </cell>
          <cell r="BL291">
            <v>0</v>
          </cell>
          <cell r="BM291">
            <v>0</v>
          </cell>
          <cell r="BN291">
            <v>0</v>
          </cell>
          <cell r="BO291">
            <v>0</v>
          </cell>
          <cell r="BQ291">
            <v>0</v>
          </cell>
          <cell r="BR291">
            <v>0</v>
          </cell>
          <cell r="BS291">
            <v>0</v>
          </cell>
          <cell r="BT291">
            <v>0</v>
          </cell>
          <cell r="CB291">
            <v>0</v>
          </cell>
          <cell r="CC291">
            <v>0</v>
          </cell>
          <cell r="CD291">
            <v>0</v>
          </cell>
          <cell r="CE291">
            <v>0</v>
          </cell>
          <cell r="CF291">
            <v>0</v>
          </cell>
          <cell r="CI291">
            <v>0</v>
          </cell>
          <cell r="CJ291">
            <v>0</v>
          </cell>
          <cell r="CK291">
            <v>0</v>
          </cell>
          <cell r="CV291">
            <v>8.4495419907795039E-4</v>
          </cell>
          <cell r="DG291">
            <v>36758380</v>
          </cell>
          <cell r="DR291">
            <v>13365534.219999993</v>
          </cell>
          <cell r="EC291">
            <v>2.7502364959715031</v>
          </cell>
          <cell r="EN291">
            <v>2.4095909012463064E-2</v>
          </cell>
        </row>
        <row r="292">
          <cell r="B292">
            <v>39301</v>
          </cell>
          <cell r="C292" t="str">
            <v>Haliwa-Saponi Tribal Charter</v>
          </cell>
          <cell r="D292">
            <v>4.8431575802644976E-5</v>
          </cell>
          <cell r="E292">
            <v>83797.918880674129</v>
          </cell>
          <cell r="F292">
            <v>65339.159116149676</v>
          </cell>
          <cell r="G292">
            <v>-24057</v>
          </cell>
          <cell r="H292">
            <v>-23382.596984153148</v>
          </cell>
          <cell r="I292">
            <v>-967.61598144138168</v>
          </cell>
          <cell r="J292">
            <v>70713.720095294135</v>
          </cell>
          <cell r="K292">
            <v>0</v>
          </cell>
          <cell r="L292">
            <v>-3715.4162446986679</v>
          </cell>
          <cell r="M292">
            <v>666.75806885983445</v>
          </cell>
          <cell r="N292">
            <v>25.13501921005669</v>
          </cell>
          <cell r="O292">
            <v>-11.34315936873748</v>
          </cell>
          <cell r="P292">
            <v>0</v>
          </cell>
          <cell r="Q292">
            <v>0</v>
          </cell>
          <cell r="R292">
            <v>0</v>
          </cell>
          <cell r="S292">
            <v>168408.71881052593</v>
          </cell>
          <cell r="T292">
            <v>742.86000000000058</v>
          </cell>
          <cell r="U292">
            <v>353568.60047647072</v>
          </cell>
          <cell r="V292">
            <v>2667.0322754393378</v>
          </cell>
          <cell r="W292">
            <v>0</v>
          </cell>
          <cell r="X292">
            <v>356978.49275191006</v>
          </cell>
          <cell r="Y292">
            <v>121027</v>
          </cell>
          <cell r="Z292">
            <v>0</v>
          </cell>
          <cell r="AA292">
            <v>0</v>
          </cell>
          <cell r="AB292">
            <v>4838.0799072069076</v>
          </cell>
          <cell r="AC292">
            <v>125865.07990720691</v>
          </cell>
          <cell r="AD292" t="str">
            <v>N/A</v>
          </cell>
          <cell r="AE292">
            <v>46357</v>
          </cell>
          <cell r="AF292">
            <v>46355</v>
          </cell>
          <cell r="AG292">
            <v>46355</v>
          </cell>
          <cell r="AH292">
            <v>46355</v>
          </cell>
          <cell r="AI292">
            <v>45688</v>
          </cell>
          <cell r="AJ292">
            <v>0</v>
          </cell>
          <cell r="AK292">
            <v>231110</v>
          </cell>
          <cell r="AL292">
            <v>1750956</v>
          </cell>
          <cell r="AM292">
            <v>168408.71881052593</v>
          </cell>
          <cell r="AN292">
            <v>-43539.86</v>
          </cell>
          <cell r="AO292">
            <v>351397.55284470314</v>
          </cell>
          <cell r="AP292">
            <v>0</v>
          </cell>
          <cell r="AQ292">
            <v>-120284.14</v>
          </cell>
          <cell r="AR292">
            <v>0</v>
          </cell>
          <cell r="AS292">
            <v>0</v>
          </cell>
          <cell r="AT292">
            <v>2106938.2716552289</v>
          </cell>
          <cell r="AU292">
            <v>5.2812032318405054E-5</v>
          </cell>
          <cell r="AV292">
            <v>0</v>
          </cell>
          <cell r="AW292">
            <v>0</v>
          </cell>
          <cell r="AY292">
            <v>0</v>
          </cell>
          <cell r="AZ292">
            <v>0</v>
          </cell>
          <cell r="BA292">
            <v>0</v>
          </cell>
          <cell r="BB292">
            <v>0</v>
          </cell>
          <cell r="BC292">
            <v>0</v>
          </cell>
          <cell r="BD292">
            <v>0</v>
          </cell>
          <cell r="BE292">
            <v>0</v>
          </cell>
          <cell r="BF292">
            <v>0</v>
          </cell>
          <cell r="BG292">
            <v>0</v>
          </cell>
          <cell r="BH292">
            <v>0</v>
          </cell>
          <cell r="BJ292">
            <v>0</v>
          </cell>
          <cell r="BL292">
            <v>0</v>
          </cell>
          <cell r="BM292">
            <v>0</v>
          </cell>
          <cell r="BN292">
            <v>0</v>
          </cell>
          <cell r="BO292">
            <v>0</v>
          </cell>
          <cell r="BQ292">
            <v>0</v>
          </cell>
          <cell r="BR292">
            <v>0</v>
          </cell>
          <cell r="BS292">
            <v>0</v>
          </cell>
          <cell r="BT292">
            <v>0</v>
          </cell>
          <cell r="CB292">
            <v>0</v>
          </cell>
          <cell r="CC292">
            <v>0</v>
          </cell>
          <cell r="CD292">
            <v>0</v>
          </cell>
          <cell r="CE292">
            <v>0</v>
          </cell>
          <cell r="CF292">
            <v>0</v>
          </cell>
          <cell r="CI292">
            <v>0</v>
          </cell>
          <cell r="CJ292">
            <v>0</v>
          </cell>
          <cell r="CK292">
            <v>0</v>
          </cell>
          <cell r="CV292">
            <v>4.8431575802644976E-5</v>
          </cell>
          <cell r="DG292">
            <v>2106938</v>
          </cell>
          <cell r="DR292">
            <v>722763.86</v>
          </cell>
          <cell r="EC292">
            <v>2.9151125514217049</v>
          </cell>
          <cell r="EN292">
            <v>2.4095909012463064E-2</v>
          </cell>
        </row>
        <row r="293">
          <cell r="B293">
            <v>39400</v>
          </cell>
          <cell r="C293" t="str">
            <v>Washington County Schools</v>
          </cell>
          <cell r="D293">
            <v>5.6869916031392E-4</v>
          </cell>
          <cell r="E293">
            <v>983982.15035759285</v>
          </cell>
          <cell r="F293">
            <v>767233.44861602911</v>
          </cell>
          <cell r="G293">
            <v>-63367</v>
          </cell>
          <cell r="H293">
            <v>-274565.98408099852</v>
          </cell>
          <cell r="I293">
            <v>-11362.058471820175</v>
          </cell>
          <cell r="J293">
            <v>830343.2744938914</v>
          </cell>
          <cell r="K293">
            <v>0</v>
          </cell>
          <cell r="L293">
            <v>-43627.614083567278</v>
          </cell>
          <cell r="M293">
            <v>7829.2879719269931</v>
          </cell>
          <cell r="N293">
            <v>295.14349021971822</v>
          </cell>
          <cell r="O293">
            <v>-133.1950303371232</v>
          </cell>
          <cell r="P293">
            <v>0</v>
          </cell>
          <cell r="Q293">
            <v>0</v>
          </cell>
          <cell r="R293">
            <v>0</v>
          </cell>
          <cell r="S293">
            <v>2196627.4532629368</v>
          </cell>
          <cell r="T293">
            <v>41530.339999999967</v>
          </cell>
          <cell r="U293">
            <v>4151716.3724694573</v>
          </cell>
          <cell r="V293">
            <v>31317.151887707972</v>
          </cell>
          <cell r="W293">
            <v>0</v>
          </cell>
          <cell r="X293">
            <v>4224563.8643571651</v>
          </cell>
          <cell r="Y293">
            <v>358362</v>
          </cell>
          <cell r="Z293">
            <v>0</v>
          </cell>
          <cell r="AA293">
            <v>0</v>
          </cell>
          <cell r="AB293">
            <v>56810.292359100873</v>
          </cell>
          <cell r="AC293">
            <v>415172.29235910089</v>
          </cell>
          <cell r="AD293" t="str">
            <v>N/A</v>
          </cell>
          <cell r="AE293">
            <v>763445</v>
          </cell>
          <cell r="AF293">
            <v>763444</v>
          </cell>
          <cell r="AG293">
            <v>763444</v>
          </cell>
          <cell r="AH293">
            <v>763444</v>
          </cell>
          <cell r="AI293">
            <v>755614</v>
          </cell>
          <cell r="AJ293">
            <v>0</v>
          </cell>
          <cell r="AK293">
            <v>3809391</v>
          </cell>
          <cell r="AL293">
            <v>19284967</v>
          </cell>
          <cell r="AM293">
            <v>2196627.4532629368</v>
          </cell>
          <cell r="AN293">
            <v>-550640.34</v>
          </cell>
          <cell r="AO293">
            <v>4126223.2319980646</v>
          </cell>
          <cell r="AP293">
            <v>0</v>
          </cell>
          <cell r="AQ293">
            <v>-316831.66000000003</v>
          </cell>
          <cell r="AR293">
            <v>0</v>
          </cell>
          <cell r="AS293">
            <v>0</v>
          </cell>
          <cell r="AT293">
            <v>24740345.685261</v>
          </cell>
          <cell r="AU293">
            <v>5.8166978741913244E-4</v>
          </cell>
          <cell r="AV293">
            <v>0</v>
          </cell>
          <cell r="AW293">
            <v>0</v>
          </cell>
          <cell r="AY293">
            <v>0</v>
          </cell>
          <cell r="AZ293">
            <v>0</v>
          </cell>
          <cell r="BA293">
            <v>0</v>
          </cell>
          <cell r="BB293">
            <v>0</v>
          </cell>
          <cell r="BC293">
            <v>0</v>
          </cell>
          <cell r="BD293">
            <v>0</v>
          </cell>
          <cell r="BE293">
            <v>0</v>
          </cell>
          <cell r="BF293">
            <v>0</v>
          </cell>
          <cell r="BG293">
            <v>0</v>
          </cell>
          <cell r="BH293">
            <v>0</v>
          </cell>
          <cell r="BJ293">
            <v>0</v>
          </cell>
          <cell r="BL293">
            <v>0</v>
          </cell>
          <cell r="BM293">
            <v>0</v>
          </cell>
          <cell r="BN293">
            <v>0</v>
          </cell>
          <cell r="BO293">
            <v>0</v>
          </cell>
          <cell r="BQ293">
            <v>0</v>
          </cell>
          <cell r="BR293">
            <v>0</v>
          </cell>
          <cell r="BS293">
            <v>0</v>
          </cell>
          <cell r="BT293">
            <v>0</v>
          </cell>
          <cell r="CB293">
            <v>0</v>
          </cell>
          <cell r="CC293">
            <v>0</v>
          </cell>
          <cell r="CD293">
            <v>0</v>
          </cell>
          <cell r="CE293">
            <v>0</v>
          </cell>
          <cell r="CF293">
            <v>0</v>
          </cell>
          <cell r="CI293">
            <v>0</v>
          </cell>
          <cell r="CJ293">
            <v>0</v>
          </cell>
          <cell r="CK293">
            <v>0</v>
          </cell>
          <cell r="CV293">
            <v>5.6869916031392E-4</v>
          </cell>
          <cell r="DG293">
            <v>24740346</v>
          </cell>
          <cell r="DR293">
            <v>9595562.179999996</v>
          </cell>
          <cell r="EC293">
            <v>2.5783112584655266</v>
          </cell>
          <cell r="EN293">
            <v>2.4095909012463064E-2</v>
          </cell>
        </row>
        <row r="294">
          <cell r="B294">
            <v>39401</v>
          </cell>
          <cell r="C294" t="str">
            <v>Henderson Collegiate Charter School</v>
          </cell>
          <cell r="D294">
            <v>1.9702544604855199E-4</v>
          </cell>
          <cell r="E294">
            <v>340899.96189022466</v>
          </cell>
          <cell r="F294">
            <v>265807.51825534547</v>
          </cell>
          <cell r="G294">
            <v>350176</v>
          </cell>
          <cell r="H294">
            <v>-95123.202667394988</v>
          </cell>
          <cell r="I294">
            <v>-3936.3776046449434</v>
          </cell>
          <cell r="J294">
            <v>287671.87547853641</v>
          </cell>
          <cell r="K294">
            <v>0</v>
          </cell>
          <cell r="L294">
            <v>-15114.757897838477</v>
          </cell>
          <cell r="M294">
            <v>2712.4516133626539</v>
          </cell>
          <cell r="N294">
            <v>102.25226599027751</v>
          </cell>
          <cell r="O294">
            <v>-46.145329719031359</v>
          </cell>
          <cell r="P294">
            <v>0</v>
          </cell>
          <cell r="Q294">
            <v>0</v>
          </cell>
          <cell r="R294">
            <v>0</v>
          </cell>
          <cell r="S294">
            <v>1133149.5760038621</v>
          </cell>
          <cell r="T294">
            <v>1778939</v>
          </cell>
          <cell r="U294">
            <v>1438359.377392682</v>
          </cell>
          <cell r="V294">
            <v>10849.806453450616</v>
          </cell>
          <cell r="W294">
            <v>0</v>
          </cell>
          <cell r="X294">
            <v>3228148.1838461328</v>
          </cell>
          <cell r="Y294">
            <v>28058.580000000016</v>
          </cell>
          <cell r="Z294">
            <v>0</v>
          </cell>
          <cell r="AA294">
            <v>0</v>
          </cell>
          <cell r="AB294">
            <v>19681.888023224717</v>
          </cell>
          <cell r="AC294">
            <v>47740.468023224734</v>
          </cell>
          <cell r="AD294" t="str">
            <v>N/A</v>
          </cell>
          <cell r="AE294">
            <v>636624</v>
          </cell>
          <cell r="AF294">
            <v>636624</v>
          </cell>
          <cell r="AG294">
            <v>636624</v>
          </cell>
          <cell r="AH294">
            <v>636624</v>
          </cell>
          <cell r="AI294">
            <v>633911</v>
          </cell>
          <cell r="AJ294">
            <v>0</v>
          </cell>
          <cell r="AK294">
            <v>3180407</v>
          </cell>
          <cell r="AL294">
            <v>4397552</v>
          </cell>
          <cell r="AM294">
            <v>1133149.5760038621</v>
          </cell>
          <cell r="AN294">
            <v>-139832.41999999998</v>
          </cell>
          <cell r="AO294">
            <v>1429527.2958229079</v>
          </cell>
          <cell r="AP294">
            <v>0</v>
          </cell>
          <cell r="AQ294">
            <v>1750880.42</v>
          </cell>
          <cell r="AR294">
            <v>0</v>
          </cell>
          <cell r="AS294">
            <v>0</v>
          </cell>
          <cell r="AT294">
            <v>8571276.8718267716</v>
          </cell>
          <cell r="AU294">
            <v>1.3263820463390417E-4</v>
          </cell>
          <cell r="AV294">
            <v>0</v>
          </cell>
          <cell r="AW294">
            <v>0</v>
          </cell>
          <cell r="AY294">
            <v>0</v>
          </cell>
          <cell r="AZ294">
            <v>0</v>
          </cell>
          <cell r="BA294">
            <v>0</v>
          </cell>
          <cell r="BB294">
            <v>0</v>
          </cell>
          <cell r="BC294">
            <v>0</v>
          </cell>
          <cell r="BD294">
            <v>0</v>
          </cell>
          <cell r="BE294">
            <v>0</v>
          </cell>
          <cell r="BF294">
            <v>0</v>
          </cell>
          <cell r="BG294">
            <v>0</v>
          </cell>
          <cell r="BH294">
            <v>0</v>
          </cell>
          <cell r="BJ294">
            <v>0</v>
          </cell>
          <cell r="BL294">
            <v>0</v>
          </cell>
          <cell r="BM294">
            <v>0</v>
          </cell>
          <cell r="BN294">
            <v>0</v>
          </cell>
          <cell r="BO294">
            <v>0</v>
          </cell>
          <cell r="BQ294">
            <v>0</v>
          </cell>
          <cell r="BR294">
            <v>0</v>
          </cell>
          <cell r="BS294">
            <v>0</v>
          </cell>
          <cell r="BT294">
            <v>0</v>
          </cell>
          <cell r="CB294">
            <v>0</v>
          </cell>
          <cell r="CC294">
            <v>0</v>
          </cell>
          <cell r="CD294">
            <v>0</v>
          </cell>
          <cell r="CE294">
            <v>0</v>
          </cell>
          <cell r="CF294">
            <v>0</v>
          </cell>
          <cell r="CI294">
            <v>0</v>
          </cell>
          <cell r="CJ294">
            <v>0</v>
          </cell>
          <cell r="CK294">
            <v>0</v>
          </cell>
          <cell r="CV294">
            <v>1.9702544604855199E-4</v>
          </cell>
          <cell r="DG294">
            <v>8571277</v>
          </cell>
          <cell r="DR294">
            <v>2125000.5299999989</v>
          </cell>
          <cell r="EC294">
            <v>4.0335411116344542</v>
          </cell>
          <cell r="EN294">
            <v>2.4095909012463064E-2</v>
          </cell>
        </row>
        <row r="295">
          <cell r="B295">
            <v>39500</v>
          </cell>
          <cell r="C295" t="str">
            <v>Watauga County Schools</v>
          </cell>
          <cell r="D295">
            <v>1.7248036797073152E-3</v>
          </cell>
          <cell r="E295">
            <v>2984312.536642849</v>
          </cell>
          <cell r="F295">
            <v>2326936.9250290226</v>
          </cell>
          <cell r="G295">
            <v>77506</v>
          </cell>
          <cell r="H295">
            <v>-832729.24019081728</v>
          </cell>
          <cell r="I295">
            <v>-34459.907150957384</v>
          </cell>
          <cell r="J295">
            <v>2518342.2716445145</v>
          </cell>
          <cell r="K295">
            <v>0</v>
          </cell>
          <cell r="L295">
            <v>-132317.88361820386</v>
          </cell>
          <cell r="M295">
            <v>23745.392372328715</v>
          </cell>
          <cell r="N295">
            <v>895.1386136945024</v>
          </cell>
          <cell r="O295">
            <v>-403.96626982425028</v>
          </cell>
          <cell r="P295">
            <v>0</v>
          </cell>
          <cell r="Q295">
            <v>0</v>
          </cell>
          <cell r="R295">
            <v>0</v>
          </cell>
          <cell r="S295">
            <v>6931827.2670726059</v>
          </cell>
          <cell r="T295">
            <v>412412</v>
          </cell>
          <cell r="U295">
            <v>12591711.358222572</v>
          </cell>
          <cell r="V295">
            <v>94981.569489314861</v>
          </cell>
          <cell r="W295">
            <v>0</v>
          </cell>
          <cell r="X295">
            <v>13099104.927711887</v>
          </cell>
          <cell r="Y295">
            <v>24886.360000000102</v>
          </cell>
          <cell r="Z295">
            <v>0</v>
          </cell>
          <cell r="AA295">
            <v>0</v>
          </cell>
          <cell r="AB295">
            <v>172299.53575478692</v>
          </cell>
          <cell r="AC295">
            <v>197185.89575478702</v>
          </cell>
          <cell r="AD295" t="str">
            <v>N/A</v>
          </cell>
          <cell r="AE295">
            <v>2585133</v>
          </cell>
          <cell r="AF295">
            <v>2585134</v>
          </cell>
          <cell r="AG295">
            <v>2585134</v>
          </cell>
          <cell r="AH295">
            <v>2585134</v>
          </cell>
          <cell r="AI295">
            <v>2561388</v>
          </cell>
          <cell r="AJ295">
            <v>0</v>
          </cell>
          <cell r="AK295">
            <v>12901923</v>
          </cell>
          <cell r="AL295">
            <v>56690097</v>
          </cell>
          <cell r="AM295">
            <v>6931827.2670726059</v>
          </cell>
          <cell r="AN295">
            <v>-1489020.64</v>
          </cell>
          <cell r="AO295">
            <v>12514393.391957102</v>
          </cell>
          <cell r="AP295">
            <v>0</v>
          </cell>
          <cell r="AQ295">
            <v>387525.6399999999</v>
          </cell>
          <cell r="AR295">
            <v>0</v>
          </cell>
          <cell r="AS295">
            <v>0</v>
          </cell>
          <cell r="AT295">
            <v>75034822.659029707</v>
          </cell>
          <cell r="AU295">
            <v>1.7098767393972417E-3</v>
          </cell>
          <cell r="AV295">
            <v>0</v>
          </cell>
          <cell r="AW295">
            <v>0</v>
          </cell>
          <cell r="AY295">
            <v>0</v>
          </cell>
          <cell r="AZ295">
            <v>0</v>
          </cell>
          <cell r="BA295">
            <v>0</v>
          </cell>
          <cell r="BB295">
            <v>0</v>
          </cell>
          <cell r="BC295">
            <v>0</v>
          </cell>
          <cell r="BD295">
            <v>0</v>
          </cell>
          <cell r="BE295">
            <v>0</v>
          </cell>
          <cell r="BF295">
            <v>0</v>
          </cell>
          <cell r="BG295">
            <v>0</v>
          </cell>
          <cell r="BH295">
            <v>0</v>
          </cell>
          <cell r="BJ295">
            <v>0</v>
          </cell>
          <cell r="BL295">
            <v>0</v>
          </cell>
          <cell r="BM295">
            <v>0</v>
          </cell>
          <cell r="BN295">
            <v>0</v>
          </cell>
          <cell r="BO295">
            <v>0</v>
          </cell>
          <cell r="BQ295">
            <v>0</v>
          </cell>
          <cell r="BR295">
            <v>0</v>
          </cell>
          <cell r="BS295">
            <v>0</v>
          </cell>
          <cell r="BT295">
            <v>0</v>
          </cell>
          <cell r="CB295">
            <v>0</v>
          </cell>
          <cell r="CC295">
            <v>0</v>
          </cell>
          <cell r="CD295">
            <v>0</v>
          </cell>
          <cell r="CE295">
            <v>0</v>
          </cell>
          <cell r="CF295">
            <v>0</v>
          </cell>
          <cell r="CI295">
            <v>0</v>
          </cell>
          <cell r="CJ295">
            <v>0</v>
          </cell>
          <cell r="CK295">
            <v>0</v>
          </cell>
          <cell r="CV295">
            <v>1.7248036797073152E-3</v>
          </cell>
          <cell r="DG295">
            <v>75034823</v>
          </cell>
          <cell r="DR295">
            <v>25922978.730000019</v>
          </cell>
          <cell r="EC295">
            <v>2.8945293587408636</v>
          </cell>
          <cell r="EN295">
            <v>2.4095909012463064E-2</v>
          </cell>
        </row>
        <row r="296">
          <cell r="B296">
            <v>39501</v>
          </cell>
          <cell r="C296" t="str">
            <v>Two Rivers Community School</v>
          </cell>
          <cell r="D296">
            <v>5.6765281817118127E-5</v>
          </cell>
          <cell r="E296">
            <v>98217.173447610374</v>
          </cell>
          <cell r="F296">
            <v>76582.182583437665</v>
          </cell>
          <cell r="G296">
            <v>-64214</v>
          </cell>
          <cell r="H296">
            <v>-27406.081372001558</v>
          </cell>
          <cell r="I296">
            <v>-1134.1153569128276</v>
          </cell>
          <cell r="J296">
            <v>82881.55367694977</v>
          </cell>
          <cell r="K296">
            <v>0</v>
          </cell>
          <cell r="L296">
            <v>-4354.7344207350861</v>
          </cell>
          <cell r="M296">
            <v>781.48829674459898</v>
          </cell>
          <cell r="N296">
            <v>29.460045957447967</v>
          </cell>
          <cell r="O296">
            <v>-13.294996654387237</v>
          </cell>
          <cell r="P296">
            <v>0</v>
          </cell>
          <cell r="Q296">
            <v>0</v>
          </cell>
          <cell r="R296">
            <v>0</v>
          </cell>
          <cell r="S296">
            <v>161369.631904396</v>
          </cell>
          <cell r="T296">
            <v>0</v>
          </cell>
          <cell r="U296">
            <v>414407.76838474884</v>
          </cell>
          <cell r="V296">
            <v>3125.9531869783959</v>
          </cell>
          <cell r="W296">
            <v>0</v>
          </cell>
          <cell r="X296">
            <v>417533.72157172725</v>
          </cell>
          <cell r="Y296">
            <v>321071.34000000003</v>
          </cell>
          <cell r="Z296">
            <v>0</v>
          </cell>
          <cell r="AA296">
            <v>0</v>
          </cell>
          <cell r="AB296">
            <v>5670.5767845641376</v>
          </cell>
          <cell r="AC296">
            <v>326741.91678456415</v>
          </cell>
          <cell r="AD296" t="str">
            <v>N/A</v>
          </cell>
          <cell r="AE296">
            <v>18315</v>
          </cell>
          <cell r="AF296">
            <v>18315</v>
          </cell>
          <cell r="AG296">
            <v>18315</v>
          </cell>
          <cell r="AH296">
            <v>18315</v>
          </cell>
          <cell r="AI296">
            <v>17533</v>
          </cell>
          <cell r="AJ296">
            <v>0</v>
          </cell>
          <cell r="AK296">
            <v>90793</v>
          </cell>
          <cell r="AL296">
            <v>2264603</v>
          </cell>
          <cell r="AM296">
            <v>161369.631904396</v>
          </cell>
          <cell r="AN296">
            <v>-47281.659999999996</v>
          </cell>
          <cell r="AO296">
            <v>411863.14478716312</v>
          </cell>
          <cell r="AP296">
            <v>0</v>
          </cell>
          <cell r="AQ296">
            <v>-321071.34000000003</v>
          </cell>
          <cell r="AR296">
            <v>0</v>
          </cell>
          <cell r="AS296">
            <v>0</v>
          </cell>
          <cell r="AT296">
            <v>2469482.7766915592</v>
          </cell>
          <cell r="AU296">
            <v>6.8304563929972694E-5</v>
          </cell>
          <cell r="AV296">
            <v>0</v>
          </cell>
          <cell r="AW296">
            <v>0</v>
          </cell>
          <cell r="AY296">
            <v>0</v>
          </cell>
          <cell r="AZ296">
            <v>0</v>
          </cell>
          <cell r="BA296">
            <v>0</v>
          </cell>
          <cell r="BB296">
            <v>0</v>
          </cell>
          <cell r="BC296">
            <v>0</v>
          </cell>
          <cell r="BD296">
            <v>0</v>
          </cell>
          <cell r="BE296">
            <v>0</v>
          </cell>
          <cell r="BF296">
            <v>0</v>
          </cell>
          <cell r="BG296">
            <v>0</v>
          </cell>
          <cell r="BH296">
            <v>0</v>
          </cell>
          <cell r="BJ296">
            <v>0</v>
          </cell>
          <cell r="BL296">
            <v>0</v>
          </cell>
          <cell r="BM296">
            <v>0</v>
          </cell>
          <cell r="BN296">
            <v>0</v>
          </cell>
          <cell r="BO296">
            <v>0</v>
          </cell>
          <cell r="BQ296">
            <v>0</v>
          </cell>
          <cell r="BR296">
            <v>0</v>
          </cell>
          <cell r="BS296">
            <v>0</v>
          </cell>
          <cell r="BT296">
            <v>0</v>
          </cell>
          <cell r="CB296">
            <v>0</v>
          </cell>
          <cell r="CC296">
            <v>0</v>
          </cell>
          <cell r="CD296">
            <v>0</v>
          </cell>
          <cell r="CE296">
            <v>0</v>
          </cell>
          <cell r="CF296">
            <v>0</v>
          </cell>
          <cell r="CI296">
            <v>0</v>
          </cell>
          <cell r="CJ296">
            <v>0</v>
          </cell>
          <cell r="CK296">
            <v>0</v>
          </cell>
          <cell r="CV296">
            <v>5.6765281817118127E-5</v>
          </cell>
          <cell r="DG296">
            <v>2469483</v>
          </cell>
          <cell r="DR296">
            <v>832761.98999999976</v>
          </cell>
          <cell r="EC296">
            <v>2.9654127225475322</v>
          </cell>
          <cell r="EN296">
            <v>2.4095909012463064E-2</v>
          </cell>
        </row>
        <row r="297">
          <cell r="B297">
            <v>39600</v>
          </cell>
          <cell r="C297" t="str">
            <v>Wayne County Schools</v>
          </cell>
          <cell r="D297">
            <v>5.5737648517659062E-3</v>
          </cell>
          <cell r="E297">
            <v>9643912.8227317389</v>
          </cell>
          <cell r="F297">
            <v>7519579.9948686752</v>
          </cell>
          <cell r="G297">
            <v>-200228</v>
          </cell>
          <cell r="H297">
            <v>-2690994.3575728685</v>
          </cell>
          <cell r="I297">
            <v>-111358.42387912565</v>
          </cell>
          <cell r="J297">
            <v>8138113.2261907076</v>
          </cell>
          <cell r="K297">
            <v>0</v>
          </cell>
          <cell r="L297">
            <v>-427589.97887594119</v>
          </cell>
          <cell r="M297">
            <v>76734.085712720043</v>
          </cell>
          <cell r="N297">
            <v>2892.6724827694702</v>
          </cell>
          <cell r="O297">
            <v>-1305.4314659320928</v>
          </cell>
          <cell r="P297">
            <v>0</v>
          </cell>
          <cell r="Q297">
            <v>0</v>
          </cell>
          <cell r="R297">
            <v>0</v>
          </cell>
          <cell r="S297">
            <v>21949756.610192742</v>
          </cell>
          <cell r="T297">
            <v>109015.99999999907</v>
          </cell>
          <cell r="U297">
            <v>40690566.130953535</v>
          </cell>
          <cell r="V297">
            <v>306936.34285088017</v>
          </cell>
          <cell r="W297">
            <v>0</v>
          </cell>
          <cell r="X297">
            <v>41106518.473804414</v>
          </cell>
          <cell r="Y297">
            <v>1110154</v>
          </cell>
          <cell r="Z297">
            <v>0</v>
          </cell>
          <cell r="AA297">
            <v>0</v>
          </cell>
          <cell r="AB297">
            <v>556792.11939562822</v>
          </cell>
          <cell r="AC297">
            <v>1666946.1193956281</v>
          </cell>
          <cell r="AD297" t="str">
            <v>N/A</v>
          </cell>
          <cell r="AE297">
            <v>7903261</v>
          </cell>
          <cell r="AF297">
            <v>7903261</v>
          </cell>
          <cell r="AG297">
            <v>7903261</v>
          </cell>
          <cell r="AH297">
            <v>7903261</v>
          </cell>
          <cell r="AI297">
            <v>7826527</v>
          </cell>
          <cell r="AJ297">
            <v>0</v>
          </cell>
          <cell r="AK297">
            <v>39439571</v>
          </cell>
          <cell r="AL297">
            <v>186127533</v>
          </cell>
          <cell r="AM297">
            <v>21949756.610192742</v>
          </cell>
          <cell r="AN297">
            <v>-5039145.9999999991</v>
          </cell>
          <cell r="AO297">
            <v>40440710.354408793</v>
          </cell>
          <cell r="AP297">
            <v>0</v>
          </cell>
          <cell r="AQ297">
            <v>-1001138.0000000009</v>
          </cell>
          <cell r="AR297">
            <v>0</v>
          </cell>
          <cell r="AS297">
            <v>0</v>
          </cell>
          <cell r="AT297">
            <v>242477715.96460155</v>
          </cell>
          <cell r="AU297">
            <v>5.6139459631843868E-3</v>
          </cell>
          <cell r="AV297">
            <v>0</v>
          </cell>
          <cell r="AW297">
            <v>0</v>
          </cell>
          <cell r="AY297">
            <v>0</v>
          </cell>
          <cell r="AZ297">
            <v>0</v>
          </cell>
          <cell r="BA297">
            <v>0</v>
          </cell>
          <cell r="BB297">
            <v>0</v>
          </cell>
          <cell r="BC297">
            <v>0</v>
          </cell>
          <cell r="BD297">
            <v>0</v>
          </cell>
          <cell r="BE297">
            <v>0</v>
          </cell>
          <cell r="BF297">
            <v>0</v>
          </cell>
          <cell r="BG297">
            <v>0</v>
          </cell>
          <cell r="BH297">
            <v>0</v>
          </cell>
          <cell r="BJ297">
            <v>0</v>
          </cell>
          <cell r="BL297">
            <v>0</v>
          </cell>
          <cell r="BM297">
            <v>0</v>
          </cell>
          <cell r="BN297">
            <v>0</v>
          </cell>
          <cell r="BO297">
            <v>0</v>
          </cell>
          <cell r="BQ297">
            <v>0</v>
          </cell>
          <cell r="BR297">
            <v>0</v>
          </cell>
          <cell r="BS297">
            <v>0</v>
          </cell>
          <cell r="BT297">
            <v>0</v>
          </cell>
          <cell r="CB297">
            <v>0</v>
          </cell>
          <cell r="CC297">
            <v>0</v>
          </cell>
          <cell r="CD297">
            <v>0</v>
          </cell>
          <cell r="CE297">
            <v>0</v>
          </cell>
          <cell r="CF297">
            <v>0</v>
          </cell>
          <cell r="CI297">
            <v>0</v>
          </cell>
          <cell r="CJ297">
            <v>0</v>
          </cell>
          <cell r="CK297">
            <v>0</v>
          </cell>
          <cell r="CV297">
            <v>5.5737648517659062E-3</v>
          </cell>
          <cell r="DG297">
            <v>242477716</v>
          </cell>
          <cell r="DR297">
            <v>87409006.83999984</v>
          </cell>
          <cell r="EC297">
            <v>2.7740587013401243</v>
          </cell>
          <cell r="EN297">
            <v>2.4095909012463064E-2</v>
          </cell>
        </row>
        <row r="298">
          <cell r="B298">
            <v>39605</v>
          </cell>
          <cell r="C298" t="str">
            <v>Wayne Community College</v>
          </cell>
          <cell r="D298">
            <v>8.0206600992329302E-4</v>
          </cell>
          <cell r="E298">
            <v>1387761.2140967648</v>
          </cell>
          <cell r="F298">
            <v>1082069.2446098621</v>
          </cell>
          <cell r="G298">
            <v>-137595</v>
          </cell>
          <cell r="H298">
            <v>-387234.69046613004</v>
          </cell>
          <cell r="I298">
            <v>-16024.502125126304</v>
          </cell>
          <cell r="J298">
            <v>1171076.3150631925</v>
          </cell>
          <cell r="K298">
            <v>0</v>
          </cell>
          <cell r="L298">
            <v>-61530.293681398231</v>
          </cell>
          <cell r="M298">
            <v>11042.052111906747</v>
          </cell>
          <cell r="N298">
            <v>416.25621782999059</v>
          </cell>
          <cell r="O298">
            <v>-187.85188018413447</v>
          </cell>
          <cell r="P298">
            <v>0</v>
          </cell>
          <cell r="Q298">
            <v>0</v>
          </cell>
          <cell r="R298">
            <v>0</v>
          </cell>
          <cell r="S298">
            <v>3049792.7439467176</v>
          </cell>
          <cell r="T298">
            <v>48022.260000000126</v>
          </cell>
          <cell r="U298">
            <v>5855381.5753159625</v>
          </cell>
          <cell r="V298">
            <v>44168.208447626988</v>
          </cell>
          <cell r="W298">
            <v>0</v>
          </cell>
          <cell r="X298">
            <v>5947572.0437635891</v>
          </cell>
          <cell r="Y298">
            <v>735996</v>
          </cell>
          <cell r="Z298">
            <v>0</v>
          </cell>
          <cell r="AA298">
            <v>0</v>
          </cell>
          <cell r="AB298">
            <v>80122.510625631519</v>
          </cell>
          <cell r="AC298">
            <v>816118.51062563155</v>
          </cell>
          <cell r="AD298" t="str">
            <v>N/A</v>
          </cell>
          <cell r="AE298">
            <v>1028499</v>
          </cell>
          <cell r="AF298">
            <v>1028500</v>
          </cell>
          <cell r="AG298">
            <v>1028500</v>
          </cell>
          <cell r="AH298">
            <v>1028500</v>
          </cell>
          <cell r="AI298">
            <v>1017458</v>
          </cell>
          <cell r="AJ298">
            <v>0</v>
          </cell>
          <cell r="AK298">
            <v>5131457</v>
          </cell>
          <cell r="AL298">
            <v>27475287</v>
          </cell>
          <cell r="AM298">
            <v>3049792.7439467176</v>
          </cell>
          <cell r="AN298">
            <v>-763935.26000000013</v>
          </cell>
          <cell r="AO298">
            <v>5819427.2731379578</v>
          </cell>
          <cell r="AP298">
            <v>0</v>
          </cell>
          <cell r="AQ298">
            <v>-687973.73999999987</v>
          </cell>
          <cell r="AR298">
            <v>0</v>
          </cell>
          <cell r="AS298">
            <v>0</v>
          </cell>
          <cell r="AT298">
            <v>34892598.017084673</v>
          </cell>
          <cell r="AU298">
            <v>8.2870476980727954E-4</v>
          </cell>
          <cell r="AV298">
            <v>0</v>
          </cell>
          <cell r="AW298">
            <v>0</v>
          </cell>
          <cell r="AY298">
            <v>0</v>
          </cell>
          <cell r="AZ298">
            <v>0</v>
          </cell>
          <cell r="BA298">
            <v>0</v>
          </cell>
          <cell r="BB298">
            <v>0</v>
          </cell>
          <cell r="BC298">
            <v>0</v>
          </cell>
          <cell r="BD298">
            <v>0</v>
          </cell>
          <cell r="BE298">
            <v>0</v>
          </cell>
          <cell r="BF298">
            <v>0</v>
          </cell>
          <cell r="BG298">
            <v>0</v>
          </cell>
          <cell r="BH298">
            <v>0</v>
          </cell>
          <cell r="BJ298">
            <v>0</v>
          </cell>
          <cell r="BL298">
            <v>0</v>
          </cell>
          <cell r="BM298">
            <v>0</v>
          </cell>
          <cell r="BN298">
            <v>0</v>
          </cell>
          <cell r="BO298">
            <v>0</v>
          </cell>
          <cell r="BQ298">
            <v>0</v>
          </cell>
          <cell r="BR298">
            <v>0</v>
          </cell>
          <cell r="BS298">
            <v>0</v>
          </cell>
          <cell r="BT298">
            <v>0</v>
          </cell>
          <cell r="CB298">
            <v>0</v>
          </cell>
          <cell r="CC298">
            <v>0</v>
          </cell>
          <cell r="CD298">
            <v>0</v>
          </cell>
          <cell r="CE298">
            <v>0</v>
          </cell>
          <cell r="CF298">
            <v>0</v>
          </cell>
          <cell r="CI298">
            <v>0</v>
          </cell>
          <cell r="CJ298">
            <v>0</v>
          </cell>
          <cell r="CK298">
            <v>0</v>
          </cell>
          <cell r="CV298">
            <v>8.0206600992329302E-4</v>
          </cell>
          <cell r="DG298">
            <v>34892598</v>
          </cell>
          <cell r="DR298">
            <v>13057119.070000004</v>
          </cell>
          <cell r="EC298">
            <v>2.6723044963394051</v>
          </cell>
          <cell r="EN298">
            <v>2.4095909012463064E-2</v>
          </cell>
        </row>
        <row r="299">
          <cell r="B299">
            <v>39700</v>
          </cell>
          <cell r="C299" t="str">
            <v>Wilkes County Schools</v>
          </cell>
          <cell r="D299">
            <v>3.3775978740848297E-3</v>
          </cell>
          <cell r="E299">
            <v>5844031.8732854575</v>
          </cell>
          <cell r="F299">
            <v>4556725.6746815396</v>
          </cell>
          <cell r="G299">
            <v>-236735</v>
          </cell>
          <cell r="H299">
            <v>-1630692.5503742308</v>
          </cell>
          <cell r="I299">
            <v>-67481.134521921354</v>
          </cell>
          <cell r="J299">
            <v>4931545.3132427577</v>
          </cell>
          <cell r="K299">
            <v>0</v>
          </cell>
          <cell r="L299">
            <v>-259111.57754956049</v>
          </cell>
          <cell r="M299">
            <v>46499.429320383453</v>
          </cell>
          <cell r="N299">
            <v>1752.9057446925449</v>
          </cell>
          <cell r="O299">
            <v>-791.06719808940795</v>
          </cell>
          <cell r="P299">
            <v>0</v>
          </cell>
          <cell r="Q299">
            <v>0</v>
          </cell>
          <cell r="R299">
            <v>0</v>
          </cell>
          <cell r="S299">
            <v>13185743.866631029</v>
          </cell>
          <cell r="T299">
            <v>0</v>
          </cell>
          <cell r="U299">
            <v>24657726.56621379</v>
          </cell>
          <cell r="V299">
            <v>185997.71728153381</v>
          </cell>
          <cell r="W299">
            <v>0</v>
          </cell>
          <cell r="X299">
            <v>24843724.283495326</v>
          </cell>
          <cell r="Y299">
            <v>1183675.69</v>
          </cell>
          <cell r="Z299">
            <v>0</v>
          </cell>
          <cell r="AA299">
            <v>0</v>
          </cell>
          <cell r="AB299">
            <v>337405.67260960676</v>
          </cell>
          <cell r="AC299">
            <v>1521081.3626096067</v>
          </cell>
          <cell r="AD299" t="str">
            <v>N/A</v>
          </cell>
          <cell r="AE299">
            <v>4673829</v>
          </cell>
          <cell r="AF299">
            <v>4673829</v>
          </cell>
          <cell r="AG299">
            <v>4673829</v>
          </cell>
          <cell r="AH299">
            <v>4673829</v>
          </cell>
          <cell r="AI299">
            <v>4627329</v>
          </cell>
          <cell r="AJ299">
            <v>0</v>
          </cell>
          <cell r="AK299">
            <v>23322645</v>
          </cell>
          <cell r="AL299">
            <v>113304758</v>
          </cell>
          <cell r="AM299">
            <v>13185743.866631029</v>
          </cell>
          <cell r="AN299">
            <v>-2876157.31</v>
          </cell>
          <cell r="AO299">
            <v>24506318.610885717</v>
          </cell>
          <cell r="AP299">
            <v>0</v>
          </cell>
          <cell r="AQ299">
            <v>-1183675.69</v>
          </cell>
          <cell r="AR299">
            <v>0</v>
          </cell>
          <cell r="AS299">
            <v>0</v>
          </cell>
          <cell r="AT299">
            <v>146936987.47751674</v>
          </cell>
          <cell r="AU299">
            <v>3.4174782282730752E-3</v>
          </cell>
          <cell r="AV299">
            <v>0</v>
          </cell>
          <cell r="AW299">
            <v>0</v>
          </cell>
          <cell r="AY299">
            <v>0</v>
          </cell>
          <cell r="AZ299">
            <v>0</v>
          </cell>
          <cell r="BA299">
            <v>0</v>
          </cell>
          <cell r="BB299">
            <v>0</v>
          </cell>
          <cell r="BC299">
            <v>0</v>
          </cell>
          <cell r="BD299">
            <v>0</v>
          </cell>
          <cell r="BE299">
            <v>0</v>
          </cell>
          <cell r="BF299">
            <v>0</v>
          </cell>
          <cell r="BG299">
            <v>0</v>
          </cell>
          <cell r="BH299">
            <v>0</v>
          </cell>
          <cell r="BJ299">
            <v>0</v>
          </cell>
          <cell r="BL299">
            <v>0</v>
          </cell>
          <cell r="BM299">
            <v>0</v>
          </cell>
          <cell r="BN299">
            <v>0</v>
          </cell>
          <cell r="BO299">
            <v>0</v>
          </cell>
          <cell r="BQ299">
            <v>0</v>
          </cell>
          <cell r="BR299">
            <v>0</v>
          </cell>
          <cell r="BS299">
            <v>0</v>
          </cell>
          <cell r="BT299">
            <v>0</v>
          </cell>
          <cell r="CB299">
            <v>0</v>
          </cell>
          <cell r="CC299">
            <v>0</v>
          </cell>
          <cell r="CD299">
            <v>0</v>
          </cell>
          <cell r="CE299">
            <v>0</v>
          </cell>
          <cell r="CF299">
            <v>0</v>
          </cell>
          <cell r="CI299">
            <v>0</v>
          </cell>
          <cell r="CJ299">
            <v>0</v>
          </cell>
          <cell r="CK299">
            <v>0</v>
          </cell>
          <cell r="CV299">
            <v>3.3775978740848297E-3</v>
          </cell>
          <cell r="DG299">
            <v>146936988</v>
          </cell>
          <cell r="DR299">
            <v>50024277.060000062</v>
          </cell>
          <cell r="EC299">
            <v>2.9373135732428679</v>
          </cell>
          <cell r="EN299">
            <v>2.4095909012463064E-2</v>
          </cell>
        </row>
        <row r="300">
          <cell r="B300">
            <v>39703</v>
          </cell>
          <cell r="C300" t="str">
            <v>Pinnacle Classical Academy</v>
          </cell>
          <cell r="D300">
            <v>1.0526279690453541E-4</v>
          </cell>
          <cell r="E300">
            <v>182129.1826659377</v>
          </cell>
          <cell r="F300">
            <v>142010.30055232631</v>
          </cell>
          <cell r="G300">
            <v>160430</v>
          </cell>
          <cell r="H300">
            <v>-50820.51361436594</v>
          </cell>
          <cell r="I300">
            <v>-2103.0487414056915</v>
          </cell>
          <cell r="J300">
            <v>153691.55005583365</v>
          </cell>
          <cell r="K300">
            <v>0</v>
          </cell>
          <cell r="L300">
            <v>-8075.2091812005174</v>
          </cell>
          <cell r="M300">
            <v>1449.1541525068449</v>
          </cell>
          <cell r="N300">
            <v>54.629286337515786</v>
          </cell>
          <cell r="O300">
            <v>-24.653599663011239</v>
          </cell>
          <cell r="P300">
            <v>0</v>
          </cell>
          <cell r="Q300">
            <v>0</v>
          </cell>
          <cell r="R300">
            <v>0</v>
          </cell>
          <cell r="S300">
            <v>578741.39157630678</v>
          </cell>
          <cell r="T300">
            <v>818365</v>
          </cell>
          <cell r="U300">
            <v>768457.75027916825</v>
          </cell>
          <cell r="V300">
            <v>5796.6166100273795</v>
          </cell>
          <cell r="W300">
            <v>0</v>
          </cell>
          <cell r="X300">
            <v>1592619.3668891955</v>
          </cell>
          <cell r="Y300">
            <v>16213.239999999991</v>
          </cell>
          <cell r="Z300">
            <v>0</v>
          </cell>
          <cell r="AA300">
            <v>0</v>
          </cell>
          <cell r="AB300">
            <v>10515.243707028458</v>
          </cell>
          <cell r="AC300">
            <v>26728.483707028448</v>
          </cell>
          <cell r="AD300" t="str">
            <v>N/A</v>
          </cell>
          <cell r="AE300">
            <v>313468</v>
          </cell>
          <cell r="AF300">
            <v>313468</v>
          </cell>
          <cell r="AG300">
            <v>313468</v>
          </cell>
          <cell r="AH300">
            <v>313468</v>
          </cell>
          <cell r="AI300">
            <v>312019</v>
          </cell>
          <cell r="AJ300">
            <v>0</v>
          </cell>
          <cell r="AK300">
            <v>1565891</v>
          </cell>
          <cell r="AL300">
            <v>2507897</v>
          </cell>
          <cell r="AM300">
            <v>578741.39157630678</v>
          </cell>
          <cell r="AN300">
            <v>-73239.760000000009</v>
          </cell>
          <cell r="AO300">
            <v>763739.12318216718</v>
          </cell>
          <cell r="AP300">
            <v>0</v>
          </cell>
          <cell r="AQ300">
            <v>802151.76</v>
          </cell>
          <cell r="AR300">
            <v>0</v>
          </cell>
          <cell r="AS300">
            <v>0</v>
          </cell>
          <cell r="AT300">
            <v>4579289.5147584742</v>
          </cell>
          <cell r="AU300">
            <v>7.564273928515392E-5</v>
          </cell>
          <cell r="AV300">
            <v>0</v>
          </cell>
          <cell r="AW300">
            <v>0</v>
          </cell>
          <cell r="AY300">
            <v>0</v>
          </cell>
          <cell r="AZ300">
            <v>0</v>
          </cell>
          <cell r="BA300">
            <v>0</v>
          </cell>
          <cell r="BB300">
            <v>0</v>
          </cell>
          <cell r="BC300">
            <v>0</v>
          </cell>
          <cell r="BD300">
            <v>0</v>
          </cell>
          <cell r="BE300">
            <v>0</v>
          </cell>
          <cell r="BF300">
            <v>0</v>
          </cell>
          <cell r="BG300">
            <v>0</v>
          </cell>
          <cell r="BH300">
            <v>0</v>
          </cell>
          <cell r="BJ300">
            <v>0</v>
          </cell>
          <cell r="BL300">
            <v>0</v>
          </cell>
          <cell r="BM300">
            <v>0</v>
          </cell>
          <cell r="BN300">
            <v>0</v>
          </cell>
          <cell r="BO300">
            <v>0</v>
          </cell>
          <cell r="BQ300">
            <v>0</v>
          </cell>
          <cell r="BR300">
            <v>0</v>
          </cell>
          <cell r="BS300">
            <v>0</v>
          </cell>
          <cell r="BT300">
            <v>0</v>
          </cell>
          <cell r="CB300">
            <v>0</v>
          </cell>
          <cell r="CC300">
            <v>0</v>
          </cell>
          <cell r="CD300">
            <v>0</v>
          </cell>
          <cell r="CE300">
            <v>0</v>
          </cell>
          <cell r="CF300">
            <v>0</v>
          </cell>
          <cell r="CI300">
            <v>0</v>
          </cell>
          <cell r="CJ300">
            <v>0</v>
          </cell>
          <cell r="CK300">
            <v>0</v>
          </cell>
          <cell r="CV300">
            <v>1.0526279690453541E-4</v>
          </cell>
          <cell r="DG300">
            <v>4579289</v>
          </cell>
          <cell r="DR300">
            <v>1235890.25</v>
          </cell>
          <cell r="EC300">
            <v>3.7052553816975253</v>
          </cell>
          <cell r="EN300">
            <v>2.4095909012463064E-2</v>
          </cell>
        </row>
        <row r="301">
          <cell r="B301">
            <v>39705</v>
          </cell>
          <cell r="C301" t="str">
            <v>Wilkes Community College</v>
          </cell>
          <cell r="D301">
            <v>7.9264599698215235E-4</v>
          </cell>
          <cell r="E301">
            <v>1371462.3952535938</v>
          </cell>
          <cell r="F301">
            <v>1069360.6817717361</v>
          </cell>
          <cell r="G301">
            <v>88452</v>
          </cell>
          <cell r="H301">
            <v>-382686.74085809418</v>
          </cell>
          <cell r="I301">
            <v>-15836.299389283575</v>
          </cell>
          <cell r="J301">
            <v>1157322.3921859299</v>
          </cell>
          <cell r="K301">
            <v>0</v>
          </cell>
          <cell r="L301">
            <v>-60807.639740725208</v>
          </cell>
          <cell r="M301">
            <v>10912.366683894583</v>
          </cell>
          <cell r="N301">
            <v>411.36741951379742</v>
          </cell>
          <cell r="O301">
            <v>-185.64561895318991</v>
          </cell>
          <cell r="P301">
            <v>0</v>
          </cell>
          <cell r="Q301">
            <v>0</v>
          </cell>
          <cell r="R301">
            <v>0</v>
          </cell>
          <cell r="S301">
            <v>3238404.8777076122</v>
          </cell>
          <cell r="T301">
            <v>442255.12</v>
          </cell>
          <cell r="U301">
            <v>5786611.9609296499</v>
          </cell>
          <cell r="V301">
            <v>43649.466735578331</v>
          </cell>
          <cell r="W301">
            <v>0</v>
          </cell>
          <cell r="X301">
            <v>6272516.5476652281</v>
          </cell>
          <cell r="Y301">
            <v>0</v>
          </cell>
          <cell r="Z301">
            <v>0</v>
          </cell>
          <cell r="AA301">
            <v>0</v>
          </cell>
          <cell r="AB301">
            <v>79181.496946417872</v>
          </cell>
          <cell r="AC301">
            <v>79181.496946417872</v>
          </cell>
          <cell r="AD301" t="str">
            <v>N/A</v>
          </cell>
          <cell r="AE301">
            <v>1240849</v>
          </cell>
          <cell r="AF301">
            <v>1240850</v>
          </cell>
          <cell r="AG301">
            <v>1240850</v>
          </cell>
          <cell r="AH301">
            <v>1240850</v>
          </cell>
          <cell r="AI301">
            <v>1229938</v>
          </cell>
          <cell r="AJ301">
            <v>0</v>
          </cell>
          <cell r="AK301">
            <v>6193337</v>
          </cell>
          <cell r="AL301">
            <v>25783213</v>
          </cell>
          <cell r="AM301">
            <v>3238404.8777076122</v>
          </cell>
          <cell r="AN301">
            <v>-732158.12</v>
          </cell>
          <cell r="AO301">
            <v>5751079.9307188103</v>
          </cell>
          <cell r="AP301">
            <v>0</v>
          </cell>
          <cell r="AQ301">
            <v>442255.12</v>
          </cell>
          <cell r="AR301">
            <v>0</v>
          </cell>
          <cell r="AS301">
            <v>0</v>
          </cell>
          <cell r="AT301">
            <v>34482794.808426417</v>
          </cell>
          <cell r="AU301">
            <v>7.7766875144774574E-4</v>
          </cell>
          <cell r="AV301">
            <v>0</v>
          </cell>
          <cell r="AW301">
            <v>0</v>
          </cell>
          <cell r="AY301">
            <v>0</v>
          </cell>
          <cell r="AZ301">
            <v>0</v>
          </cell>
          <cell r="BA301">
            <v>0</v>
          </cell>
          <cell r="BB301">
            <v>0</v>
          </cell>
          <cell r="BC301">
            <v>0</v>
          </cell>
          <cell r="BD301">
            <v>0</v>
          </cell>
          <cell r="BE301">
            <v>0</v>
          </cell>
          <cell r="BF301">
            <v>0</v>
          </cell>
          <cell r="BG301">
            <v>0</v>
          </cell>
          <cell r="BH301">
            <v>0</v>
          </cell>
          <cell r="BJ301">
            <v>0</v>
          </cell>
          <cell r="BL301">
            <v>0</v>
          </cell>
          <cell r="BM301">
            <v>0</v>
          </cell>
          <cell r="BN301">
            <v>0</v>
          </cell>
          <cell r="BO301">
            <v>0</v>
          </cell>
          <cell r="BQ301">
            <v>0</v>
          </cell>
          <cell r="BR301">
            <v>0</v>
          </cell>
          <cell r="BS301">
            <v>0</v>
          </cell>
          <cell r="BT301">
            <v>0</v>
          </cell>
          <cell r="CB301">
            <v>0</v>
          </cell>
          <cell r="CC301">
            <v>0</v>
          </cell>
          <cell r="CD301">
            <v>0</v>
          </cell>
          <cell r="CE301">
            <v>0</v>
          </cell>
          <cell r="CF301">
            <v>0</v>
          </cell>
          <cell r="CI301">
            <v>0</v>
          </cell>
          <cell r="CJ301">
            <v>0</v>
          </cell>
          <cell r="CK301">
            <v>0</v>
          </cell>
          <cell r="CV301">
            <v>7.9264599698215235E-4</v>
          </cell>
          <cell r="DG301">
            <v>34482795</v>
          </cell>
          <cell r="DR301">
            <v>12760252.279999996</v>
          </cell>
          <cell r="EC301">
            <v>2.7023599724628653</v>
          </cell>
          <cell r="EN301">
            <v>2.4095909012463064E-2</v>
          </cell>
        </row>
        <row r="302">
          <cell r="B302">
            <v>39800</v>
          </cell>
          <cell r="C302" t="str">
            <v>Wilson County Schools</v>
          </cell>
          <cell r="D302">
            <v>3.7380233468300756E-3</v>
          </cell>
          <cell r="E302">
            <v>6467651.9811817873</v>
          </cell>
          <cell r="F302">
            <v>5042976.5744907707</v>
          </cell>
          <cell r="G302">
            <v>-562933</v>
          </cell>
          <cell r="H302">
            <v>-1804704.7197566011</v>
          </cell>
          <cell r="I302">
            <v>-74682.086416776248</v>
          </cell>
          <cell r="J302">
            <v>5457793.4390270412</v>
          </cell>
          <cell r="K302">
            <v>0</v>
          </cell>
          <cell r="L302">
            <v>-286761.52769567468</v>
          </cell>
          <cell r="M302">
            <v>51461.411006768903</v>
          </cell>
          <cell r="N302">
            <v>1939.9593565378725</v>
          </cell>
          <cell r="O302">
            <v>-875.48244806107198</v>
          </cell>
          <cell r="P302">
            <v>0</v>
          </cell>
          <cell r="Q302">
            <v>0</v>
          </cell>
          <cell r="R302">
            <v>0</v>
          </cell>
          <cell r="S302">
            <v>14291866.548745792</v>
          </cell>
          <cell r="T302">
            <v>0</v>
          </cell>
          <cell r="U302">
            <v>27288967.195135206</v>
          </cell>
          <cell r="V302">
            <v>205845.64402707561</v>
          </cell>
          <cell r="W302">
            <v>0</v>
          </cell>
          <cell r="X302">
            <v>27494812.839162283</v>
          </cell>
          <cell r="Y302">
            <v>2814661.5700000008</v>
          </cell>
          <cell r="Z302">
            <v>0</v>
          </cell>
          <cell r="AA302">
            <v>0</v>
          </cell>
          <cell r="AB302">
            <v>373410.43208388123</v>
          </cell>
          <cell r="AC302">
            <v>3188072.0020838818</v>
          </cell>
          <cell r="AD302" t="str">
            <v>N/A</v>
          </cell>
          <cell r="AE302">
            <v>4871640</v>
          </cell>
          <cell r="AF302">
            <v>4871640</v>
          </cell>
          <cell r="AG302">
            <v>4871640</v>
          </cell>
          <cell r="AH302">
            <v>4871640</v>
          </cell>
          <cell r="AI302">
            <v>4820178</v>
          </cell>
          <cell r="AJ302">
            <v>0</v>
          </cell>
          <cell r="AK302">
            <v>24306738</v>
          </cell>
          <cell r="AL302">
            <v>127292513</v>
          </cell>
          <cell r="AM302">
            <v>14291866.548745792</v>
          </cell>
          <cell r="AN302">
            <v>-3274399.4299999992</v>
          </cell>
          <cell r="AO302">
            <v>27121402.407078404</v>
          </cell>
          <cell r="AP302">
            <v>0</v>
          </cell>
          <cell r="AQ302">
            <v>-2814661.5700000008</v>
          </cell>
          <cell r="AR302">
            <v>0</v>
          </cell>
          <cell r="AS302">
            <v>0</v>
          </cell>
          <cell r="AT302">
            <v>162616720.9558242</v>
          </cell>
          <cell r="AU302">
            <v>3.8393744410324645E-3</v>
          </cell>
          <cell r="AV302">
            <v>0</v>
          </cell>
          <cell r="AW302">
            <v>0</v>
          </cell>
          <cell r="AY302">
            <v>0</v>
          </cell>
          <cell r="AZ302">
            <v>0</v>
          </cell>
          <cell r="BA302">
            <v>0</v>
          </cell>
          <cell r="BB302">
            <v>0</v>
          </cell>
          <cell r="BC302">
            <v>0</v>
          </cell>
          <cell r="BD302">
            <v>0</v>
          </cell>
          <cell r="BE302">
            <v>0</v>
          </cell>
          <cell r="BF302">
            <v>0</v>
          </cell>
          <cell r="BG302">
            <v>0</v>
          </cell>
          <cell r="BH302">
            <v>0</v>
          </cell>
          <cell r="BJ302">
            <v>0</v>
          </cell>
          <cell r="BL302">
            <v>0</v>
          </cell>
          <cell r="BM302">
            <v>0</v>
          </cell>
          <cell r="BN302">
            <v>0</v>
          </cell>
          <cell r="BO302">
            <v>0</v>
          </cell>
          <cell r="BQ302">
            <v>0</v>
          </cell>
          <cell r="BR302">
            <v>0</v>
          </cell>
          <cell r="BS302">
            <v>0</v>
          </cell>
          <cell r="BT302">
            <v>0</v>
          </cell>
          <cell r="CB302">
            <v>0</v>
          </cell>
          <cell r="CC302">
            <v>0</v>
          </cell>
          <cell r="CD302">
            <v>0</v>
          </cell>
          <cell r="CE302">
            <v>0</v>
          </cell>
          <cell r="CF302">
            <v>0</v>
          </cell>
          <cell r="CI302">
            <v>0</v>
          </cell>
          <cell r="CJ302">
            <v>0</v>
          </cell>
          <cell r="CK302">
            <v>0</v>
          </cell>
          <cell r="CV302">
            <v>3.7380233468300756E-3</v>
          </cell>
          <cell r="DG302">
            <v>162616721</v>
          </cell>
          <cell r="DR302">
            <v>56969445.149999999</v>
          </cell>
          <cell r="EC302">
            <v>2.854455060459721</v>
          </cell>
          <cell r="EN302">
            <v>2.4095909012463064E-2</v>
          </cell>
        </row>
        <row r="303">
          <cell r="B303">
            <v>39805</v>
          </cell>
          <cell r="C303" t="str">
            <v>Wilson Community College</v>
          </cell>
          <cell r="D303">
            <v>4.2042356770365802E-4</v>
          </cell>
          <cell r="E303">
            <v>727430.80187018623</v>
          </cell>
          <cell r="F303">
            <v>567194.47862500523</v>
          </cell>
          <cell r="G303">
            <v>-37148</v>
          </cell>
          <cell r="H303">
            <v>-202979.04173742756</v>
          </cell>
          <cell r="I303">
            <v>-8399.6557275438754</v>
          </cell>
          <cell r="J303">
            <v>613849.82824444456</v>
          </cell>
          <cell r="K303">
            <v>0</v>
          </cell>
          <cell r="L303">
            <v>-32252.689019774443</v>
          </cell>
          <cell r="M303">
            <v>5787.9761593456933</v>
          </cell>
          <cell r="N303">
            <v>218.19142316684443</v>
          </cell>
          <cell r="O303">
            <v>-98.46740379187375</v>
          </cell>
          <cell r="P303">
            <v>0</v>
          </cell>
          <cell r="Q303">
            <v>0</v>
          </cell>
          <cell r="R303">
            <v>0</v>
          </cell>
          <cell r="S303">
            <v>1633603.4224336105</v>
          </cell>
          <cell r="T303">
            <v>37708.669999999984</v>
          </cell>
          <cell r="U303">
            <v>3069249.1412222232</v>
          </cell>
          <cell r="V303">
            <v>23151.904637382773</v>
          </cell>
          <cell r="W303">
            <v>0</v>
          </cell>
          <cell r="X303">
            <v>3130109.7158596059</v>
          </cell>
          <cell r="Y303">
            <v>223449</v>
          </cell>
          <cell r="Z303">
            <v>0</v>
          </cell>
          <cell r="AA303">
            <v>0</v>
          </cell>
          <cell r="AB303">
            <v>41998.27863771937</v>
          </cell>
          <cell r="AC303">
            <v>265447.27863771934</v>
          </cell>
          <cell r="AD303" t="str">
            <v>N/A</v>
          </cell>
          <cell r="AE303">
            <v>574090</v>
          </cell>
          <cell r="AF303">
            <v>574090</v>
          </cell>
          <cell r="AG303">
            <v>574090</v>
          </cell>
          <cell r="AH303">
            <v>574090</v>
          </cell>
          <cell r="AI303">
            <v>568302</v>
          </cell>
          <cell r="AJ303">
            <v>0</v>
          </cell>
          <cell r="AK303">
            <v>2864662</v>
          </cell>
          <cell r="AL303">
            <v>14207069</v>
          </cell>
          <cell r="AM303">
            <v>1633603.4224336105</v>
          </cell>
          <cell r="AN303">
            <v>-415480.67</v>
          </cell>
          <cell r="AO303">
            <v>3050402.7672218867</v>
          </cell>
          <cell r="AP303">
            <v>0</v>
          </cell>
          <cell r="AQ303">
            <v>-185740.33000000002</v>
          </cell>
          <cell r="AR303">
            <v>0</v>
          </cell>
          <cell r="AS303">
            <v>0</v>
          </cell>
          <cell r="AT303">
            <v>18289854.189655498</v>
          </cell>
          <cell r="AU303">
            <v>4.2851110673070681E-4</v>
          </cell>
          <cell r="AV303">
            <v>0</v>
          </cell>
          <cell r="AW303">
            <v>0</v>
          </cell>
          <cell r="AY303">
            <v>0</v>
          </cell>
          <cell r="AZ303">
            <v>0</v>
          </cell>
          <cell r="BA303">
            <v>0</v>
          </cell>
          <cell r="BB303">
            <v>0</v>
          </cell>
          <cell r="BC303">
            <v>0</v>
          </cell>
          <cell r="BD303">
            <v>0</v>
          </cell>
          <cell r="BE303">
            <v>0</v>
          </cell>
          <cell r="BF303">
            <v>0</v>
          </cell>
          <cell r="BG303">
            <v>0</v>
          </cell>
          <cell r="BH303">
            <v>0</v>
          </cell>
          <cell r="BJ303">
            <v>0</v>
          </cell>
          <cell r="BL303">
            <v>0</v>
          </cell>
          <cell r="BM303">
            <v>0</v>
          </cell>
          <cell r="BN303">
            <v>0</v>
          </cell>
          <cell r="BO303">
            <v>0</v>
          </cell>
          <cell r="BQ303">
            <v>0</v>
          </cell>
          <cell r="BR303">
            <v>0</v>
          </cell>
          <cell r="BS303">
            <v>0</v>
          </cell>
          <cell r="BT303">
            <v>0</v>
          </cell>
          <cell r="CB303">
            <v>0</v>
          </cell>
          <cell r="CC303">
            <v>0</v>
          </cell>
          <cell r="CD303">
            <v>0</v>
          </cell>
          <cell r="CE303">
            <v>0</v>
          </cell>
          <cell r="CF303">
            <v>0</v>
          </cell>
          <cell r="CI303">
            <v>0</v>
          </cell>
          <cell r="CJ303">
            <v>0</v>
          </cell>
          <cell r="CK303">
            <v>0</v>
          </cell>
          <cell r="CV303">
            <v>4.2042356770365802E-4</v>
          </cell>
          <cell r="DG303">
            <v>18289854</v>
          </cell>
          <cell r="DR303">
            <v>6996756.6699999981</v>
          </cell>
          <cell r="EC303">
            <v>2.6140474597925389</v>
          </cell>
          <cell r="EN303">
            <v>2.4095909012463064E-2</v>
          </cell>
        </row>
        <row r="304">
          <cell r="B304">
            <v>39900</v>
          </cell>
          <cell r="C304" t="str">
            <v>Yadkin County Schools</v>
          </cell>
          <cell r="D304">
            <v>1.846225728420556E-3</v>
          </cell>
          <cell r="E304">
            <v>3194400.9927744321</v>
          </cell>
          <cell r="F304">
            <v>2490747.7123016114</v>
          </cell>
          <cell r="G304">
            <v>-121943</v>
          </cell>
          <cell r="H304">
            <v>-891351.38458730141</v>
          </cell>
          <cell r="I304">
            <v>-36885.802094228449</v>
          </cell>
          <cell r="J304">
            <v>2695627.5369659117</v>
          </cell>
          <cell r="K304">
            <v>0</v>
          </cell>
          <cell r="L304">
            <v>-141632.74576706524</v>
          </cell>
          <cell r="M304">
            <v>25417.011132927124</v>
          </cell>
          <cell r="N304">
            <v>958.15422853570021</v>
          </cell>
          <cell r="O304">
            <v>-432.40452785337845</v>
          </cell>
          <cell r="P304">
            <v>0</v>
          </cell>
          <cell r="Q304">
            <v>0</v>
          </cell>
          <cell r="R304">
            <v>0</v>
          </cell>
          <cell r="S304">
            <v>7214906.0704269689</v>
          </cell>
          <cell r="T304">
            <v>33032.189999999944</v>
          </cell>
          <cell r="U304">
            <v>13478137.684829559</v>
          </cell>
          <cell r="V304">
            <v>101668.0445317085</v>
          </cell>
          <cell r="W304">
            <v>0</v>
          </cell>
          <cell r="X304">
            <v>13612837.919361267</v>
          </cell>
          <cell r="Y304">
            <v>642743</v>
          </cell>
          <cell r="Z304">
            <v>0</v>
          </cell>
          <cell r="AA304">
            <v>0</v>
          </cell>
          <cell r="AB304">
            <v>184429.01047114225</v>
          </cell>
          <cell r="AC304">
            <v>827172.01047114225</v>
          </cell>
          <cell r="AD304" t="str">
            <v>N/A</v>
          </cell>
          <cell r="AE304">
            <v>2562216</v>
          </cell>
          <cell r="AF304">
            <v>2562217</v>
          </cell>
          <cell r="AG304">
            <v>2562217</v>
          </cell>
          <cell r="AH304">
            <v>2562217</v>
          </cell>
          <cell r="AI304">
            <v>2536800</v>
          </cell>
          <cell r="AJ304">
            <v>0</v>
          </cell>
          <cell r="AK304">
            <v>12785667</v>
          </cell>
          <cell r="AL304">
            <v>61981970</v>
          </cell>
          <cell r="AM304">
            <v>7214906.0704269689</v>
          </cell>
          <cell r="AN304">
            <v>-1665447.19</v>
          </cell>
          <cell r="AO304">
            <v>13395376.718890127</v>
          </cell>
          <cell r="AP304">
            <v>0</v>
          </cell>
          <cell r="AQ304">
            <v>-609710.81000000006</v>
          </cell>
          <cell r="AR304">
            <v>0</v>
          </cell>
          <cell r="AS304">
            <v>0</v>
          </cell>
          <cell r="AT304">
            <v>80317094.789317101</v>
          </cell>
          <cell r="AU304">
            <v>1.8694892888119446E-3</v>
          </cell>
          <cell r="AV304">
            <v>0</v>
          </cell>
          <cell r="AW304">
            <v>0</v>
          </cell>
          <cell r="AY304">
            <v>0</v>
          </cell>
          <cell r="AZ304">
            <v>0</v>
          </cell>
          <cell r="BA304">
            <v>0</v>
          </cell>
          <cell r="BB304">
            <v>0</v>
          </cell>
          <cell r="BC304">
            <v>0</v>
          </cell>
          <cell r="BD304">
            <v>0</v>
          </cell>
          <cell r="BE304">
            <v>0</v>
          </cell>
          <cell r="BF304">
            <v>0</v>
          </cell>
          <cell r="BG304">
            <v>0</v>
          </cell>
          <cell r="BH304">
            <v>0</v>
          </cell>
          <cell r="BJ304">
            <v>0</v>
          </cell>
          <cell r="BL304">
            <v>0</v>
          </cell>
          <cell r="BM304">
            <v>0</v>
          </cell>
          <cell r="BN304">
            <v>0</v>
          </cell>
          <cell r="BO304">
            <v>0</v>
          </cell>
          <cell r="BQ304">
            <v>0</v>
          </cell>
          <cell r="BR304">
            <v>0</v>
          </cell>
          <cell r="BS304">
            <v>0</v>
          </cell>
          <cell r="BT304">
            <v>0</v>
          </cell>
          <cell r="CB304">
            <v>0</v>
          </cell>
          <cell r="CC304">
            <v>0</v>
          </cell>
          <cell r="CD304">
            <v>0</v>
          </cell>
          <cell r="CE304">
            <v>0</v>
          </cell>
          <cell r="CF304">
            <v>0</v>
          </cell>
          <cell r="CI304">
            <v>0</v>
          </cell>
          <cell r="CJ304">
            <v>0</v>
          </cell>
          <cell r="CK304">
            <v>0</v>
          </cell>
          <cell r="CV304">
            <v>1.846225728420556E-3</v>
          </cell>
          <cell r="DG304">
            <v>80317095</v>
          </cell>
          <cell r="DR304">
            <v>28981653.340000022</v>
          </cell>
          <cell r="EC304">
            <v>2.7713082500075181</v>
          </cell>
          <cell r="EN304">
            <v>2.4095909012463064E-2</v>
          </cell>
        </row>
        <row r="305">
          <cell r="B305">
            <v>40000</v>
          </cell>
          <cell r="C305" t="str">
            <v>Consolidated Judicial Retirement System</v>
          </cell>
          <cell r="D305">
            <v>2.9913793283444551E-3</v>
          </cell>
          <cell r="E305">
            <v>5175783.7349625183</v>
          </cell>
          <cell r="F305">
            <v>4035677.2760795662</v>
          </cell>
          <cell r="G305">
            <v>2662046</v>
          </cell>
          <cell r="H305">
            <v>-1444227.5747217208</v>
          </cell>
          <cell r="I305">
            <v>-59764.862007678144</v>
          </cell>
          <cell r="J305">
            <v>4367637.3732990632</v>
          </cell>
          <cell r="K305">
            <v>0</v>
          </cell>
          <cell r="L305">
            <v>-229482.91824896191</v>
          </cell>
          <cell r="M305">
            <v>41182.354097288146</v>
          </cell>
          <cell r="N305">
            <v>1552.4660438242054</v>
          </cell>
          <cell r="O305">
            <v>-700.61095249155483</v>
          </cell>
          <cell r="P305">
            <v>0</v>
          </cell>
          <cell r="Q305">
            <v>0</v>
          </cell>
          <cell r="R305">
            <v>0</v>
          </cell>
          <cell r="S305">
            <v>14549703.238551408</v>
          </cell>
          <cell r="T305">
            <v>13310230.6</v>
          </cell>
          <cell r="U305">
            <v>21838186.866495319</v>
          </cell>
          <cell r="V305">
            <v>164729.41638915258</v>
          </cell>
          <cell r="W305">
            <v>0</v>
          </cell>
          <cell r="X305">
            <v>35313146.882884473</v>
          </cell>
          <cell r="Y305">
            <v>0</v>
          </cell>
          <cell r="Z305">
            <v>0</v>
          </cell>
          <cell r="AA305">
            <v>0</v>
          </cell>
          <cell r="AB305">
            <v>298824.31003839074</v>
          </cell>
          <cell r="AC305">
            <v>298824.31003839074</v>
          </cell>
          <cell r="AD305" t="str">
            <v>N/A</v>
          </cell>
          <cell r="AE305">
            <v>7011102</v>
          </cell>
          <cell r="AF305">
            <v>7011101</v>
          </cell>
          <cell r="AG305">
            <v>7011101</v>
          </cell>
          <cell r="AH305">
            <v>7011101</v>
          </cell>
          <cell r="AI305">
            <v>6969919</v>
          </cell>
          <cell r="AJ305">
            <v>0</v>
          </cell>
          <cell r="AK305">
            <v>35014324</v>
          </cell>
          <cell r="AL305">
            <v>84441199</v>
          </cell>
          <cell r="AM305">
            <v>14549703.238551408</v>
          </cell>
          <cell r="AN305">
            <v>-3870056.6</v>
          </cell>
          <cell r="AO305">
            <v>21704091.97284608</v>
          </cell>
          <cell r="AP305">
            <v>0</v>
          </cell>
          <cell r="AQ305">
            <v>13310230.6</v>
          </cell>
          <cell r="AR305">
            <v>0</v>
          </cell>
          <cell r="AS305">
            <v>0</v>
          </cell>
          <cell r="AT305">
            <v>130135168.21139748</v>
          </cell>
          <cell r="AU305">
            <v>2.5469006112273148E-3</v>
          </cell>
          <cell r="AV305">
            <v>0</v>
          </cell>
          <cell r="AW305">
            <v>0</v>
          </cell>
          <cell r="AY305">
            <v>0</v>
          </cell>
          <cell r="AZ305">
            <v>0</v>
          </cell>
          <cell r="BA305">
            <v>0</v>
          </cell>
          <cell r="BB305">
            <v>0</v>
          </cell>
          <cell r="BC305">
            <v>0</v>
          </cell>
          <cell r="BD305">
            <v>0</v>
          </cell>
          <cell r="BE305">
            <v>0</v>
          </cell>
          <cell r="BF305">
            <v>0</v>
          </cell>
          <cell r="BG305">
            <v>0</v>
          </cell>
          <cell r="BH305">
            <v>0</v>
          </cell>
          <cell r="BJ305">
            <v>0</v>
          </cell>
          <cell r="BL305">
            <v>0</v>
          </cell>
          <cell r="BM305">
            <v>0</v>
          </cell>
          <cell r="BN305">
            <v>0</v>
          </cell>
          <cell r="BO305">
            <v>0</v>
          </cell>
          <cell r="BQ305">
            <v>0</v>
          </cell>
          <cell r="BR305">
            <v>0</v>
          </cell>
          <cell r="BS305">
            <v>0</v>
          </cell>
          <cell r="BT305">
            <v>0</v>
          </cell>
          <cell r="CB305">
            <v>0</v>
          </cell>
          <cell r="CC305">
            <v>0</v>
          </cell>
          <cell r="CD305">
            <v>0</v>
          </cell>
          <cell r="CE305">
            <v>0</v>
          </cell>
          <cell r="CF305">
            <v>0</v>
          </cell>
          <cell r="CI305">
            <v>0</v>
          </cell>
          <cell r="CJ305">
            <v>0</v>
          </cell>
          <cell r="CK305">
            <v>0</v>
          </cell>
          <cell r="CV305">
            <v>2.9913793283444551E-3</v>
          </cell>
          <cell r="DG305">
            <v>130135168</v>
          </cell>
          <cell r="DR305">
            <v>68245416.099999994</v>
          </cell>
          <cell r="EC305">
            <v>1.9068704601245741</v>
          </cell>
          <cell r="EN305">
            <v>2.4095909012463064E-2</v>
          </cell>
        </row>
        <row r="306">
          <cell r="B306">
            <v>51000</v>
          </cell>
          <cell r="C306" t="str">
            <v>Highway - Administrative</v>
          </cell>
          <cell r="D306">
            <v>2.8162352744387824E-2</v>
          </cell>
          <cell r="E306">
            <v>48727436.835417993</v>
          </cell>
          <cell r="F306">
            <v>37993899.982709162</v>
          </cell>
          <cell r="G306">
            <v>-12216545</v>
          </cell>
          <cell r="H306">
            <v>-13596686.323628087</v>
          </cell>
          <cell r="I306">
            <v>-562656.53427223396</v>
          </cell>
          <cell r="J306">
            <v>41119139.656051002</v>
          </cell>
          <cell r="K306">
            <v>0</v>
          </cell>
          <cell r="L306">
            <v>-2160467.8588574491</v>
          </cell>
          <cell r="M306">
            <v>387711.43864726363</v>
          </cell>
          <cell r="N306">
            <v>14615.697827282393</v>
          </cell>
          <cell r="O306">
            <v>-6595.9046362630725</v>
          </cell>
          <cell r="P306">
            <v>0</v>
          </cell>
          <cell r="Q306">
            <v>0</v>
          </cell>
          <cell r="R306">
            <v>0</v>
          </cell>
          <cell r="S306">
            <v>99699851.989258677</v>
          </cell>
          <cell r="T306">
            <v>2821902.9046994597</v>
          </cell>
          <cell r="U306">
            <v>205595698.28025502</v>
          </cell>
          <cell r="V306">
            <v>1550845.7545890545</v>
          </cell>
          <cell r="W306">
            <v>0</v>
          </cell>
          <cell r="X306">
            <v>209968446.93954352</v>
          </cell>
          <cell r="Y306">
            <v>63904622</v>
          </cell>
          <cell r="Z306">
            <v>0</v>
          </cell>
          <cell r="AA306">
            <v>0</v>
          </cell>
          <cell r="AB306">
            <v>2813282.6713611698</v>
          </cell>
          <cell r="AC306">
            <v>66717904.671361171</v>
          </cell>
          <cell r="AD306" t="str">
            <v>N/A</v>
          </cell>
          <cell r="AE306">
            <v>28727652</v>
          </cell>
          <cell r="AF306">
            <v>28727650</v>
          </cell>
          <cell r="AG306">
            <v>28727650</v>
          </cell>
          <cell r="AH306">
            <v>28727650</v>
          </cell>
          <cell r="AI306">
            <v>28339938</v>
          </cell>
          <cell r="AJ306">
            <v>0</v>
          </cell>
          <cell r="AK306">
            <v>143250540</v>
          </cell>
          <cell r="AL306">
            <v>1010394077</v>
          </cell>
          <cell r="AM306">
            <v>99699851.989258677</v>
          </cell>
          <cell r="AN306">
            <v>-28186402.90469946</v>
          </cell>
          <cell r="AO306">
            <v>204333261.36348292</v>
          </cell>
          <cell r="AP306">
            <v>0</v>
          </cell>
          <cell r="AQ306">
            <v>-61082719.09530054</v>
          </cell>
          <cell r="AR306">
            <v>0</v>
          </cell>
          <cell r="AS306">
            <v>0</v>
          </cell>
          <cell r="AT306">
            <v>1225158068.3527417</v>
          </cell>
          <cell r="AU306">
            <v>3.0475328768949837E-2</v>
          </cell>
          <cell r="AV306">
            <v>0</v>
          </cell>
          <cell r="AW306">
            <v>0</v>
          </cell>
          <cell r="AY306">
            <v>0</v>
          </cell>
          <cell r="AZ306">
            <v>0</v>
          </cell>
          <cell r="BA306">
            <v>0</v>
          </cell>
          <cell r="BB306">
            <v>0</v>
          </cell>
          <cell r="BC306">
            <v>0</v>
          </cell>
          <cell r="BD306">
            <v>0</v>
          </cell>
          <cell r="BE306">
            <v>0</v>
          </cell>
          <cell r="BF306">
            <v>0</v>
          </cell>
          <cell r="BG306">
            <v>0</v>
          </cell>
          <cell r="BH306">
            <v>0</v>
          </cell>
          <cell r="BJ306">
            <v>0</v>
          </cell>
          <cell r="BL306">
            <v>0</v>
          </cell>
          <cell r="BM306">
            <v>0</v>
          </cell>
          <cell r="BN306">
            <v>0</v>
          </cell>
          <cell r="BO306">
            <v>0</v>
          </cell>
          <cell r="BQ306">
            <v>0</v>
          </cell>
          <cell r="BR306">
            <v>0</v>
          </cell>
          <cell r="BS306">
            <v>0</v>
          </cell>
          <cell r="BT306">
            <v>0</v>
          </cell>
          <cell r="CB306">
            <v>0</v>
          </cell>
          <cell r="CC306">
            <v>0</v>
          </cell>
          <cell r="CD306">
            <v>0</v>
          </cell>
          <cell r="CE306">
            <v>0</v>
          </cell>
          <cell r="CF306">
            <v>0</v>
          </cell>
          <cell r="CI306">
            <v>0</v>
          </cell>
          <cell r="CJ306">
            <v>0</v>
          </cell>
          <cell r="CK306">
            <v>0</v>
          </cell>
          <cell r="CV306">
            <v>2.8162352744387824E-2</v>
          </cell>
          <cell r="DG306">
            <v>1225158068</v>
          </cell>
          <cell r="DR306">
            <v>517068074.63000035</v>
          </cell>
          <cell r="EC306">
            <v>2.3694328234762692</v>
          </cell>
          <cell r="EN306">
            <v>2.4095909012463064E-2</v>
          </cell>
        </row>
        <row r="307">
          <cell r="B307">
            <v>60000</v>
          </cell>
          <cell r="C307" t="str">
            <v>Legislative Retirement System</v>
          </cell>
          <cell r="D307">
            <v>1.4349776773514539E-4</v>
          </cell>
          <cell r="E307">
            <v>248284.59741280656</v>
          </cell>
          <cell r="F307">
            <v>193593.1945940711</v>
          </cell>
          <cell r="G307">
            <v>12377</v>
          </cell>
          <cell r="H307">
            <v>-69280.225048826003</v>
          </cell>
          <cell r="I307">
            <v>-2866.946430310185</v>
          </cell>
          <cell r="J307">
            <v>209517.46487192417</v>
          </cell>
          <cell r="K307">
            <v>0</v>
          </cell>
          <cell r="L307">
            <v>-11008.395421485307</v>
          </cell>
          <cell r="M307">
            <v>1975.5354418089648</v>
          </cell>
          <cell r="N307">
            <v>74.472471499185758</v>
          </cell>
          <cell r="O307">
            <v>-33.608612181248404</v>
          </cell>
          <cell r="P307">
            <v>0</v>
          </cell>
          <cell r="Q307">
            <v>0</v>
          </cell>
          <cell r="R307">
            <v>0</v>
          </cell>
          <cell r="S307">
            <v>582633.08927930729</v>
          </cell>
          <cell r="T307">
            <v>63430.98000000001</v>
          </cell>
          <cell r="U307">
            <v>1047587.3243596209</v>
          </cell>
          <cell r="V307">
            <v>7902.1417672358593</v>
          </cell>
          <cell r="W307">
            <v>0</v>
          </cell>
          <cell r="X307">
            <v>1118920.4461268568</v>
          </cell>
          <cell r="Y307">
            <v>1544</v>
          </cell>
          <cell r="Z307">
            <v>0</v>
          </cell>
          <cell r="AA307">
            <v>0</v>
          </cell>
          <cell r="AB307">
            <v>14334.732151550923</v>
          </cell>
          <cell r="AC307">
            <v>15878.732151550923</v>
          </cell>
          <cell r="AD307" t="str">
            <v>N/A</v>
          </cell>
          <cell r="AE307">
            <v>221003</v>
          </cell>
          <cell r="AF307">
            <v>221003</v>
          </cell>
          <cell r="AG307">
            <v>221003</v>
          </cell>
          <cell r="AH307">
            <v>221003</v>
          </cell>
          <cell r="AI307">
            <v>219028</v>
          </cell>
          <cell r="AJ307">
            <v>0</v>
          </cell>
          <cell r="AK307">
            <v>1103040</v>
          </cell>
          <cell r="AL307">
            <v>4759449</v>
          </cell>
          <cell r="AM307">
            <v>582633.08927930729</v>
          </cell>
          <cell r="AN307">
            <v>-202482.98</v>
          </cell>
          <cell r="AO307">
            <v>1041154.7339753059</v>
          </cell>
          <cell r="AP307">
            <v>0</v>
          </cell>
          <cell r="AQ307">
            <v>61886.98000000001</v>
          </cell>
          <cell r="AR307">
            <v>0</v>
          </cell>
          <cell r="AS307">
            <v>0</v>
          </cell>
          <cell r="AT307">
            <v>6242640.8232546132</v>
          </cell>
          <cell r="AU307">
            <v>1.4355367967159498E-4</v>
          </cell>
          <cell r="AV307">
            <v>0</v>
          </cell>
          <cell r="AW307">
            <v>0</v>
          </cell>
          <cell r="AY307">
            <v>0</v>
          </cell>
          <cell r="AZ307">
            <v>0</v>
          </cell>
          <cell r="BA307">
            <v>0</v>
          </cell>
          <cell r="BB307">
            <v>0</v>
          </cell>
          <cell r="BC307">
            <v>0</v>
          </cell>
          <cell r="BD307">
            <v>0</v>
          </cell>
          <cell r="BE307">
            <v>0</v>
          </cell>
          <cell r="BF307">
            <v>0</v>
          </cell>
          <cell r="BG307">
            <v>0</v>
          </cell>
          <cell r="BH307">
            <v>0</v>
          </cell>
          <cell r="BJ307">
            <v>0</v>
          </cell>
          <cell r="BL307">
            <v>0</v>
          </cell>
          <cell r="BM307">
            <v>0</v>
          </cell>
          <cell r="BN307">
            <v>0</v>
          </cell>
          <cell r="BO307">
            <v>0</v>
          </cell>
          <cell r="BQ307">
            <v>0</v>
          </cell>
          <cell r="BR307">
            <v>0</v>
          </cell>
          <cell r="BS307">
            <v>0</v>
          </cell>
          <cell r="BT307">
            <v>0</v>
          </cell>
          <cell r="CB307">
            <v>0</v>
          </cell>
          <cell r="CC307">
            <v>0</v>
          </cell>
          <cell r="CD307">
            <v>0</v>
          </cell>
          <cell r="CE307">
            <v>0</v>
          </cell>
          <cell r="CF307">
            <v>0</v>
          </cell>
          <cell r="CI307">
            <v>0</v>
          </cell>
          <cell r="CJ307">
            <v>0</v>
          </cell>
          <cell r="CK307">
            <v>0</v>
          </cell>
          <cell r="CV307">
            <v>1.4349776773514539E-4</v>
          </cell>
          <cell r="DG307">
            <v>6242641</v>
          </cell>
          <cell r="DR307">
            <v>3577761.2099999958</v>
          </cell>
          <cell r="EC307">
            <v>1.7448456265196097</v>
          </cell>
          <cell r="EN307">
            <v>2.4095909012463064E-2</v>
          </cell>
        </row>
        <row r="308">
          <cell r="B308">
            <v>90901</v>
          </cell>
          <cell r="C308" t="str">
            <v>BLADEN COUNTY</v>
          </cell>
          <cell r="D308">
            <v>7.1481501490372695E-4</v>
          </cell>
          <cell r="E308">
            <v>1236796.6484856578</v>
          </cell>
          <cell r="F308">
            <v>964358.71068347129</v>
          </cell>
          <cell r="G308">
            <v>-467132</v>
          </cell>
          <cell r="H308">
            <v>-345110.21239169477</v>
          </cell>
          <cell r="I308">
            <v>-14281.311742025373</v>
          </cell>
          <cell r="J308">
            <v>1043683.3418303755</v>
          </cell>
          <cell r="K308">
            <v>0</v>
          </cell>
          <cell r="L308">
            <v>-54836.855384391296</v>
          </cell>
          <cell r="M308">
            <v>9840.8666459949036</v>
          </cell>
          <cell r="N308">
            <v>370.97469643473619</v>
          </cell>
          <cell r="O308">
            <v>-167.4168246406019</v>
          </cell>
          <cell r="P308">
            <v>0</v>
          </cell>
          <cell r="Q308">
            <v>0</v>
          </cell>
          <cell r="R308">
            <v>0</v>
          </cell>
          <cell r="S308">
            <v>2373522.7459991821</v>
          </cell>
          <cell r="T308">
            <v>91297.75</v>
          </cell>
          <cell r="U308">
            <v>5218416.7091518771</v>
          </cell>
          <cell r="V308">
            <v>39363.466583979614</v>
          </cell>
          <cell r="W308">
            <v>0</v>
          </cell>
          <cell r="X308">
            <v>5349077.9257358564</v>
          </cell>
          <cell r="Y308">
            <v>2426962</v>
          </cell>
          <cell r="Z308">
            <v>0</v>
          </cell>
          <cell r="AA308">
            <v>0</v>
          </cell>
          <cell r="AB308">
            <v>71406.558710126861</v>
          </cell>
          <cell r="AC308">
            <v>2498368.5587101267</v>
          </cell>
          <cell r="AD308" t="str">
            <v>N/A</v>
          </cell>
          <cell r="AE308">
            <v>572111</v>
          </cell>
          <cell r="AF308">
            <v>572109</v>
          </cell>
          <cell r="AG308">
            <v>572109</v>
          </cell>
          <cell r="AH308">
            <v>572109</v>
          </cell>
          <cell r="AI308">
            <v>562268</v>
          </cell>
          <cell r="AJ308">
            <v>0</v>
          </cell>
          <cell r="AK308">
            <v>2850706</v>
          </cell>
          <cell r="AL308">
            <v>26611683</v>
          </cell>
          <cell r="AM308">
            <v>2373522.7459991821</v>
          </cell>
          <cell r="AN308">
            <v>-739032.75</v>
          </cell>
          <cell r="AO308">
            <v>5186373.6170257302</v>
          </cell>
          <cell r="AP308">
            <v>0</v>
          </cell>
          <cell r="AQ308">
            <v>-2335664.25</v>
          </cell>
          <cell r="AR308">
            <v>0</v>
          </cell>
          <cell r="AS308">
            <v>0</v>
          </cell>
          <cell r="AT308">
            <v>31096882.363024913</v>
          </cell>
          <cell r="AU308">
            <v>8.026569065903307E-4</v>
          </cell>
          <cell r="AV308">
            <v>0</v>
          </cell>
          <cell r="AW308">
            <v>0</v>
          </cell>
          <cell r="AY308">
            <v>0</v>
          </cell>
          <cell r="AZ308">
            <v>0</v>
          </cell>
          <cell r="BA308">
            <v>0</v>
          </cell>
          <cell r="BB308">
            <v>0</v>
          </cell>
          <cell r="BC308">
            <v>0</v>
          </cell>
          <cell r="BD308">
            <v>0</v>
          </cell>
          <cell r="BE308">
            <v>0</v>
          </cell>
          <cell r="BF308">
            <v>0</v>
          </cell>
          <cell r="BG308">
            <v>0</v>
          </cell>
          <cell r="BH308">
            <v>0</v>
          </cell>
          <cell r="BJ308">
            <v>0</v>
          </cell>
          <cell r="BL308">
            <v>0</v>
          </cell>
          <cell r="BM308">
            <v>0</v>
          </cell>
          <cell r="BN308">
            <v>0</v>
          </cell>
          <cell r="BO308">
            <v>0</v>
          </cell>
          <cell r="BQ308">
            <v>0</v>
          </cell>
          <cell r="BR308">
            <v>0</v>
          </cell>
          <cell r="BS308">
            <v>0</v>
          </cell>
          <cell r="BT308">
            <v>0</v>
          </cell>
          <cell r="CB308">
            <v>0</v>
          </cell>
          <cell r="CC308">
            <v>0</v>
          </cell>
          <cell r="CD308">
            <v>0</v>
          </cell>
          <cell r="CE308">
            <v>0</v>
          </cell>
          <cell r="CF308">
            <v>0</v>
          </cell>
          <cell r="CI308">
            <v>0</v>
          </cell>
          <cell r="CJ308">
            <v>0</v>
          </cell>
          <cell r="CK308">
            <v>0</v>
          </cell>
          <cell r="CV308">
            <v>7.1481501490372695E-4</v>
          </cell>
          <cell r="DG308">
            <v>31096883</v>
          </cell>
          <cell r="DR308">
            <v>11590746.199999994</v>
          </cell>
          <cell r="EC308">
            <v>2.6829060410277998</v>
          </cell>
          <cell r="EN308">
            <v>2.4095909012463064E-2</v>
          </cell>
        </row>
        <row r="309">
          <cell r="B309">
            <v>91041</v>
          </cell>
          <cell r="C309" t="str">
            <v>TOWN OF SUNSET BEACH</v>
          </cell>
          <cell r="D309">
            <v>1.2964012648099919E-4</v>
          </cell>
          <cell r="E309">
            <v>224307.64687078004</v>
          </cell>
          <cell r="F309">
            <v>174897.81638525944</v>
          </cell>
          <cell r="G309">
            <v>-87207</v>
          </cell>
          <cell r="H309">
            <v>-62589.803867465656</v>
          </cell>
          <cell r="I309">
            <v>-2590.0841783522183</v>
          </cell>
          <cell r="J309">
            <v>189284.27302163589</v>
          </cell>
          <cell r="K309">
            <v>0</v>
          </cell>
          <cell r="L309">
            <v>-9945.3099328225708</v>
          </cell>
          <cell r="M309">
            <v>1784.7571330622504</v>
          </cell>
          <cell r="N309">
            <v>67.280632841108954</v>
          </cell>
          <cell r="O309">
            <v>-30.363014023114822</v>
          </cell>
          <cell r="P309">
            <v>0</v>
          </cell>
          <cell r="Q309">
            <v>0</v>
          </cell>
          <cell r="R309">
            <v>0</v>
          </cell>
          <cell r="S309">
            <v>427979.21305091516</v>
          </cell>
          <cell r="T309">
            <v>3981.75</v>
          </cell>
          <cell r="U309">
            <v>946421.36510817951</v>
          </cell>
          <cell r="V309">
            <v>7139.0285322490017</v>
          </cell>
          <cell r="W309">
            <v>0</v>
          </cell>
          <cell r="X309">
            <v>957542.14364042855</v>
          </cell>
          <cell r="Y309">
            <v>440012</v>
          </cell>
          <cell r="Z309">
            <v>0</v>
          </cell>
          <cell r="AA309">
            <v>0</v>
          </cell>
          <cell r="AB309">
            <v>12950.42089176109</v>
          </cell>
          <cell r="AC309">
            <v>452962.42089176108</v>
          </cell>
          <cell r="AD309" t="str">
            <v>N/A</v>
          </cell>
          <cell r="AE309">
            <v>101273</v>
          </cell>
          <cell r="AF309">
            <v>101272</v>
          </cell>
          <cell r="AG309">
            <v>101272</v>
          </cell>
          <cell r="AH309">
            <v>101272</v>
          </cell>
          <cell r="AI309">
            <v>99487</v>
          </cell>
          <cell r="AJ309">
            <v>0</v>
          </cell>
          <cell r="AK309">
            <v>504576</v>
          </cell>
          <cell r="AL309">
            <v>4826168</v>
          </cell>
          <cell r="AM309">
            <v>427979.21305091516</v>
          </cell>
          <cell r="AN309">
            <v>-118940.75</v>
          </cell>
          <cell r="AO309">
            <v>940609.97274866747</v>
          </cell>
          <cell r="AP309">
            <v>0</v>
          </cell>
          <cell r="AQ309">
            <v>-436030.25</v>
          </cell>
          <cell r="AR309">
            <v>0</v>
          </cell>
          <cell r="AS309">
            <v>0</v>
          </cell>
          <cell r="AT309">
            <v>5639786.1857995819</v>
          </cell>
          <cell r="AU309">
            <v>1.4556603085170817E-4</v>
          </cell>
          <cell r="AV309">
            <v>0</v>
          </cell>
          <cell r="AW309">
            <v>0</v>
          </cell>
          <cell r="AY309">
            <v>0</v>
          </cell>
          <cell r="AZ309">
            <v>0</v>
          </cell>
          <cell r="BA309">
            <v>0</v>
          </cell>
          <cell r="BB309">
            <v>0</v>
          </cell>
          <cell r="BC309">
            <v>0</v>
          </cell>
          <cell r="BD309">
            <v>0</v>
          </cell>
          <cell r="BE309">
            <v>0</v>
          </cell>
          <cell r="BF309">
            <v>0</v>
          </cell>
          <cell r="BG309">
            <v>0</v>
          </cell>
          <cell r="BH309">
            <v>0</v>
          </cell>
          <cell r="BJ309">
            <v>0</v>
          </cell>
          <cell r="BL309">
            <v>0</v>
          </cell>
          <cell r="BM309">
            <v>0</v>
          </cell>
          <cell r="BN309">
            <v>0</v>
          </cell>
          <cell r="BO309">
            <v>0</v>
          </cell>
          <cell r="BQ309">
            <v>0</v>
          </cell>
          <cell r="BR309">
            <v>0</v>
          </cell>
          <cell r="BS309">
            <v>0</v>
          </cell>
          <cell r="BT309">
            <v>0</v>
          </cell>
          <cell r="CB309">
            <v>0</v>
          </cell>
          <cell r="CC309">
            <v>0</v>
          </cell>
          <cell r="CD309">
            <v>0</v>
          </cell>
          <cell r="CE309">
            <v>0</v>
          </cell>
          <cell r="CF309">
            <v>0</v>
          </cell>
          <cell r="CI309">
            <v>0</v>
          </cell>
          <cell r="CJ309">
            <v>0</v>
          </cell>
          <cell r="CK309">
            <v>0</v>
          </cell>
          <cell r="CV309">
            <v>1.2964012648099919E-4</v>
          </cell>
          <cell r="DG309">
            <v>5639786</v>
          </cell>
          <cell r="DR309">
            <v>1903519.8499999999</v>
          </cell>
          <cell r="EC309">
            <v>2.962819641728454</v>
          </cell>
          <cell r="EN309">
            <v>2.4095909012463064E-2</v>
          </cell>
        </row>
        <row r="310">
          <cell r="B310">
            <v>91111</v>
          </cell>
          <cell r="C310" t="str">
            <v>TOWN OF BILTMORE FOREST</v>
          </cell>
          <cell r="D310">
            <v>7.0042831531665577E-5</v>
          </cell>
          <cell r="E310">
            <v>121190.43036676686</v>
          </cell>
          <cell r="F310">
            <v>94494.957856465742</v>
          </cell>
          <cell r="G310">
            <v>-57811</v>
          </cell>
          <cell r="H310">
            <v>-33816.436368036302</v>
          </cell>
          <cell r="I310">
            <v>-1399.3879416937036</v>
          </cell>
          <cell r="J310">
            <v>102267.7685276048</v>
          </cell>
          <cell r="K310">
            <v>0</v>
          </cell>
          <cell r="L310">
            <v>-5373.3183317820121</v>
          </cell>
          <cell r="M310">
            <v>964.28047850091968</v>
          </cell>
          <cell r="N310">
            <v>36.350828708303801</v>
          </cell>
          <cell r="O310">
            <v>-16.404731573031395</v>
          </cell>
          <cell r="P310">
            <v>0</v>
          </cell>
          <cell r="Q310">
            <v>0</v>
          </cell>
          <cell r="R310">
            <v>0</v>
          </cell>
          <cell r="S310">
            <v>220537.24068496152</v>
          </cell>
          <cell r="T310">
            <v>13658.010000000009</v>
          </cell>
          <cell r="U310">
            <v>511338.84263802401</v>
          </cell>
          <cell r="V310">
            <v>3857.1219140036787</v>
          </cell>
          <cell r="W310">
            <v>0</v>
          </cell>
          <cell r="X310">
            <v>528853.97455202765</v>
          </cell>
          <cell r="Y310">
            <v>302714</v>
          </cell>
          <cell r="Z310">
            <v>0</v>
          </cell>
          <cell r="AA310">
            <v>0</v>
          </cell>
          <cell r="AB310">
            <v>6996.9397084685188</v>
          </cell>
          <cell r="AC310">
            <v>309710.9397084685</v>
          </cell>
          <cell r="AD310" t="str">
            <v>N/A</v>
          </cell>
          <cell r="AE310">
            <v>44022</v>
          </cell>
          <cell r="AF310">
            <v>44022</v>
          </cell>
          <cell r="AG310">
            <v>44022</v>
          </cell>
          <cell r="AH310">
            <v>44022</v>
          </cell>
          <cell r="AI310">
            <v>43057</v>
          </cell>
          <cell r="AJ310">
            <v>0</v>
          </cell>
          <cell r="AK310">
            <v>219145</v>
          </cell>
          <cell r="AL310">
            <v>2685492</v>
          </cell>
          <cell r="AM310">
            <v>220537.24068496152</v>
          </cell>
          <cell r="AN310">
            <v>-78071.010000000009</v>
          </cell>
          <cell r="AO310">
            <v>508199.02484355919</v>
          </cell>
          <cell r="AP310">
            <v>0</v>
          </cell>
          <cell r="AQ310">
            <v>-289055.99</v>
          </cell>
          <cell r="AR310">
            <v>0</v>
          </cell>
          <cell r="AS310">
            <v>0</v>
          </cell>
          <cell r="AT310">
            <v>3047101.2655285206</v>
          </cell>
          <cell r="AU310">
            <v>8.0999341284349754E-5</v>
          </cell>
          <cell r="AV310">
            <v>0</v>
          </cell>
          <cell r="AW310">
            <v>0</v>
          </cell>
          <cell r="AY310">
            <v>0</v>
          </cell>
          <cell r="AZ310">
            <v>0</v>
          </cell>
          <cell r="BA310">
            <v>0</v>
          </cell>
          <cell r="BB310">
            <v>0</v>
          </cell>
          <cell r="BC310">
            <v>0</v>
          </cell>
          <cell r="BD310">
            <v>0</v>
          </cell>
          <cell r="BE310">
            <v>0</v>
          </cell>
          <cell r="BF310">
            <v>0</v>
          </cell>
          <cell r="BG310">
            <v>0</v>
          </cell>
          <cell r="BH310">
            <v>0</v>
          </cell>
          <cell r="BJ310">
            <v>0</v>
          </cell>
          <cell r="BL310">
            <v>0</v>
          </cell>
          <cell r="BM310">
            <v>0</v>
          </cell>
          <cell r="BN310">
            <v>0</v>
          </cell>
          <cell r="BO310">
            <v>0</v>
          </cell>
          <cell r="BQ310">
            <v>0</v>
          </cell>
          <cell r="BR310">
            <v>0</v>
          </cell>
          <cell r="BS310">
            <v>0</v>
          </cell>
          <cell r="BT310">
            <v>0</v>
          </cell>
          <cell r="CB310">
            <v>0</v>
          </cell>
          <cell r="CC310">
            <v>0</v>
          </cell>
          <cell r="CD310">
            <v>0</v>
          </cell>
          <cell r="CE310">
            <v>0</v>
          </cell>
          <cell r="CF310">
            <v>0</v>
          </cell>
          <cell r="CI310">
            <v>0</v>
          </cell>
          <cell r="CJ310">
            <v>0</v>
          </cell>
          <cell r="CK310">
            <v>0</v>
          </cell>
          <cell r="CV310">
            <v>7.0042831531665577E-5</v>
          </cell>
          <cell r="DG310">
            <v>3047101</v>
          </cell>
          <cell r="DR310">
            <v>1313182.8800000004</v>
          </cell>
          <cell r="EC310">
            <v>2.3203934854831485</v>
          </cell>
          <cell r="EN310">
            <v>2.4095909012463064E-2</v>
          </cell>
        </row>
        <row r="311">
          <cell r="B311">
            <v>91151</v>
          </cell>
          <cell r="C311" t="str">
            <v>TOWN OF BLACK MOUNTAIN</v>
          </cell>
          <cell r="D311">
            <v>2.0385357774971462E-4</v>
          </cell>
          <cell r="E311">
            <v>352714.22184187663</v>
          </cell>
          <cell r="F311">
            <v>275019.36767990881</v>
          </cell>
          <cell r="G311">
            <v>-29720</v>
          </cell>
          <cell r="H311">
            <v>-98419.80099352845</v>
          </cell>
          <cell r="I311">
            <v>-4072.7970633954606</v>
          </cell>
          <cell r="J311">
            <v>297641.45804709388</v>
          </cell>
          <cell r="K311">
            <v>0</v>
          </cell>
          <cell r="L311">
            <v>-15638.576316359893</v>
          </cell>
          <cell r="M311">
            <v>2806.4545821188176</v>
          </cell>
          <cell r="N311">
            <v>105.7959297805469</v>
          </cell>
          <cell r="O311">
            <v>-47.744546444760658</v>
          </cell>
          <cell r="P311">
            <v>0</v>
          </cell>
          <cell r="Q311">
            <v>0</v>
          </cell>
          <cell r="R311">
            <v>0</v>
          </cell>
          <cell r="S311">
            <v>780388.37916105019</v>
          </cell>
          <cell r="T311">
            <v>847</v>
          </cell>
          <cell r="U311">
            <v>1488207.2902354694</v>
          </cell>
          <cell r="V311">
            <v>11225.81832847527</v>
          </cell>
          <cell r="W311">
            <v>0</v>
          </cell>
          <cell r="X311">
            <v>1500280.1085639447</v>
          </cell>
          <cell r="Y311">
            <v>149444</v>
          </cell>
          <cell r="Z311">
            <v>0</v>
          </cell>
          <cell r="AA311">
            <v>0</v>
          </cell>
          <cell r="AB311">
            <v>20363.985316977301</v>
          </cell>
          <cell r="AC311">
            <v>169807.98531697731</v>
          </cell>
          <cell r="AD311" t="str">
            <v>N/A</v>
          </cell>
          <cell r="AE311">
            <v>266655</v>
          </cell>
          <cell r="AF311">
            <v>266656</v>
          </cell>
          <cell r="AG311">
            <v>266656</v>
          </cell>
          <cell r="AH311">
            <v>266656</v>
          </cell>
          <cell r="AI311">
            <v>263850</v>
          </cell>
          <cell r="AJ311">
            <v>0</v>
          </cell>
          <cell r="AK311">
            <v>1330473</v>
          </cell>
          <cell r="AL311">
            <v>6937995</v>
          </cell>
          <cell r="AM311">
            <v>780388.37916105019</v>
          </cell>
          <cell r="AN311">
            <v>-180532</v>
          </cell>
          <cell r="AO311">
            <v>1479069.1232469673</v>
          </cell>
          <cell r="AP311">
            <v>0</v>
          </cell>
          <cell r="AQ311">
            <v>-148597</v>
          </cell>
          <cell r="AR311">
            <v>0</v>
          </cell>
          <cell r="AS311">
            <v>0</v>
          </cell>
          <cell r="AT311">
            <v>8868323.5024080183</v>
          </cell>
          <cell r="AU311">
            <v>2.0926258018404994E-4</v>
          </cell>
          <cell r="AV311">
            <v>0</v>
          </cell>
          <cell r="AW311">
            <v>0</v>
          </cell>
          <cell r="AY311">
            <v>0</v>
          </cell>
          <cell r="AZ311">
            <v>0</v>
          </cell>
          <cell r="BA311">
            <v>0</v>
          </cell>
          <cell r="BB311">
            <v>0</v>
          </cell>
          <cell r="BC311">
            <v>0</v>
          </cell>
          <cell r="BD311">
            <v>0</v>
          </cell>
          <cell r="BE311">
            <v>0</v>
          </cell>
          <cell r="BF311">
            <v>0</v>
          </cell>
          <cell r="BG311">
            <v>0</v>
          </cell>
          <cell r="BH311">
            <v>0</v>
          </cell>
          <cell r="BJ311">
            <v>0</v>
          </cell>
          <cell r="BL311">
            <v>0</v>
          </cell>
          <cell r="BM311">
            <v>0</v>
          </cell>
          <cell r="BN311">
            <v>0</v>
          </cell>
          <cell r="BO311">
            <v>0</v>
          </cell>
          <cell r="BQ311">
            <v>0</v>
          </cell>
          <cell r="BR311">
            <v>0</v>
          </cell>
          <cell r="BS311">
            <v>0</v>
          </cell>
          <cell r="BT311">
            <v>0</v>
          </cell>
          <cell r="CB311">
            <v>0</v>
          </cell>
          <cell r="CC311">
            <v>0</v>
          </cell>
          <cell r="CD311">
            <v>0</v>
          </cell>
          <cell r="CE311">
            <v>0</v>
          </cell>
          <cell r="CF311">
            <v>0</v>
          </cell>
          <cell r="CI311">
            <v>0</v>
          </cell>
          <cell r="CJ311">
            <v>0</v>
          </cell>
          <cell r="CK311">
            <v>0</v>
          </cell>
          <cell r="CV311">
            <v>2.0385357774971462E-4</v>
          </cell>
          <cell r="DG311">
            <v>8868324</v>
          </cell>
          <cell r="DR311">
            <v>3061219.0699999989</v>
          </cell>
          <cell r="EC311">
            <v>2.8969909690259454</v>
          </cell>
          <cell r="EN311">
            <v>2.4095909012463064E-2</v>
          </cell>
        </row>
        <row r="312">
          <cell r="B312">
            <v>98101</v>
          </cell>
          <cell r="C312" t="str">
            <v>RUTHERFORD COUNTY</v>
          </cell>
          <cell r="D312">
            <v>9.258285831309454E-4</v>
          </cell>
          <cell r="E312">
            <v>1601899.3233414355</v>
          </cell>
          <cell r="F312">
            <v>1249037.6392867353</v>
          </cell>
          <cell r="G312">
            <v>-25372</v>
          </cell>
          <cell r="H312">
            <v>-446986.83197869762</v>
          </cell>
          <cell r="I312">
            <v>-18497.158481137198</v>
          </cell>
          <cell r="J312">
            <v>1351778.9210601943</v>
          </cell>
          <cell r="K312">
            <v>0</v>
          </cell>
          <cell r="L312">
            <v>-71024.708582436971</v>
          </cell>
          <cell r="M312">
            <v>12745.892900513745</v>
          </cell>
          <cell r="N312">
            <v>480.48651807329804</v>
          </cell>
          <cell r="O312">
            <v>-216.83831245509873</v>
          </cell>
          <cell r="P312">
            <v>0</v>
          </cell>
          <cell r="Q312">
            <v>0</v>
          </cell>
          <cell r="R312">
            <v>0</v>
          </cell>
          <cell r="S312">
            <v>3653844.7257522251</v>
          </cell>
          <cell r="T312">
            <v>79010.629999999888</v>
          </cell>
          <cell r="U312">
            <v>6758894.6053009713</v>
          </cell>
          <cell r="V312">
            <v>50983.571602054981</v>
          </cell>
          <cell r="W312">
            <v>0</v>
          </cell>
          <cell r="X312">
            <v>6888888.8069030261</v>
          </cell>
          <cell r="Y312">
            <v>205870</v>
          </cell>
          <cell r="Z312">
            <v>0</v>
          </cell>
          <cell r="AA312">
            <v>0</v>
          </cell>
          <cell r="AB312">
            <v>92485.792405685977</v>
          </cell>
          <cell r="AC312">
            <v>298355.79240568599</v>
          </cell>
          <cell r="AD312" t="str">
            <v>N/A</v>
          </cell>
          <cell r="AE312">
            <v>1320656</v>
          </cell>
          <cell r="AF312">
            <v>1320656</v>
          </cell>
          <cell r="AG312">
            <v>1320656</v>
          </cell>
          <cell r="AH312">
            <v>1320656</v>
          </cell>
          <cell r="AI312">
            <v>1307910</v>
          </cell>
          <cell r="AJ312">
            <v>0</v>
          </cell>
          <cell r="AK312">
            <v>6590534</v>
          </cell>
          <cell r="AL312">
            <v>30942421</v>
          </cell>
          <cell r="AM312">
            <v>3653844.7257522251</v>
          </cell>
          <cell r="AN312">
            <v>-910108.62999999989</v>
          </cell>
          <cell r="AO312">
            <v>6717392.3844973408</v>
          </cell>
          <cell r="AP312">
            <v>0</v>
          </cell>
          <cell r="AQ312">
            <v>-126859.37000000011</v>
          </cell>
          <cell r="AR312">
            <v>0</v>
          </cell>
          <cell r="AS312">
            <v>0</v>
          </cell>
          <cell r="AT312">
            <v>40276690.110249572</v>
          </cell>
          <cell r="AU312">
            <v>9.3327986549368385E-4</v>
          </cell>
          <cell r="AV312">
            <v>0</v>
          </cell>
          <cell r="AW312">
            <v>0</v>
          </cell>
          <cell r="AY312">
            <v>0</v>
          </cell>
          <cell r="AZ312">
            <v>0</v>
          </cell>
          <cell r="BA312">
            <v>0</v>
          </cell>
          <cell r="BB312">
            <v>0</v>
          </cell>
          <cell r="BC312">
            <v>0</v>
          </cell>
          <cell r="BD312">
            <v>0</v>
          </cell>
          <cell r="BE312">
            <v>0</v>
          </cell>
          <cell r="BF312">
            <v>0</v>
          </cell>
          <cell r="BG312">
            <v>0</v>
          </cell>
          <cell r="BH312">
            <v>0</v>
          </cell>
          <cell r="BJ312">
            <v>0</v>
          </cell>
          <cell r="BL312">
            <v>0</v>
          </cell>
          <cell r="BM312">
            <v>0</v>
          </cell>
          <cell r="BN312">
            <v>0</v>
          </cell>
          <cell r="BO312">
            <v>0</v>
          </cell>
          <cell r="BQ312">
            <v>0</v>
          </cell>
          <cell r="BR312">
            <v>0</v>
          </cell>
          <cell r="BS312">
            <v>0</v>
          </cell>
          <cell r="BT312">
            <v>0</v>
          </cell>
          <cell r="CB312">
            <v>0</v>
          </cell>
          <cell r="CC312">
            <v>0</v>
          </cell>
          <cell r="CD312">
            <v>0</v>
          </cell>
          <cell r="CE312">
            <v>0</v>
          </cell>
          <cell r="CF312">
            <v>0</v>
          </cell>
          <cell r="CI312">
            <v>0</v>
          </cell>
          <cell r="CJ312">
            <v>0</v>
          </cell>
          <cell r="CK312">
            <v>0</v>
          </cell>
          <cell r="CV312">
            <v>9.258285831309454E-4</v>
          </cell>
          <cell r="DG312">
            <v>40276690</v>
          </cell>
          <cell r="DR312">
            <v>14678204.360000007</v>
          </cell>
          <cell r="EC312">
            <v>2.7439793732371758</v>
          </cell>
          <cell r="EN312">
            <v>2.4095909012463064E-2</v>
          </cell>
        </row>
        <row r="313">
          <cell r="B313">
            <v>98103</v>
          </cell>
          <cell r="C313" t="str">
            <v>RUTHERFORD POLK MCDOWELL DIST BRD OF HEALTH</v>
          </cell>
          <cell r="D313">
            <v>1.8631247831975222E-4</v>
          </cell>
          <cell r="E313">
            <v>322364.02978742868</v>
          </cell>
          <cell r="F313">
            <v>251354.62690424477</v>
          </cell>
          <cell r="G313">
            <v>-64418</v>
          </cell>
          <cell r="H313">
            <v>-89951.01896791099</v>
          </cell>
          <cell r="I313">
            <v>-3722.3428842944581</v>
          </cell>
          <cell r="J313">
            <v>272030.14198526251</v>
          </cell>
          <cell r="K313">
            <v>0</v>
          </cell>
          <cell r="L313">
            <v>-14292.915253471296</v>
          </cell>
          <cell r="M313">
            <v>2564.9660617109944</v>
          </cell>
          <cell r="N313">
            <v>96.692449998385001</v>
          </cell>
          <cell r="O313">
            <v>-43.636245547269169</v>
          </cell>
          <cell r="P313">
            <v>0</v>
          </cell>
          <cell r="Q313">
            <v>0</v>
          </cell>
          <cell r="R313">
            <v>0</v>
          </cell>
          <cell r="S313">
            <v>675982.54383742122</v>
          </cell>
          <cell r="T313">
            <v>26595.550000000017</v>
          </cell>
          <cell r="U313">
            <v>1360150.7099263126</v>
          </cell>
          <cell r="V313">
            <v>10259.864246843978</v>
          </cell>
          <cell r="W313">
            <v>0</v>
          </cell>
          <cell r="X313">
            <v>1397006.1241731567</v>
          </cell>
          <cell r="Y313">
            <v>348687</v>
          </cell>
          <cell r="Z313">
            <v>0</v>
          </cell>
          <cell r="AA313">
            <v>0</v>
          </cell>
          <cell r="AB313">
            <v>18611.71442147229</v>
          </cell>
          <cell r="AC313">
            <v>367298.71442147228</v>
          </cell>
          <cell r="AD313" t="str">
            <v>N/A</v>
          </cell>
          <cell r="AE313">
            <v>206455</v>
          </cell>
          <cell r="AF313">
            <v>206454</v>
          </cell>
          <cell r="AG313">
            <v>206454</v>
          </cell>
          <cell r="AH313">
            <v>206454</v>
          </cell>
          <cell r="AI313">
            <v>203889</v>
          </cell>
          <cell r="AJ313">
            <v>0</v>
          </cell>
          <cell r="AK313">
            <v>1029706</v>
          </cell>
          <cell r="AL313">
            <v>6595520</v>
          </cell>
          <cell r="AM313">
            <v>675982.54383742122</v>
          </cell>
          <cell r="AN313">
            <v>-195983.55000000002</v>
          </cell>
          <cell r="AO313">
            <v>1351798.8597516841</v>
          </cell>
          <cell r="AP313">
            <v>0</v>
          </cell>
          <cell r="AQ313">
            <v>-322091.44999999995</v>
          </cell>
          <cell r="AR313">
            <v>0</v>
          </cell>
          <cell r="AS313">
            <v>0</v>
          </cell>
          <cell r="AT313">
            <v>8105226.4035891062</v>
          </cell>
          <cell r="AU313">
            <v>1.9893290443215818E-4</v>
          </cell>
          <cell r="AV313">
            <v>0</v>
          </cell>
          <cell r="AW313">
            <v>0</v>
          </cell>
          <cell r="AY313">
            <v>0</v>
          </cell>
          <cell r="AZ313">
            <v>0</v>
          </cell>
          <cell r="BA313">
            <v>0</v>
          </cell>
          <cell r="BB313">
            <v>0</v>
          </cell>
          <cell r="BC313">
            <v>0</v>
          </cell>
          <cell r="BD313">
            <v>0</v>
          </cell>
          <cell r="BE313">
            <v>0</v>
          </cell>
          <cell r="BF313">
            <v>0</v>
          </cell>
          <cell r="BG313">
            <v>0</v>
          </cell>
          <cell r="BH313">
            <v>0</v>
          </cell>
          <cell r="BJ313">
            <v>0</v>
          </cell>
          <cell r="BL313">
            <v>0</v>
          </cell>
          <cell r="BM313">
            <v>0</v>
          </cell>
          <cell r="BN313">
            <v>0</v>
          </cell>
          <cell r="BO313">
            <v>0</v>
          </cell>
          <cell r="BQ313">
            <v>0</v>
          </cell>
          <cell r="BR313">
            <v>0</v>
          </cell>
          <cell r="BS313">
            <v>0</v>
          </cell>
          <cell r="BT313">
            <v>0</v>
          </cell>
          <cell r="CB313">
            <v>0</v>
          </cell>
          <cell r="CC313">
            <v>0</v>
          </cell>
          <cell r="CD313">
            <v>0</v>
          </cell>
          <cell r="CE313">
            <v>0</v>
          </cell>
          <cell r="CF313">
            <v>0</v>
          </cell>
          <cell r="CI313">
            <v>0</v>
          </cell>
          <cell r="CJ313">
            <v>0</v>
          </cell>
          <cell r="CK313">
            <v>0</v>
          </cell>
          <cell r="CV313">
            <v>1.8631247831975222E-4</v>
          </cell>
          <cell r="DG313">
            <v>8105226</v>
          </cell>
          <cell r="DR313">
            <v>3153137.0500000007</v>
          </cell>
          <cell r="EC313">
            <v>2.5705276591133259</v>
          </cell>
          <cell r="EN313">
            <v>2.4095909012463064E-2</v>
          </cell>
        </row>
        <row r="314">
          <cell r="B314">
            <v>98111</v>
          </cell>
          <cell r="C314" t="str">
            <v>TOWN OF FOREST CITY</v>
          </cell>
          <cell r="D314">
            <v>3.5234750822913259E-4</v>
          </cell>
          <cell r="E314">
            <v>609643.34575254563</v>
          </cell>
          <cell r="F314">
            <v>475352.89783209685</v>
          </cell>
          <cell r="G314">
            <v>-36095</v>
          </cell>
          <cell r="H314">
            <v>-170112.15610379644</v>
          </cell>
          <cell r="I314">
            <v>-7039.5619868502799</v>
          </cell>
          <cell r="J314">
            <v>514453.69390249148</v>
          </cell>
          <cell r="K314">
            <v>0</v>
          </cell>
          <cell r="L314">
            <v>-27030.251115267703</v>
          </cell>
          <cell r="M314">
            <v>4850.7722546909345</v>
          </cell>
          <cell r="N314">
            <v>182.86130982075522</v>
          </cell>
          <cell r="O314">
            <v>-82.523309902345147</v>
          </cell>
          <cell r="P314">
            <v>0</v>
          </cell>
          <cell r="Q314">
            <v>0</v>
          </cell>
          <cell r="R314">
            <v>0</v>
          </cell>
          <cell r="S314">
            <v>1364124.0785358292</v>
          </cell>
          <cell r="T314">
            <v>4384.5199999999604</v>
          </cell>
          <cell r="U314">
            <v>2572268.469512457</v>
          </cell>
          <cell r="V314">
            <v>19403.089018763738</v>
          </cell>
          <cell r="W314">
            <v>0</v>
          </cell>
          <cell r="X314">
            <v>2596056.0785312206</v>
          </cell>
          <cell r="Y314">
            <v>184859</v>
          </cell>
          <cell r="Z314">
            <v>0</v>
          </cell>
          <cell r="AA314">
            <v>0</v>
          </cell>
          <cell r="AB314">
            <v>35197.809934251403</v>
          </cell>
          <cell r="AC314">
            <v>220056.80993425142</v>
          </cell>
          <cell r="AD314" t="str">
            <v>N/A</v>
          </cell>
          <cell r="AE314">
            <v>476170</v>
          </cell>
          <cell r="AF314">
            <v>476170</v>
          </cell>
          <cell r="AG314">
            <v>476170</v>
          </cell>
          <cell r="AH314">
            <v>476170</v>
          </cell>
          <cell r="AI314">
            <v>471319</v>
          </cell>
          <cell r="AJ314">
            <v>0</v>
          </cell>
          <cell r="AK314">
            <v>2375999</v>
          </cell>
          <cell r="AL314">
            <v>11903734</v>
          </cell>
          <cell r="AM314">
            <v>1364124.0785358292</v>
          </cell>
          <cell r="AN314">
            <v>-315543.51999999996</v>
          </cell>
          <cell r="AO314">
            <v>2556473.74859697</v>
          </cell>
          <cell r="AP314">
            <v>0</v>
          </cell>
          <cell r="AQ314">
            <v>-180474.48000000004</v>
          </cell>
          <cell r="AR314">
            <v>0</v>
          </cell>
          <cell r="AS314">
            <v>0</v>
          </cell>
          <cell r="AT314">
            <v>15328313.827132799</v>
          </cell>
          <cell r="AU314">
            <v>3.5903834371338485E-4</v>
          </cell>
          <cell r="AV314">
            <v>0</v>
          </cell>
          <cell r="AW314">
            <v>0</v>
          </cell>
          <cell r="AY314">
            <v>0</v>
          </cell>
          <cell r="AZ314">
            <v>0</v>
          </cell>
          <cell r="BA314">
            <v>0</v>
          </cell>
          <cell r="BB314">
            <v>0</v>
          </cell>
          <cell r="BC314">
            <v>0</v>
          </cell>
          <cell r="BD314">
            <v>0</v>
          </cell>
          <cell r="BE314">
            <v>0</v>
          </cell>
          <cell r="BF314">
            <v>0</v>
          </cell>
          <cell r="BG314">
            <v>0</v>
          </cell>
          <cell r="BH314">
            <v>0</v>
          </cell>
          <cell r="BJ314">
            <v>0</v>
          </cell>
          <cell r="BL314">
            <v>0</v>
          </cell>
          <cell r="BM314">
            <v>0</v>
          </cell>
          <cell r="BN314">
            <v>0</v>
          </cell>
          <cell r="BO314">
            <v>0</v>
          </cell>
          <cell r="BQ314">
            <v>0</v>
          </cell>
          <cell r="BR314">
            <v>0</v>
          </cell>
          <cell r="BS314">
            <v>0</v>
          </cell>
          <cell r="BT314">
            <v>0</v>
          </cell>
          <cell r="CB314">
            <v>0</v>
          </cell>
          <cell r="CC314">
            <v>0</v>
          </cell>
          <cell r="CD314">
            <v>0</v>
          </cell>
          <cell r="CE314">
            <v>0</v>
          </cell>
          <cell r="CF314">
            <v>0</v>
          </cell>
          <cell r="CI314">
            <v>0</v>
          </cell>
          <cell r="CJ314">
            <v>0</v>
          </cell>
          <cell r="CK314">
            <v>0</v>
          </cell>
          <cell r="CV314">
            <v>3.5234750822913259E-4</v>
          </cell>
          <cell r="DG314">
            <v>15328314</v>
          </cell>
          <cell r="DR314">
            <v>5413019.1199999982</v>
          </cell>
          <cell r="EC314">
            <v>2.8317494655367121</v>
          </cell>
          <cell r="EN314">
            <v>2.4095909012463064E-2</v>
          </cell>
        </row>
        <row r="315">
          <cell r="B315">
            <v>98131</v>
          </cell>
          <cell r="C315" t="str">
            <v>TOWN OF LAKE LURE</v>
          </cell>
          <cell r="D315">
            <v>9.9225079978338215E-5</v>
          </cell>
          <cell r="E315">
            <v>171682.52457519859</v>
          </cell>
          <cell r="F315">
            <v>133864.80166237435</v>
          </cell>
          <cell r="G315">
            <v>15977</v>
          </cell>
          <cell r="H315">
            <v>-47905.524802831984</v>
          </cell>
          <cell r="I315">
            <v>-1982.421004389369</v>
          </cell>
          <cell r="J315">
            <v>144876.03212857241</v>
          </cell>
          <cell r="K315">
            <v>0</v>
          </cell>
          <cell r="L315">
            <v>-7612.0272347799328</v>
          </cell>
          <cell r="M315">
            <v>1366.0328331750522</v>
          </cell>
          <cell r="N315">
            <v>51.495832007157965</v>
          </cell>
          <cell r="O315">
            <v>-23.239505981726595</v>
          </cell>
          <cell r="P315">
            <v>0</v>
          </cell>
          <cell r="Q315">
            <v>0</v>
          </cell>
          <cell r="R315">
            <v>0</v>
          </cell>
          <cell r="S315">
            <v>410294.67448334448</v>
          </cell>
          <cell r="T315">
            <v>79884.100000000006</v>
          </cell>
          <cell r="U315">
            <v>724380.16064286197</v>
          </cell>
          <cell r="V315">
            <v>5464.131332700209</v>
          </cell>
          <cell r="W315">
            <v>0</v>
          </cell>
          <cell r="X315">
            <v>809728.3919755622</v>
          </cell>
          <cell r="Y315">
            <v>0</v>
          </cell>
          <cell r="Z315">
            <v>0</v>
          </cell>
          <cell r="AA315">
            <v>0</v>
          </cell>
          <cell r="AB315">
            <v>9912.1050219468452</v>
          </cell>
          <cell r="AC315">
            <v>9912.1050219468452</v>
          </cell>
          <cell r="AD315" t="str">
            <v>N/A</v>
          </cell>
          <cell r="AE315">
            <v>160237</v>
          </cell>
          <cell r="AF315">
            <v>160237</v>
          </cell>
          <cell r="AG315">
            <v>160237</v>
          </cell>
          <cell r="AH315">
            <v>160237</v>
          </cell>
          <cell r="AI315">
            <v>158871</v>
          </cell>
          <cell r="AJ315">
            <v>0</v>
          </cell>
          <cell r="AK315">
            <v>799819</v>
          </cell>
          <cell r="AL315">
            <v>3199476</v>
          </cell>
          <cell r="AM315">
            <v>410294.67448334448</v>
          </cell>
          <cell r="AN315">
            <v>-92959.1</v>
          </cell>
          <cell r="AO315">
            <v>719932.1869536154</v>
          </cell>
          <cell r="AP315">
            <v>0</v>
          </cell>
          <cell r="AQ315">
            <v>79884.100000000006</v>
          </cell>
          <cell r="AR315">
            <v>0</v>
          </cell>
          <cell r="AS315">
            <v>0</v>
          </cell>
          <cell r="AT315">
            <v>4316627.8614369594</v>
          </cell>
          <cell r="AU315">
            <v>9.6502026993711769E-5</v>
          </cell>
          <cell r="AV315">
            <v>0</v>
          </cell>
          <cell r="AW315">
            <v>0</v>
          </cell>
          <cell r="AY315">
            <v>0</v>
          </cell>
          <cell r="AZ315">
            <v>0</v>
          </cell>
          <cell r="BA315">
            <v>0</v>
          </cell>
          <cell r="BB315">
            <v>0</v>
          </cell>
          <cell r="BC315">
            <v>0</v>
          </cell>
          <cell r="BD315">
            <v>0</v>
          </cell>
          <cell r="BE315">
            <v>0</v>
          </cell>
          <cell r="BF315">
            <v>0</v>
          </cell>
          <cell r="BG315">
            <v>0</v>
          </cell>
          <cell r="BH315">
            <v>0</v>
          </cell>
          <cell r="BJ315">
            <v>0</v>
          </cell>
          <cell r="BL315">
            <v>0</v>
          </cell>
          <cell r="BM315">
            <v>0</v>
          </cell>
          <cell r="BN315">
            <v>0</v>
          </cell>
          <cell r="BO315">
            <v>0</v>
          </cell>
          <cell r="BQ315">
            <v>0</v>
          </cell>
          <cell r="BR315">
            <v>0</v>
          </cell>
          <cell r="BS315">
            <v>0</v>
          </cell>
          <cell r="BT315">
            <v>0</v>
          </cell>
          <cell r="CB315">
            <v>0</v>
          </cell>
          <cell r="CC315">
            <v>0</v>
          </cell>
          <cell r="CD315">
            <v>0</v>
          </cell>
          <cell r="CE315">
            <v>0</v>
          </cell>
          <cell r="CF315">
            <v>0</v>
          </cell>
          <cell r="CI315">
            <v>0</v>
          </cell>
          <cell r="CJ315">
            <v>0</v>
          </cell>
          <cell r="CK315">
            <v>0</v>
          </cell>
          <cell r="CV315">
            <v>9.9225079978338215E-5</v>
          </cell>
          <cell r="DG315">
            <v>4316628</v>
          </cell>
          <cell r="DR315">
            <v>1643984.0100000002</v>
          </cell>
          <cell r="EC315">
            <v>2.625711669786861</v>
          </cell>
          <cell r="EN315">
            <v>2.4095909012463064E-2</v>
          </cell>
        </row>
        <row r="316">
          <cell r="B316">
            <v>99401</v>
          </cell>
          <cell r="C316" t="str">
            <v>WASHINGTON COUNTY</v>
          </cell>
          <cell r="D316">
            <v>3.0393401755955164E-4</v>
          </cell>
          <cell r="E316">
            <v>525876.71836896474</v>
          </cell>
          <cell r="F316">
            <v>410038.13741384877</v>
          </cell>
          <cell r="G316">
            <v>-33120</v>
          </cell>
          <cell r="H316">
            <v>-146738.29055922237</v>
          </cell>
          <cell r="I316">
            <v>-6072.3073288531441</v>
          </cell>
          <cell r="J316">
            <v>443766.37945302197</v>
          </cell>
          <cell r="K316">
            <v>0</v>
          </cell>
          <cell r="L316">
            <v>-23316.222267036323</v>
          </cell>
          <cell r="M316">
            <v>4184.2631640688924</v>
          </cell>
          <cell r="N316">
            <v>157.73567643305611</v>
          </cell>
          <cell r="O316">
            <v>-71.184386252622588</v>
          </cell>
          <cell r="P316">
            <v>0</v>
          </cell>
          <cell r="Q316">
            <v>0</v>
          </cell>
          <cell r="R316">
            <v>0</v>
          </cell>
          <cell r="S316">
            <v>1174705.2295349727</v>
          </cell>
          <cell r="T316">
            <v>41421.440000000002</v>
          </cell>
          <cell r="U316">
            <v>2218831.8972651102</v>
          </cell>
          <cell r="V316">
            <v>16737.052656275569</v>
          </cell>
          <cell r="W316">
            <v>0</v>
          </cell>
          <cell r="X316">
            <v>2276990.3899213858</v>
          </cell>
          <cell r="Y316">
            <v>207021</v>
          </cell>
          <cell r="Z316">
            <v>0</v>
          </cell>
          <cell r="AA316">
            <v>0</v>
          </cell>
          <cell r="AB316">
            <v>30361.536644265718</v>
          </cell>
          <cell r="AC316">
            <v>237382.53664426573</v>
          </cell>
          <cell r="AD316" t="str">
            <v>N/A</v>
          </cell>
          <cell r="AE316">
            <v>408758</v>
          </cell>
          <cell r="AF316">
            <v>408758</v>
          </cell>
          <cell r="AG316">
            <v>408758</v>
          </cell>
          <cell r="AH316">
            <v>408758</v>
          </cell>
          <cell r="AI316">
            <v>404574</v>
          </cell>
          <cell r="AJ316">
            <v>0</v>
          </cell>
          <cell r="AK316">
            <v>2039606</v>
          </cell>
          <cell r="AL316">
            <v>10325203</v>
          </cell>
          <cell r="AM316">
            <v>1174705.2295349727</v>
          </cell>
          <cell r="AN316">
            <v>-317353.44</v>
          </cell>
          <cell r="AO316">
            <v>2205207.4132771199</v>
          </cell>
          <cell r="AP316">
            <v>0</v>
          </cell>
          <cell r="AQ316">
            <v>-165599.56</v>
          </cell>
          <cell r="AR316">
            <v>0</v>
          </cell>
          <cell r="AS316">
            <v>0</v>
          </cell>
          <cell r="AT316">
            <v>13222162.642812092</v>
          </cell>
          <cell r="AU316">
            <v>3.1142695851709573E-4</v>
          </cell>
          <cell r="AV316">
            <v>0</v>
          </cell>
          <cell r="AW316">
            <v>0</v>
          </cell>
          <cell r="AY316">
            <v>0</v>
          </cell>
          <cell r="AZ316">
            <v>0</v>
          </cell>
          <cell r="BA316">
            <v>0</v>
          </cell>
          <cell r="BB316">
            <v>0</v>
          </cell>
          <cell r="BC316">
            <v>0</v>
          </cell>
          <cell r="BD316">
            <v>0</v>
          </cell>
          <cell r="BE316">
            <v>0</v>
          </cell>
          <cell r="BF316">
            <v>0</v>
          </cell>
          <cell r="BG316">
            <v>0</v>
          </cell>
          <cell r="BH316">
            <v>0</v>
          </cell>
          <cell r="BJ316">
            <v>0</v>
          </cell>
          <cell r="BL316">
            <v>0</v>
          </cell>
          <cell r="BM316">
            <v>0</v>
          </cell>
          <cell r="BN316">
            <v>0</v>
          </cell>
          <cell r="BO316">
            <v>0</v>
          </cell>
          <cell r="BQ316">
            <v>0</v>
          </cell>
          <cell r="BR316">
            <v>0</v>
          </cell>
          <cell r="BS316">
            <v>0</v>
          </cell>
          <cell r="BT316">
            <v>0</v>
          </cell>
          <cell r="CB316">
            <v>0</v>
          </cell>
          <cell r="CC316">
            <v>0</v>
          </cell>
          <cell r="CD316">
            <v>0</v>
          </cell>
          <cell r="CE316">
            <v>0</v>
          </cell>
          <cell r="CF316">
            <v>0</v>
          </cell>
          <cell r="CI316">
            <v>0</v>
          </cell>
          <cell r="CJ316">
            <v>0</v>
          </cell>
          <cell r="CK316">
            <v>0</v>
          </cell>
          <cell r="CV316">
            <v>3.0393401755955164E-4</v>
          </cell>
          <cell r="DG316">
            <v>13222163</v>
          </cell>
          <cell r="DR316">
            <v>5152816.6399999987</v>
          </cell>
          <cell r="EC316">
            <v>2.5660068897774719</v>
          </cell>
          <cell r="EN316">
            <v>2.4095909012463064E-2</v>
          </cell>
        </row>
        <row r="317">
          <cell r="B317">
            <v>99521</v>
          </cell>
          <cell r="C317" t="str">
            <v>TOWN OF BLOWING ROCK</v>
          </cell>
          <cell r="D317">
            <v>1.3525538694290887E-4</v>
          </cell>
          <cell r="E317">
            <v>234023.35677455043</v>
          </cell>
          <cell r="F317">
            <v>182473.37821075972</v>
          </cell>
          <cell r="G317">
            <v>-56873</v>
          </cell>
          <cell r="H317">
            <v>-65300.832161835402</v>
          </cell>
          <cell r="I317">
            <v>-2702.2716443359905</v>
          </cell>
          <cell r="J317">
            <v>197482.97293971636</v>
          </cell>
          <cell r="K317">
            <v>0</v>
          </cell>
          <cell r="L317">
            <v>-10376.083237069548</v>
          </cell>
          <cell r="M317">
            <v>1862.0624893237209</v>
          </cell>
          <cell r="N317">
            <v>70.194840715630846</v>
          </cell>
          <cell r="O317">
            <v>-31.678164175898686</v>
          </cell>
          <cell r="P317">
            <v>0</v>
          </cell>
          <cell r="Q317">
            <v>0</v>
          </cell>
          <cell r="R317">
            <v>0</v>
          </cell>
          <cell r="S317">
            <v>480628.100047649</v>
          </cell>
          <cell r="T317">
            <v>4920.0599999999977</v>
          </cell>
          <cell r="U317">
            <v>987414.86469858186</v>
          </cell>
          <cell r="V317">
            <v>7448.2499572948836</v>
          </cell>
          <cell r="W317">
            <v>0</v>
          </cell>
          <cell r="X317">
            <v>999783.17465587682</v>
          </cell>
          <cell r="Y317">
            <v>289284</v>
          </cell>
          <cell r="Z317">
            <v>0</v>
          </cell>
          <cell r="AA317">
            <v>0</v>
          </cell>
          <cell r="AB317">
            <v>13511.358221679951</v>
          </cell>
          <cell r="AC317">
            <v>302795.35822167993</v>
          </cell>
          <cell r="AD317" t="str">
            <v>N/A</v>
          </cell>
          <cell r="AE317">
            <v>139770</v>
          </cell>
          <cell r="AF317">
            <v>139770</v>
          </cell>
          <cell r="AG317">
            <v>139770</v>
          </cell>
          <cell r="AH317">
            <v>139770</v>
          </cell>
          <cell r="AI317">
            <v>137908</v>
          </cell>
          <cell r="AJ317">
            <v>0</v>
          </cell>
          <cell r="AK317">
            <v>696988</v>
          </cell>
          <cell r="AL317">
            <v>4831465</v>
          </cell>
          <cell r="AM317">
            <v>480628.100047649</v>
          </cell>
          <cell r="AN317">
            <v>-125012.06</v>
          </cell>
          <cell r="AO317">
            <v>981351.75643419684</v>
          </cell>
          <cell r="AP317">
            <v>0</v>
          </cell>
          <cell r="AQ317">
            <v>-284363.94</v>
          </cell>
          <cell r="AR317">
            <v>0</v>
          </cell>
          <cell r="AS317">
            <v>0</v>
          </cell>
          <cell r="AT317">
            <v>5884068.8564818455</v>
          </cell>
          <cell r="AU317">
            <v>1.4572579770305455E-4</v>
          </cell>
          <cell r="AV317">
            <v>0</v>
          </cell>
          <cell r="AW317">
            <v>0</v>
          </cell>
          <cell r="AY317">
            <v>0</v>
          </cell>
          <cell r="AZ317">
            <v>0</v>
          </cell>
          <cell r="BA317">
            <v>0</v>
          </cell>
          <cell r="BB317">
            <v>0</v>
          </cell>
          <cell r="BC317">
            <v>0</v>
          </cell>
          <cell r="BD317">
            <v>0</v>
          </cell>
          <cell r="BE317">
            <v>0</v>
          </cell>
          <cell r="BF317">
            <v>0</v>
          </cell>
          <cell r="BG317">
            <v>0</v>
          </cell>
          <cell r="BH317">
            <v>0</v>
          </cell>
          <cell r="BJ317">
            <v>0</v>
          </cell>
          <cell r="BL317">
            <v>0</v>
          </cell>
          <cell r="BM317">
            <v>0</v>
          </cell>
          <cell r="BN317">
            <v>0</v>
          </cell>
          <cell r="BO317">
            <v>0</v>
          </cell>
          <cell r="BQ317">
            <v>0</v>
          </cell>
          <cell r="BR317">
            <v>0</v>
          </cell>
          <cell r="BS317">
            <v>0</v>
          </cell>
          <cell r="BT317">
            <v>0</v>
          </cell>
          <cell r="CB317">
            <v>0</v>
          </cell>
          <cell r="CC317">
            <v>0</v>
          </cell>
          <cell r="CD317">
            <v>0</v>
          </cell>
          <cell r="CE317">
            <v>0</v>
          </cell>
          <cell r="CF317">
            <v>0</v>
          </cell>
          <cell r="CI317">
            <v>0</v>
          </cell>
          <cell r="CJ317">
            <v>0</v>
          </cell>
          <cell r="CK317">
            <v>0</v>
          </cell>
          <cell r="CV317">
            <v>1.3525538694290887E-4</v>
          </cell>
          <cell r="DG317">
            <v>5884069</v>
          </cell>
          <cell r="DR317">
            <v>1946333.6400000004</v>
          </cell>
          <cell r="EC317">
            <v>3.0231553722721447</v>
          </cell>
          <cell r="EN317">
            <v>2.4095909012463064E-2</v>
          </cell>
        </row>
        <row r="318">
          <cell r="B318">
            <v>99831</v>
          </cell>
          <cell r="C318" t="str">
            <v>TOWN OF BLACK CREEK</v>
          </cell>
          <cell r="D318">
            <v>1.7238230840836887E-5</v>
          </cell>
          <cell r="E318">
            <v>29826.158775694741</v>
          </cell>
          <cell r="F318">
            <v>23256.140010394789</v>
          </cell>
          <cell r="G318">
            <v>3924</v>
          </cell>
          <cell r="H318">
            <v>-8322.5581202145277</v>
          </cell>
          <cell r="I318">
            <v>-344.40315800045761</v>
          </cell>
          <cell r="J318">
            <v>25169.105287514409</v>
          </cell>
          <cell r="K318">
            <v>0</v>
          </cell>
          <cell r="L318">
            <v>-1322.4265746978474</v>
          </cell>
          <cell r="M318">
            <v>237.31892500943033</v>
          </cell>
          <cell r="N318">
            <v>8.9462970417775267</v>
          </cell>
          <cell r="O318">
            <v>-4.0373660452324076</v>
          </cell>
          <cell r="P318">
            <v>0</v>
          </cell>
          <cell r="Q318">
            <v>0</v>
          </cell>
          <cell r="R318">
            <v>0</v>
          </cell>
          <cell r="S318">
            <v>72428.244076697083</v>
          </cell>
          <cell r="T318">
            <v>19617.890000000003</v>
          </cell>
          <cell r="U318">
            <v>125845.52643757204</v>
          </cell>
          <cell r="V318">
            <v>949.27570003772132</v>
          </cell>
          <cell r="W318">
            <v>0</v>
          </cell>
          <cell r="X318">
            <v>146412.69213760976</v>
          </cell>
          <cell r="Y318">
            <v>0</v>
          </cell>
          <cell r="Z318">
            <v>0</v>
          </cell>
          <cell r="AA318">
            <v>0</v>
          </cell>
          <cell r="AB318">
            <v>1722.015790002288</v>
          </cell>
          <cell r="AC318">
            <v>1722.015790002288</v>
          </cell>
          <cell r="AD318" t="str">
            <v>N/A</v>
          </cell>
          <cell r="AE318">
            <v>28986</v>
          </cell>
          <cell r="AF318">
            <v>28986</v>
          </cell>
          <cell r="AG318">
            <v>28986</v>
          </cell>
          <cell r="AH318">
            <v>28986</v>
          </cell>
          <cell r="AI318">
            <v>28749</v>
          </cell>
          <cell r="AJ318">
            <v>0</v>
          </cell>
          <cell r="AK318">
            <v>144693</v>
          </cell>
          <cell r="AL318">
            <v>552369</v>
          </cell>
          <cell r="AM318">
            <v>72428.244076697083</v>
          </cell>
          <cell r="AN318">
            <v>-19565.890000000003</v>
          </cell>
          <cell r="AO318">
            <v>125072.78634760749</v>
          </cell>
          <cell r="AP318">
            <v>0</v>
          </cell>
          <cell r="AQ318">
            <v>19617.890000000003</v>
          </cell>
          <cell r="AR318">
            <v>0</v>
          </cell>
          <cell r="AS318">
            <v>0</v>
          </cell>
          <cell r="AT318">
            <v>749922.03042430454</v>
          </cell>
          <cell r="AU318">
            <v>1.6660467659682047E-5</v>
          </cell>
          <cell r="AV318">
            <v>0</v>
          </cell>
          <cell r="AW318">
            <v>0</v>
          </cell>
          <cell r="AY318">
            <v>0</v>
          </cell>
          <cell r="AZ318">
            <v>0</v>
          </cell>
          <cell r="BA318">
            <v>0</v>
          </cell>
          <cell r="BB318">
            <v>0</v>
          </cell>
          <cell r="BC318">
            <v>0</v>
          </cell>
          <cell r="BD318">
            <v>0</v>
          </cell>
          <cell r="BE318">
            <v>0</v>
          </cell>
          <cell r="BF318">
            <v>0</v>
          </cell>
          <cell r="BG318">
            <v>0</v>
          </cell>
          <cell r="BH318">
            <v>0</v>
          </cell>
          <cell r="BJ318">
            <v>0</v>
          </cell>
          <cell r="BL318">
            <v>0</v>
          </cell>
          <cell r="BM318">
            <v>0</v>
          </cell>
          <cell r="BN318">
            <v>0</v>
          </cell>
          <cell r="BO318">
            <v>0</v>
          </cell>
          <cell r="BQ318">
            <v>0</v>
          </cell>
          <cell r="BR318">
            <v>0</v>
          </cell>
          <cell r="BS318">
            <v>0</v>
          </cell>
          <cell r="BT318">
            <v>0</v>
          </cell>
          <cell r="CB318">
            <v>0</v>
          </cell>
          <cell r="CC318">
            <v>0</v>
          </cell>
          <cell r="CD318">
            <v>0</v>
          </cell>
          <cell r="CE318">
            <v>0</v>
          </cell>
          <cell r="CF318">
            <v>0</v>
          </cell>
          <cell r="CI318">
            <v>0</v>
          </cell>
          <cell r="CJ318">
            <v>0</v>
          </cell>
          <cell r="CK318">
            <v>0</v>
          </cell>
          <cell r="CV318">
            <v>1.7238230840836887E-5</v>
          </cell>
          <cell r="DG318">
            <v>749922</v>
          </cell>
          <cell r="DR318">
            <v>277867.58999999997</v>
          </cell>
          <cell r="EC318">
            <v>2.6988465981225089</v>
          </cell>
          <cell r="EN318">
            <v>2.4095909012463064E-2</v>
          </cell>
        </row>
      </sheetData>
      <sheetData sheetId="24"/>
      <sheetData sheetId="25"/>
      <sheetData sheetId="26"/>
      <sheetData sheetId="27">
        <row r="4">
          <cell r="D4">
            <v>2</v>
          </cell>
        </row>
        <row r="7">
          <cell r="D7" t="str">
            <v>North Carolina State Health Plan</v>
          </cell>
        </row>
        <row r="8">
          <cell r="D8" t="str">
            <v>SHPNC</v>
          </cell>
        </row>
        <row r="9">
          <cell r="D9" t="str">
            <v>Client_GASB</v>
          </cell>
        </row>
        <row r="10">
          <cell r="D10" t="str">
            <v>Committee on Actuarial Valuation of Retired Employees' Health Benefits (OPEB)\nState of North Carolina</v>
          </cell>
        </row>
        <row r="11">
          <cell r="D11" t="str">
            <v>4901 Glenwood Avenue, Suite 300</v>
          </cell>
        </row>
        <row r="12">
          <cell r="D12" t="str">
            <v>Raleigh, North Carolina 27612</v>
          </cell>
        </row>
        <row r="17">
          <cell r="D17" t="str">
            <v>Kenneth C. Vieira</v>
          </cell>
        </row>
        <row r="18">
          <cell r="D18" t="str">
            <v>Senior Vice President and Actuary</v>
          </cell>
        </row>
        <row r="19">
          <cell r="D19" t="str">
            <v>FCA, FSA, MAAA</v>
          </cell>
        </row>
        <row r="20">
          <cell r="D20" t="str">
            <v>MAP</v>
          </cell>
        </row>
        <row r="21">
          <cell r="D21" t="str">
            <v>DAB</v>
          </cell>
        </row>
        <row r="22">
          <cell r="D22" t="str">
            <v>David A. Berger, FCA, ASA, MAAA, EA</v>
          </cell>
        </row>
        <row r="23">
          <cell r="D23" t="str">
            <v>Vice President and Associate Actuary</v>
          </cell>
        </row>
        <row r="24">
          <cell r="D24" t="str">
            <v>Atlanta</v>
          </cell>
        </row>
        <row r="30">
          <cell r="D30">
            <v>42551</v>
          </cell>
          <cell r="E30">
            <v>42185</v>
          </cell>
        </row>
        <row r="31">
          <cell r="D31">
            <v>42551</v>
          </cell>
          <cell r="E31">
            <v>42185</v>
          </cell>
          <cell r="F31">
            <v>41820</v>
          </cell>
        </row>
        <row r="32">
          <cell r="D32">
            <v>42369</v>
          </cell>
          <cell r="E32">
            <v>42004</v>
          </cell>
        </row>
        <row r="33">
          <cell r="D33">
            <v>42369</v>
          </cell>
          <cell r="E33">
            <v>42004</v>
          </cell>
        </row>
        <row r="34">
          <cell r="F34" t="b">
            <v>0</v>
          </cell>
        </row>
        <row r="36">
          <cell r="D36">
            <v>0.5</v>
          </cell>
        </row>
        <row r="37">
          <cell r="D37">
            <v>0.5</v>
          </cell>
          <cell r="F37">
            <v>0.5</v>
          </cell>
        </row>
        <row r="38">
          <cell r="D38">
            <v>3.5000000000000003E-2</v>
          </cell>
          <cell r="E38">
            <v>3.5000000000000003E-2</v>
          </cell>
        </row>
        <row r="39">
          <cell r="D39">
            <v>4.4999999999999998E-2</v>
          </cell>
          <cell r="E39">
            <v>4.4999999999999998E-2</v>
          </cell>
        </row>
        <row r="40">
          <cell r="D40">
            <v>0</v>
          </cell>
        </row>
        <row r="41">
          <cell r="D41">
            <v>0</v>
          </cell>
        </row>
        <row r="47">
          <cell r="D47">
            <v>3.7999999999999999E-2</v>
          </cell>
          <cell r="E47">
            <v>2.8500000000000001E-2</v>
          </cell>
          <cell r="F47">
            <v>2.8500000000000001E-2</v>
          </cell>
          <cell r="G47">
            <v>3.85E-2</v>
          </cell>
          <cell r="H47">
            <v>1.8499999999999999E-2</v>
          </cell>
          <cell r="I47">
            <v>3.7999999999999999E-2</v>
          </cell>
        </row>
        <row r="52">
          <cell r="D52">
            <v>42916</v>
          </cell>
          <cell r="E52">
            <v>42551</v>
          </cell>
        </row>
        <row r="53">
          <cell r="E53">
            <v>7.2499999999999995E-2</v>
          </cell>
        </row>
        <row r="54">
          <cell r="D54">
            <v>6</v>
          </cell>
        </row>
        <row r="65">
          <cell r="D65">
            <v>1</v>
          </cell>
        </row>
        <row r="75">
          <cell r="K75" t="str">
            <v>Atlanta</v>
          </cell>
          <cell r="L75" t="str">
            <v>2018 Powers Ferry Road, Suite 850</v>
          </cell>
          <cell r="M75" t="str">
            <v>Atlanta, GA  30339</v>
          </cell>
          <cell r="N75" t="str">
            <v>678.306.3100</v>
          </cell>
          <cell r="O75" t="str">
            <v>678-669-1887</v>
          </cell>
        </row>
        <row r="76">
          <cell r="K76" t="str">
            <v>Boston</v>
          </cell>
          <cell r="L76" t="str">
            <v>116 Huntington Ave., 8th Floor</v>
          </cell>
          <cell r="M76" t="str">
            <v>Boston, MA  02116</v>
          </cell>
          <cell r="N76" t="str">
            <v>617.424.7300</v>
          </cell>
          <cell r="O76" t="str">
            <v>617.904.1833</v>
          </cell>
        </row>
        <row r="77">
          <cell r="K77" t="str">
            <v>Chicago</v>
          </cell>
          <cell r="L77" t="str">
            <v>101 North Wacker Drive, Suite 500</v>
          </cell>
          <cell r="M77" t="str">
            <v>Chicago, IL  60606</v>
          </cell>
          <cell r="N77" t="str">
            <v>312.984.8500</v>
          </cell>
          <cell r="O77" t="str">
            <v>312.896.9364</v>
          </cell>
        </row>
        <row r="78">
          <cell r="K78" t="str">
            <v>Cleveland</v>
          </cell>
          <cell r="L78" t="str">
            <v>1300 East Ninth Street, Suite 1900</v>
          </cell>
          <cell r="M78" t="str">
            <v>Cleveland, OH  44114</v>
          </cell>
          <cell r="N78" t="str">
            <v>216.687.4400</v>
          </cell>
          <cell r="O78" t="str">
            <v>216.916.4320</v>
          </cell>
        </row>
        <row r="79">
          <cell r="K79" t="str">
            <v>Denver</v>
          </cell>
          <cell r="L79" t="str">
            <v>5990 Greenwood Plaza Blvd., Suite 118</v>
          </cell>
          <cell r="M79" t="str">
            <v>Greenwood Village, CO  80111</v>
          </cell>
          <cell r="N79" t="str">
            <v>303.714.9900</v>
          </cell>
          <cell r="O79" t="str">
            <v>303.223.9234</v>
          </cell>
        </row>
        <row r="80">
          <cell r="K80" t="str">
            <v>Detroit</v>
          </cell>
          <cell r="L80" t="str">
            <v>40701 Woodward Avenue, Suite 100</v>
          </cell>
          <cell r="M80" t="str">
            <v>Bloomfield Hills, MI 48304-5078</v>
          </cell>
          <cell r="N80" t="str">
            <v>248.530.6370</v>
          </cell>
          <cell r="O80" t="str">
            <v>248.562.3223</v>
          </cell>
        </row>
        <row r="81">
          <cell r="K81" t="str">
            <v>Hartford</v>
          </cell>
          <cell r="L81" t="str">
            <v>30 Waterside Drive, Suite 300</v>
          </cell>
          <cell r="M81" t="str">
            <v>Farmington, CT  06032</v>
          </cell>
          <cell r="N81" t="str">
            <v>860.678.3000</v>
          </cell>
          <cell r="O81" t="str">
            <v>860.371.3429</v>
          </cell>
        </row>
        <row r="82">
          <cell r="K82" t="str">
            <v>Houston</v>
          </cell>
          <cell r="L82" t="str">
            <v>10740 North Gessner Drive, Suite 320</v>
          </cell>
          <cell r="M82" t="str">
            <v>Houston, TX  77064-1187</v>
          </cell>
          <cell r="N82" t="str">
            <v xml:space="preserve">281.671.5600 </v>
          </cell>
          <cell r="O82" t="str">
            <v>281.754.4722</v>
          </cell>
        </row>
        <row r="83">
          <cell r="K83" t="str">
            <v>Los Angeles</v>
          </cell>
          <cell r="L83" t="str">
            <v>330 North Brand Boulevard, Suite 1100</v>
          </cell>
          <cell r="M83" t="str">
            <v>Glendale, CA  91203</v>
          </cell>
          <cell r="N83" t="str">
            <v>818.956.6700</v>
          </cell>
          <cell r="O83" t="str">
            <v>818.484.2697</v>
          </cell>
        </row>
        <row r="84">
          <cell r="K84" t="str">
            <v>Minneapolis</v>
          </cell>
          <cell r="L84" t="str">
            <v>3800 American Boulevard West, Suite 870</v>
          </cell>
          <cell r="M84" t="str">
            <v>Bloomington, MN  55431</v>
          </cell>
          <cell r="N84" t="str">
            <v>952.259.2600</v>
          </cell>
          <cell r="O84" t="str">
            <v>952.487.0476</v>
          </cell>
        </row>
        <row r="85">
          <cell r="K85" t="str">
            <v>New Orleans</v>
          </cell>
          <cell r="L85" t="str">
            <v>P.O. Box 56268</v>
          </cell>
          <cell r="M85" t="str">
            <v>Metairie, LA  70055</v>
          </cell>
          <cell r="N85" t="str">
            <v>504.483.0744</v>
          </cell>
          <cell r="O85" t="str">
            <v>504.483.0771</v>
          </cell>
        </row>
        <row r="86">
          <cell r="K86" t="str">
            <v>New York</v>
          </cell>
          <cell r="L86" t="str">
            <v>333 West 34th Street</v>
          </cell>
          <cell r="M86" t="str">
            <v>New York, NY  10001</v>
          </cell>
          <cell r="N86" t="str">
            <v>212.251.5000</v>
          </cell>
          <cell r="O86" t="str">
            <v>646.365.3243</v>
          </cell>
        </row>
        <row r="87">
          <cell r="K87" t="str">
            <v>Philadelphia</v>
          </cell>
          <cell r="L87" t="str">
            <v>Two Penn Center, 1500 JFK Boulevard, Suite 200</v>
          </cell>
          <cell r="M87" t="str">
            <v>Philadelphia, PA 19102-1706</v>
          </cell>
          <cell r="N87" t="str">
            <v>215.854.4017</v>
          </cell>
          <cell r="O87" t="str">
            <v>215.854.4018</v>
          </cell>
        </row>
        <row r="88">
          <cell r="K88" t="str">
            <v>Phoenix</v>
          </cell>
          <cell r="L88" t="str">
            <v>1230 W Washington Street, Suite 501</v>
          </cell>
          <cell r="M88" t="str">
            <v>Tempe, AZ  85281</v>
          </cell>
          <cell r="N88" t="str">
            <v>602.381.4000</v>
          </cell>
          <cell r="O88" t="str">
            <v>602.532.7654</v>
          </cell>
        </row>
        <row r="89">
          <cell r="K89" t="str">
            <v>San Francisco</v>
          </cell>
          <cell r="L89" t="str">
            <v>100 Montgomery Street, Suite 500</v>
          </cell>
          <cell r="M89" t="str">
            <v>San Francisco, CA  94104</v>
          </cell>
          <cell r="N89" t="str">
            <v>415.263.8200</v>
          </cell>
          <cell r="O89" t="str">
            <v>415.376.1167</v>
          </cell>
        </row>
        <row r="90">
          <cell r="K90" t="str">
            <v>Toronto</v>
          </cell>
          <cell r="L90" t="str">
            <v>45 St. Clair Avenue West, Suite 802</v>
          </cell>
          <cell r="M90" t="str">
            <v>Toronto, ONT  M4V 1K9</v>
          </cell>
          <cell r="N90" t="str">
            <v>416.961.3264</v>
          </cell>
          <cell r="O90" t="str">
            <v>416.961.2101</v>
          </cell>
        </row>
        <row r="91">
          <cell r="K91" t="str">
            <v>Washington</v>
          </cell>
          <cell r="L91" t="str">
            <v>1800 M Street NW, Suite 900 S</v>
          </cell>
          <cell r="M91" t="str">
            <v>Washington, DC  20036</v>
          </cell>
          <cell r="N91" t="str">
            <v>202.833.6400</v>
          </cell>
          <cell r="O91" t="str">
            <v>202.330.5694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85"/>
  <sheetViews>
    <sheetView showGridLines="0" tabSelected="1" zoomScaleNormal="100" workbookViewId="0"/>
  </sheetViews>
  <sheetFormatPr defaultColWidth="9.140625" defaultRowHeight="12.75"/>
  <cols>
    <col min="1" max="1" width="54.28515625" style="51" customWidth="1"/>
    <col min="2" max="2" width="11.140625" style="51" customWidth="1"/>
    <col min="3" max="3" width="53.7109375" style="51" customWidth="1"/>
    <col min="4" max="4" width="45.42578125" style="51" bestFit="1" customWidth="1"/>
    <col min="5" max="8" width="9.140625" style="51"/>
    <col min="9" max="9" width="10.140625" style="33" bestFit="1" customWidth="1"/>
    <col min="10" max="11" width="9.140625" style="33"/>
    <col min="12" max="16384" width="9.140625" style="51"/>
  </cols>
  <sheetData>
    <row r="1" spans="1:11">
      <c r="A1" s="31" t="s">
        <v>895</v>
      </c>
      <c r="B1" s="31"/>
      <c r="C1" s="32"/>
      <c r="D1" s="32"/>
      <c r="E1" s="33"/>
    </row>
    <row r="2" spans="1:11">
      <c r="A2" s="31" t="s">
        <v>896</v>
      </c>
      <c r="B2" s="31"/>
      <c r="C2" s="32"/>
    </row>
    <row r="3" spans="1:11">
      <c r="A3" s="34" t="s">
        <v>2347</v>
      </c>
      <c r="B3" s="34"/>
      <c r="C3" s="32"/>
      <c r="D3" s="32"/>
    </row>
    <row r="4" spans="1:11" s="75" customFormat="1">
      <c r="A4" s="34"/>
      <c r="B4" s="34"/>
      <c r="C4" s="32"/>
      <c r="D4" s="32"/>
      <c r="I4" s="33"/>
      <c r="J4" s="33"/>
      <c r="K4" s="33"/>
    </row>
    <row r="5" spans="1:11" s="75" customFormat="1">
      <c r="A5" s="34"/>
      <c r="B5" s="34"/>
      <c r="C5" s="32"/>
      <c r="D5" s="32"/>
      <c r="I5" s="33"/>
      <c r="J5" s="33"/>
      <c r="K5" s="33"/>
    </row>
    <row r="6" spans="1:11" s="75" customFormat="1">
      <c r="A6" s="34" t="s">
        <v>1357</v>
      </c>
      <c r="B6" s="34"/>
      <c r="C6" s="32"/>
      <c r="D6" s="32"/>
      <c r="I6" s="33"/>
      <c r="J6" s="33"/>
      <c r="K6" s="33"/>
    </row>
    <row r="7" spans="1:11" s="75" customFormat="1">
      <c r="A7" s="34"/>
      <c r="B7" s="34"/>
      <c r="C7" s="32"/>
      <c r="D7" s="32"/>
      <c r="I7" s="33"/>
      <c r="J7" s="33"/>
      <c r="K7" s="33"/>
    </row>
    <row r="8" spans="1:11" s="75" customFormat="1">
      <c r="A8" s="78" t="s">
        <v>2626</v>
      </c>
      <c r="B8" s="34"/>
      <c r="C8" s="32"/>
      <c r="D8" s="32"/>
      <c r="I8" s="33"/>
      <c r="J8" s="33"/>
      <c r="K8" s="33"/>
    </row>
    <row r="9" spans="1:11" s="75" customFormat="1" ht="12.75" customHeight="1">
      <c r="A9" s="78" t="s">
        <v>1363</v>
      </c>
      <c r="B9" s="34"/>
      <c r="C9" s="32"/>
      <c r="D9" s="32"/>
      <c r="I9" s="33"/>
      <c r="J9" s="33"/>
      <c r="K9" s="33"/>
    </row>
    <row r="10" spans="1:11" s="75" customFormat="1">
      <c r="A10" s="79" t="s">
        <v>1364</v>
      </c>
      <c r="B10" s="34"/>
      <c r="C10" s="32"/>
      <c r="D10" s="32"/>
      <c r="I10" s="33"/>
      <c r="J10" s="33"/>
      <c r="K10" s="33"/>
    </row>
    <row r="11" spans="1:11" s="75" customFormat="1">
      <c r="A11" s="78" t="s">
        <v>2629</v>
      </c>
      <c r="B11" s="34"/>
      <c r="C11" s="32"/>
      <c r="D11" s="32"/>
      <c r="I11" s="33"/>
      <c r="J11" s="33"/>
      <c r="K11" s="33"/>
    </row>
    <row r="12" spans="1:11" s="75" customFormat="1">
      <c r="A12" s="78" t="s">
        <v>2630</v>
      </c>
      <c r="B12" s="34"/>
      <c r="C12" s="32"/>
      <c r="D12" s="32"/>
      <c r="I12" s="33"/>
      <c r="J12" s="33"/>
      <c r="K12" s="33"/>
    </row>
    <row r="13" spans="1:11" s="75" customFormat="1">
      <c r="A13" s="78" t="s">
        <v>2641</v>
      </c>
      <c r="B13" s="34"/>
      <c r="C13" s="32"/>
      <c r="D13" s="32"/>
      <c r="I13" s="33"/>
      <c r="J13" s="33"/>
      <c r="K13" s="33"/>
    </row>
    <row r="14" spans="1:11" s="75" customFormat="1">
      <c r="A14" s="79" t="s">
        <v>1358</v>
      </c>
      <c r="B14" s="34"/>
      <c r="C14" s="32"/>
      <c r="D14" s="32"/>
      <c r="I14" s="33"/>
      <c r="J14" s="33"/>
      <c r="K14" s="33"/>
    </row>
    <row r="15" spans="1:11" s="75" customFormat="1">
      <c r="A15" s="78" t="s">
        <v>2642</v>
      </c>
      <c r="B15" s="34"/>
      <c r="C15" s="32"/>
      <c r="D15" s="32"/>
      <c r="I15" s="33"/>
      <c r="J15" s="33"/>
      <c r="K15" s="33"/>
    </row>
    <row r="16" spans="1:11" s="75" customFormat="1">
      <c r="A16" s="78" t="s">
        <v>1362</v>
      </c>
      <c r="B16" s="34"/>
      <c r="C16" s="32"/>
      <c r="D16" s="32"/>
      <c r="I16" s="33"/>
      <c r="J16" s="33"/>
      <c r="K16" s="33"/>
    </row>
    <row r="17" spans="1:11" s="75" customFormat="1">
      <c r="B17" s="34"/>
      <c r="C17" s="32"/>
      <c r="D17" s="32"/>
      <c r="I17" s="33"/>
      <c r="J17" s="33"/>
      <c r="K17" s="33"/>
    </row>
    <row r="18" spans="1:11" ht="18">
      <c r="A18" s="34"/>
      <c r="B18" s="34"/>
      <c r="C18" s="32"/>
      <c r="D18" s="35"/>
    </row>
    <row r="19" spans="1:11">
      <c r="A19" s="32"/>
      <c r="B19" s="32"/>
      <c r="C19" s="32"/>
      <c r="D19" s="32"/>
    </row>
    <row r="20" spans="1:11">
      <c r="A20" s="145" t="s">
        <v>897</v>
      </c>
      <c r="B20" s="145"/>
      <c r="C20" s="146" t="s">
        <v>1355</v>
      </c>
      <c r="D20" s="36" t="s">
        <v>1359</v>
      </c>
    </row>
    <row r="21" spans="1:11" s="75" customFormat="1">
      <c r="A21" s="145" t="s">
        <v>1353</v>
      </c>
      <c r="B21" s="145"/>
      <c r="C21" s="146" t="s">
        <v>1355</v>
      </c>
      <c r="D21" s="36" t="s">
        <v>1361</v>
      </c>
      <c r="I21" s="33"/>
      <c r="J21" s="33"/>
      <c r="K21" s="33"/>
    </row>
    <row r="22" spans="1:11" ht="12.75" customHeight="1">
      <c r="A22" s="147"/>
      <c r="B22" s="147"/>
      <c r="C22" s="148"/>
      <c r="D22" s="38"/>
    </row>
    <row r="23" spans="1:11">
      <c r="A23" s="147" t="s">
        <v>898</v>
      </c>
      <c r="B23" s="147"/>
      <c r="C23" s="168" t="str">
        <f>VLOOKUP(C20,'2018 summary'!$B$911:$C$1811,2,FALSE)</f>
        <v>N/A</v>
      </c>
      <c r="D23" s="39"/>
    </row>
    <row r="24" spans="1:11" s="75" customFormat="1">
      <c r="A24" s="147" t="s">
        <v>1352</v>
      </c>
      <c r="B24" s="147"/>
      <c r="C24" s="168" t="str">
        <f>VLOOKUP(C21,'2018 summary'!$B$911:$C$1811,2,FALSE)</f>
        <v>N/A</v>
      </c>
      <c r="D24" s="169" t="s">
        <v>2627</v>
      </c>
      <c r="I24" s="33"/>
      <c r="J24" s="33"/>
      <c r="K24" s="33"/>
    </row>
    <row r="25" spans="1:11">
      <c r="A25" s="147"/>
      <c r="B25" s="147"/>
      <c r="C25" s="148"/>
      <c r="D25" s="39"/>
    </row>
    <row r="26" spans="1:11">
      <c r="A26" s="147" t="s">
        <v>940</v>
      </c>
      <c r="B26" s="147"/>
      <c r="C26" s="149">
        <v>43100</v>
      </c>
      <c r="D26" s="36" t="s">
        <v>2350</v>
      </c>
    </row>
    <row r="27" spans="1:11" s="83" customFormat="1" hidden="1">
      <c r="A27" s="147"/>
      <c r="B27" s="147"/>
      <c r="C27" s="150" t="e">
        <f>VLOOKUP(C26,I46:M49,5,FALSE)</f>
        <v>#N/A</v>
      </c>
      <c r="D27" s="36"/>
      <c r="I27" s="33"/>
      <c r="J27" s="33"/>
      <c r="K27" s="33"/>
    </row>
    <row r="28" spans="1:11" s="80" customFormat="1" ht="22.5" customHeight="1">
      <c r="A28" s="151" t="s">
        <v>1365</v>
      </c>
      <c r="B28" s="147"/>
      <c r="C28" s="152"/>
      <c r="D28" s="36"/>
      <c r="I28" s="33"/>
      <c r="J28" s="33"/>
      <c r="K28" s="33"/>
    </row>
    <row r="29" spans="1:11" s="80" customFormat="1" ht="27" customHeight="1">
      <c r="A29" s="153" t="str">
        <f>VLOOKUP(C26,I49:M52,2,FALSE)</f>
        <v>7/1/2016 through 12/31/2016</v>
      </c>
      <c r="B29" s="154"/>
      <c r="C29" s="155">
        <v>0</v>
      </c>
      <c r="D29" s="36" t="s">
        <v>1360</v>
      </c>
      <c r="I29" s="33"/>
      <c r="J29" s="33"/>
      <c r="K29" s="33"/>
    </row>
    <row r="30" spans="1:11" s="90" customFormat="1" ht="10.5" customHeight="1">
      <c r="A30" s="156"/>
      <c r="B30" s="157"/>
      <c r="C30" s="91"/>
      <c r="D30" s="36"/>
      <c r="I30" s="33"/>
      <c r="J30" s="33"/>
      <c r="K30" s="33"/>
    </row>
    <row r="31" spans="1:11" s="90" customFormat="1" ht="18" customHeight="1">
      <c r="A31" s="158" t="str">
        <f>(VLOOKUP(C26,A50:B53,2,FALSE))</f>
        <v>1/1/2017 through 6/30/2017</v>
      </c>
      <c r="B31" s="157"/>
      <c r="C31" s="160">
        <v>0</v>
      </c>
      <c r="D31" s="36" t="s">
        <v>2349</v>
      </c>
      <c r="I31" s="33"/>
      <c r="J31" s="33"/>
      <c r="K31" s="33"/>
    </row>
    <row r="32" spans="1:11" s="80" customFormat="1">
      <c r="A32" s="147"/>
      <c r="B32" s="147"/>
      <c r="C32" s="152"/>
      <c r="D32" s="36"/>
      <c r="I32" s="33"/>
      <c r="J32" s="33"/>
      <c r="K32" s="33"/>
    </row>
    <row r="33" spans="1:16">
      <c r="A33" s="147" t="str">
        <f>CONCATENATE("Your employer contributions from 7/1/2017 through ",(TEXT(C26,"MM/DD/YYYY")))</f>
        <v>Your employer contributions from 7/1/2017 through 12/31/2017</v>
      </c>
      <c r="B33" s="159"/>
      <c r="C33" s="160">
        <v>0</v>
      </c>
      <c r="D33" s="36" t="s">
        <v>1360</v>
      </c>
    </row>
    <row r="34" spans="1:16">
      <c r="A34" s="147"/>
      <c r="B34" s="159"/>
      <c r="C34" s="148"/>
      <c r="D34" s="36"/>
    </row>
    <row r="35" spans="1:16">
      <c r="A35" s="32"/>
      <c r="B35" s="32"/>
      <c r="C35" s="37"/>
      <c r="D35" s="39"/>
    </row>
    <row r="36" spans="1:16" ht="30.75" customHeight="1">
      <c r="A36" s="219" t="s">
        <v>2634</v>
      </c>
      <c r="B36" s="220"/>
      <c r="C36" s="221"/>
      <c r="D36" s="32"/>
    </row>
    <row r="37" spans="1:16" ht="21.75" customHeight="1">
      <c r="A37" s="222" t="s">
        <v>2635</v>
      </c>
      <c r="B37" s="223"/>
      <c r="C37" s="224"/>
      <c r="D37" s="32"/>
    </row>
    <row r="38" spans="1:16" ht="30" customHeight="1">
      <c r="A38" s="225" t="s">
        <v>2636</v>
      </c>
      <c r="B38" s="226"/>
      <c r="C38" s="227"/>
      <c r="D38" s="32"/>
    </row>
    <row r="39" spans="1:16">
      <c r="A39" s="215"/>
      <c r="B39" s="216"/>
      <c r="C39" s="217"/>
      <c r="D39" s="32"/>
    </row>
    <row r="40" spans="1:16">
      <c r="A40" s="32"/>
      <c r="B40" s="32"/>
      <c r="C40" s="32"/>
      <c r="D40" s="78"/>
      <c r="E40" s="33"/>
      <c r="F40" s="33"/>
      <c r="G40" s="33"/>
      <c r="H40" s="33"/>
      <c r="L40" s="33"/>
      <c r="M40" s="33"/>
      <c r="N40" s="33"/>
      <c r="O40" s="33"/>
      <c r="P40" s="33"/>
    </row>
    <row r="41" spans="1:16">
      <c r="A41" s="32"/>
      <c r="B41" s="32"/>
      <c r="C41" s="32"/>
      <c r="D41" s="78"/>
      <c r="E41" s="33"/>
      <c r="F41" s="84"/>
      <c r="G41" s="84"/>
      <c r="H41" s="84"/>
      <c r="L41" s="84"/>
      <c r="M41" s="84"/>
      <c r="N41" s="33"/>
      <c r="O41" s="33"/>
      <c r="P41" s="33"/>
    </row>
    <row r="42" spans="1:16">
      <c r="A42" s="32"/>
      <c r="B42" s="32"/>
      <c r="C42" s="32"/>
      <c r="D42" s="78"/>
      <c r="E42" s="33"/>
      <c r="F42" s="84"/>
      <c r="G42" s="84"/>
      <c r="H42" s="84"/>
      <c r="L42" s="84"/>
      <c r="M42" s="84"/>
      <c r="N42" s="33"/>
      <c r="O42" s="33"/>
      <c r="P42" s="33"/>
    </row>
    <row r="43" spans="1:16">
      <c r="A43" s="32"/>
      <c r="B43" s="32"/>
      <c r="C43" s="32"/>
      <c r="D43" s="78"/>
      <c r="E43" s="33"/>
      <c r="F43" s="84"/>
      <c r="G43" s="82"/>
      <c r="H43" s="82"/>
      <c r="L43" s="82"/>
      <c r="M43" s="82"/>
      <c r="N43" s="82"/>
      <c r="O43" s="33"/>
      <c r="P43" s="33"/>
    </row>
    <row r="44" spans="1:16">
      <c r="A44" s="32"/>
      <c r="B44" s="32"/>
      <c r="C44" s="32"/>
      <c r="D44" s="78"/>
      <c r="E44" s="33"/>
      <c r="F44" s="84"/>
      <c r="G44" s="82"/>
      <c r="H44" s="82"/>
      <c r="L44" s="82"/>
      <c r="M44" s="82"/>
      <c r="N44" s="82"/>
      <c r="O44" s="33"/>
      <c r="P44" s="33"/>
    </row>
    <row r="45" spans="1:16">
      <c r="A45" s="32"/>
      <c r="B45" s="32"/>
      <c r="C45" s="32"/>
      <c r="D45" s="78"/>
      <c r="E45" s="33"/>
      <c r="F45" s="84"/>
      <c r="G45" s="82"/>
      <c r="H45" s="82"/>
      <c r="L45" s="82"/>
      <c r="M45" s="82"/>
      <c r="N45" s="82"/>
      <c r="O45" s="33"/>
      <c r="P45" s="33"/>
    </row>
    <row r="46" spans="1:16">
      <c r="A46" s="32"/>
      <c r="B46" s="32"/>
      <c r="C46" s="32"/>
      <c r="D46" s="78"/>
      <c r="E46" s="33"/>
      <c r="F46" s="84"/>
      <c r="G46" s="82"/>
      <c r="H46" s="82"/>
      <c r="I46" s="51"/>
      <c r="J46" s="51"/>
      <c r="K46" s="51"/>
      <c r="M46" s="82">
        <v>0</v>
      </c>
      <c r="N46" s="82"/>
      <c r="O46" s="33"/>
      <c r="P46" s="33"/>
    </row>
    <row r="47" spans="1:16">
      <c r="A47" s="32"/>
      <c r="B47" s="32"/>
      <c r="C47" s="32"/>
      <c r="D47" s="78"/>
      <c r="E47" s="33"/>
      <c r="F47" s="84"/>
      <c r="G47" s="82"/>
      <c r="H47" s="82"/>
      <c r="I47" s="51"/>
      <c r="J47" s="51"/>
      <c r="K47" s="51"/>
      <c r="M47" s="82">
        <v>0</v>
      </c>
      <c r="N47" s="82"/>
      <c r="O47" s="33"/>
      <c r="P47" s="33"/>
    </row>
    <row r="48" spans="1:16">
      <c r="A48" s="32"/>
      <c r="B48" s="32"/>
      <c r="C48" s="32"/>
      <c r="D48" s="78"/>
      <c r="E48" s="33"/>
      <c r="F48" s="84"/>
      <c r="G48" s="82"/>
      <c r="H48" s="82"/>
      <c r="I48" s="51"/>
      <c r="J48" s="51"/>
      <c r="K48" s="51"/>
      <c r="M48" s="82">
        <v>0</v>
      </c>
      <c r="N48" s="82"/>
      <c r="O48" s="33"/>
      <c r="P48" s="33"/>
    </row>
    <row r="49" spans="1:16" s="147" customFormat="1">
      <c r="D49" s="161"/>
      <c r="E49" s="161"/>
      <c r="F49" s="162"/>
      <c r="G49" s="163"/>
      <c r="H49" s="163"/>
      <c r="I49" s="164">
        <v>43008</v>
      </c>
      <c r="J49" s="161" t="s">
        <v>2339</v>
      </c>
      <c r="K49" s="161"/>
      <c r="L49" s="163"/>
      <c r="M49" s="163">
        <v>1</v>
      </c>
      <c r="N49" s="163"/>
      <c r="O49" s="161"/>
      <c r="P49" s="161"/>
    </row>
    <row r="50" spans="1:16" s="147" customFormat="1" ht="15.75" hidden="1" customHeight="1">
      <c r="A50" s="165">
        <v>43281</v>
      </c>
      <c r="B50" s="166" t="s">
        <v>1356</v>
      </c>
      <c r="D50" s="161"/>
      <c r="E50" s="161"/>
      <c r="F50" s="162"/>
      <c r="G50" s="163"/>
      <c r="H50" s="163"/>
      <c r="I50" s="164">
        <v>43100</v>
      </c>
      <c r="J50" s="161" t="s">
        <v>2340</v>
      </c>
      <c r="K50" s="161"/>
      <c r="L50" s="163"/>
      <c r="M50" s="163"/>
      <c r="N50" s="163"/>
      <c r="O50" s="161"/>
      <c r="P50" s="161"/>
    </row>
    <row r="51" spans="1:16" s="147" customFormat="1" ht="12.75" hidden="1" customHeight="1">
      <c r="A51" s="165">
        <v>43008</v>
      </c>
      <c r="B51" s="165" t="s">
        <v>2343</v>
      </c>
      <c r="D51" s="161"/>
      <c r="E51" s="161"/>
      <c r="F51" s="162"/>
      <c r="G51" s="163"/>
      <c r="H51" s="163"/>
      <c r="I51" s="164">
        <v>43190</v>
      </c>
      <c r="J51" s="161" t="s">
        <v>2341</v>
      </c>
      <c r="K51" s="161"/>
      <c r="L51" s="163"/>
      <c r="M51" s="163"/>
      <c r="N51" s="163"/>
      <c r="O51" s="161"/>
      <c r="P51" s="161"/>
    </row>
    <row r="52" spans="1:16" s="147" customFormat="1" hidden="1">
      <c r="A52" s="165">
        <v>43100</v>
      </c>
      <c r="B52" s="165" t="s">
        <v>2643</v>
      </c>
      <c r="C52" s="165"/>
      <c r="D52" s="161"/>
      <c r="E52" s="161"/>
      <c r="F52" s="162"/>
      <c r="G52" s="162"/>
      <c r="H52" s="162"/>
      <c r="I52" s="164">
        <v>43281</v>
      </c>
      <c r="J52" s="161" t="s">
        <v>2348</v>
      </c>
      <c r="K52" s="161"/>
      <c r="L52" s="163"/>
      <c r="M52" s="162"/>
      <c r="N52" s="163"/>
      <c r="O52" s="161"/>
      <c r="P52" s="161"/>
    </row>
    <row r="53" spans="1:16" s="147" customFormat="1" hidden="1">
      <c r="A53" s="165">
        <v>43190</v>
      </c>
      <c r="B53" s="165" t="s">
        <v>2344</v>
      </c>
      <c r="C53" s="165"/>
      <c r="D53" s="161"/>
      <c r="E53" s="161"/>
      <c r="F53" s="162"/>
      <c r="G53" s="162"/>
      <c r="H53" s="162"/>
      <c r="I53" s="161"/>
      <c r="J53" s="161"/>
      <c r="K53" s="161"/>
      <c r="L53" s="162"/>
      <c r="M53" s="162"/>
      <c r="N53" s="161"/>
      <c r="O53" s="161"/>
      <c r="P53" s="161"/>
    </row>
    <row r="54" spans="1:16" s="147" customFormat="1">
      <c r="A54" s="218"/>
      <c r="B54" s="218"/>
      <c r="C54" s="218"/>
      <c r="D54" s="161"/>
      <c r="E54" s="161"/>
      <c r="F54" s="161"/>
      <c r="G54" s="161"/>
      <c r="H54" s="161"/>
      <c r="I54" s="161"/>
      <c r="J54" s="161"/>
      <c r="K54" s="161"/>
      <c r="L54" s="161"/>
      <c r="M54" s="161"/>
      <c r="N54" s="161"/>
      <c r="O54" s="161"/>
      <c r="P54" s="161"/>
    </row>
    <row r="55" spans="1:16">
      <c r="A55" s="40"/>
      <c r="B55" s="40"/>
      <c r="D55" s="33"/>
      <c r="E55" s="33"/>
      <c r="F55" s="33"/>
      <c r="G55" s="33"/>
      <c r="H55" s="33"/>
      <c r="L55" s="33"/>
      <c r="M55" s="33"/>
      <c r="N55" s="33"/>
      <c r="O55" s="33"/>
      <c r="P55" s="33"/>
    </row>
    <row r="56" spans="1:16">
      <c r="D56" s="33"/>
      <c r="E56" s="33"/>
      <c r="F56" s="33"/>
      <c r="G56" s="33"/>
      <c r="H56" s="33"/>
      <c r="L56" s="33"/>
      <c r="M56" s="33"/>
      <c r="N56" s="33"/>
      <c r="O56" s="33"/>
      <c r="P56" s="33"/>
    </row>
    <row r="57" spans="1:16" hidden="1">
      <c r="D57" s="33"/>
      <c r="E57" s="33"/>
      <c r="F57" s="33"/>
      <c r="G57" s="33"/>
      <c r="H57" s="33"/>
      <c r="L57" s="33"/>
      <c r="M57" s="33"/>
      <c r="N57" s="33"/>
      <c r="O57" s="33"/>
      <c r="P57" s="33"/>
    </row>
    <row r="58" spans="1:16" hidden="1">
      <c r="A58" s="73">
        <v>43008</v>
      </c>
      <c r="D58" s="33"/>
      <c r="E58" s="33"/>
      <c r="F58" s="33"/>
      <c r="G58" s="33"/>
      <c r="H58" s="33"/>
      <c r="L58" s="33"/>
      <c r="M58" s="33"/>
      <c r="N58" s="33"/>
      <c r="O58" s="33"/>
      <c r="P58" s="33"/>
    </row>
    <row r="59" spans="1:16" hidden="1">
      <c r="A59" s="73">
        <v>43100</v>
      </c>
      <c r="D59" s="33"/>
      <c r="E59" s="33"/>
      <c r="F59" s="33"/>
      <c r="G59" s="33"/>
      <c r="H59" s="33"/>
      <c r="L59" s="33"/>
      <c r="M59" s="33"/>
      <c r="N59" s="33"/>
      <c r="O59" s="33"/>
      <c r="P59" s="33"/>
    </row>
    <row r="60" spans="1:16" hidden="1">
      <c r="A60" s="73">
        <v>43190</v>
      </c>
      <c r="D60" s="33"/>
      <c r="E60" s="33"/>
      <c r="F60" s="33"/>
      <c r="G60" s="33"/>
      <c r="H60" s="33"/>
      <c r="L60" s="33"/>
      <c r="M60" s="33"/>
      <c r="N60" s="33"/>
      <c r="O60" s="33"/>
      <c r="P60" s="33"/>
    </row>
    <row r="61" spans="1:16" hidden="1">
      <c r="A61" s="73">
        <v>43281</v>
      </c>
      <c r="D61" s="33"/>
      <c r="E61" s="33"/>
      <c r="F61" s="33"/>
      <c r="G61" s="33"/>
      <c r="H61" s="33"/>
      <c r="L61" s="33"/>
      <c r="M61" s="33"/>
      <c r="N61" s="33"/>
      <c r="O61" s="33"/>
      <c r="P61" s="33"/>
    </row>
    <row r="62" spans="1:16" hidden="1">
      <c r="D62" s="33"/>
      <c r="E62" s="33"/>
      <c r="F62" s="33"/>
      <c r="G62" s="33"/>
      <c r="H62" s="33"/>
      <c r="L62" s="33"/>
      <c r="M62" s="33"/>
      <c r="N62" s="33"/>
      <c r="O62" s="33"/>
      <c r="P62" s="33"/>
    </row>
    <row r="63" spans="1:16" hidden="1">
      <c r="A63" s="74">
        <v>1</v>
      </c>
      <c r="D63" s="33"/>
      <c r="E63" s="33"/>
      <c r="F63" s="33"/>
      <c r="G63" s="33"/>
      <c r="H63" s="33"/>
      <c r="L63" s="33"/>
      <c r="M63" s="33"/>
      <c r="N63" s="33"/>
      <c r="O63" s="33"/>
      <c r="P63" s="33"/>
    </row>
    <row r="64" spans="1:16" hidden="1">
      <c r="A64" s="74">
        <v>2</v>
      </c>
      <c r="D64" s="33"/>
      <c r="E64" s="33"/>
      <c r="F64" s="33"/>
      <c r="G64" s="33"/>
      <c r="H64" s="33"/>
      <c r="L64" s="33"/>
      <c r="M64" s="33"/>
      <c r="N64" s="33"/>
      <c r="O64" s="33"/>
      <c r="P64" s="33"/>
    </row>
    <row r="65" spans="4:16">
      <c r="D65" s="33"/>
      <c r="E65" s="33"/>
      <c r="F65" s="33"/>
      <c r="G65" s="33"/>
      <c r="H65" s="33"/>
      <c r="L65" s="33"/>
      <c r="M65" s="33"/>
      <c r="N65" s="33"/>
      <c r="O65" s="33"/>
      <c r="P65" s="33"/>
    </row>
    <row r="66" spans="4:16">
      <c r="D66" s="33"/>
      <c r="E66" s="33"/>
      <c r="F66" s="33"/>
      <c r="G66" s="33"/>
      <c r="H66" s="33"/>
      <c r="L66" s="33"/>
      <c r="M66" s="33"/>
      <c r="N66" s="33"/>
      <c r="O66" s="33"/>
      <c r="P66" s="33"/>
    </row>
    <row r="67" spans="4:16">
      <c r="D67" s="82"/>
      <c r="E67" s="82"/>
      <c r="F67" s="82"/>
      <c r="G67" s="82"/>
      <c r="H67" s="82"/>
      <c r="L67" s="82"/>
      <c r="M67" s="82"/>
      <c r="N67" s="82"/>
      <c r="O67" s="82"/>
      <c r="P67" s="82"/>
    </row>
    <row r="68" spans="4:16">
      <c r="D68" s="82"/>
      <c r="E68" s="82"/>
      <c r="F68" s="82"/>
      <c r="G68" s="82"/>
      <c r="H68" s="82"/>
      <c r="L68" s="82"/>
      <c r="M68" s="82"/>
      <c r="N68" s="82"/>
      <c r="O68" s="82"/>
      <c r="P68" s="82"/>
    </row>
    <row r="69" spans="4:16">
      <c r="D69" s="82"/>
      <c r="E69" s="82"/>
      <c r="F69" s="82"/>
      <c r="G69" s="82"/>
      <c r="H69" s="82"/>
      <c r="L69" s="82"/>
      <c r="M69" s="82"/>
      <c r="N69" s="82"/>
      <c r="O69" s="82"/>
      <c r="P69" s="82"/>
    </row>
    <row r="70" spans="4:16">
      <c r="D70" s="82"/>
      <c r="E70" s="82"/>
      <c r="F70" s="82"/>
      <c r="G70" s="82"/>
      <c r="H70" s="82"/>
      <c r="L70" s="82"/>
      <c r="M70" s="82"/>
      <c r="N70" s="82"/>
      <c r="O70" s="82"/>
      <c r="P70" s="82"/>
    </row>
    <row r="71" spans="4:16">
      <c r="D71" s="82"/>
      <c r="E71" s="82"/>
      <c r="F71" s="82"/>
      <c r="G71" s="82"/>
      <c r="H71" s="82"/>
      <c r="L71" s="82"/>
      <c r="M71" s="82"/>
      <c r="N71" s="82"/>
      <c r="O71" s="82"/>
      <c r="P71" s="82"/>
    </row>
    <row r="72" spans="4:16">
      <c r="D72" s="82"/>
      <c r="E72" s="82"/>
      <c r="F72" s="82"/>
      <c r="G72" s="82"/>
      <c r="H72" s="82"/>
      <c r="L72" s="82"/>
      <c r="M72" s="82"/>
      <c r="N72" s="82"/>
      <c r="O72" s="82"/>
      <c r="P72" s="82"/>
    </row>
    <row r="73" spans="4:16">
      <c r="D73" s="82"/>
      <c r="E73" s="82"/>
      <c r="F73" s="82"/>
      <c r="G73" s="82"/>
      <c r="H73" s="82"/>
      <c r="L73" s="82"/>
      <c r="M73" s="82"/>
      <c r="N73" s="82"/>
      <c r="O73" s="82"/>
      <c r="P73" s="82"/>
    </row>
    <row r="74" spans="4:16">
      <c r="D74" s="82"/>
      <c r="E74" s="82"/>
      <c r="F74" s="82"/>
      <c r="G74" s="82"/>
      <c r="H74" s="82"/>
      <c r="L74" s="82"/>
      <c r="M74" s="82"/>
      <c r="N74" s="82"/>
      <c r="O74" s="82"/>
      <c r="P74" s="82"/>
    </row>
    <row r="75" spans="4:16">
      <c r="D75" s="82"/>
      <c r="E75" s="82"/>
      <c r="F75" s="82"/>
      <c r="G75" s="82"/>
      <c r="H75" s="82"/>
      <c r="L75" s="82"/>
      <c r="M75" s="82"/>
      <c r="N75" s="82"/>
      <c r="O75" s="82"/>
      <c r="P75" s="82"/>
    </row>
    <row r="76" spans="4:16">
      <c r="D76" s="82"/>
      <c r="E76" s="82"/>
      <c r="F76" s="82"/>
      <c r="G76" s="82"/>
      <c r="H76" s="82"/>
      <c r="L76" s="82"/>
      <c r="M76" s="82"/>
      <c r="N76" s="82"/>
      <c r="O76" s="82"/>
      <c r="P76" s="82"/>
    </row>
    <row r="77" spans="4:16">
      <c r="D77" s="82"/>
      <c r="E77" s="82"/>
      <c r="F77" s="82"/>
      <c r="G77" s="82"/>
      <c r="H77" s="82"/>
      <c r="L77" s="82"/>
      <c r="M77" s="82"/>
      <c r="N77" s="82"/>
      <c r="O77" s="82"/>
      <c r="P77" s="82"/>
    </row>
    <row r="78" spans="4:16">
      <c r="D78" s="82"/>
      <c r="E78" s="82"/>
      <c r="F78" s="82"/>
      <c r="G78" s="82"/>
      <c r="H78" s="82"/>
      <c r="L78" s="82"/>
      <c r="M78" s="82"/>
      <c r="N78" s="82"/>
      <c r="O78" s="82"/>
      <c r="P78" s="82"/>
    </row>
    <row r="79" spans="4:16">
      <c r="D79" s="82"/>
      <c r="E79" s="82"/>
      <c r="F79" s="82"/>
      <c r="G79" s="82"/>
      <c r="H79" s="82"/>
      <c r="L79" s="82"/>
      <c r="M79" s="82"/>
      <c r="N79" s="82"/>
      <c r="O79" s="82"/>
      <c r="P79" s="82"/>
    </row>
    <row r="80" spans="4:16">
      <c r="D80" s="82"/>
      <c r="E80" s="82"/>
      <c r="F80" s="82"/>
      <c r="G80" s="82"/>
      <c r="H80" s="82"/>
      <c r="L80" s="82"/>
      <c r="M80" s="82"/>
      <c r="N80" s="82"/>
      <c r="O80" s="82"/>
      <c r="P80" s="82"/>
    </row>
    <row r="81" spans="4:16">
      <c r="D81" s="82"/>
      <c r="E81" s="82"/>
      <c r="F81" s="82"/>
      <c r="G81" s="82"/>
      <c r="H81" s="82"/>
      <c r="L81" s="82"/>
      <c r="M81" s="82"/>
      <c r="N81" s="82"/>
      <c r="O81" s="82"/>
      <c r="P81" s="82"/>
    </row>
    <row r="82" spans="4:16">
      <c r="D82" s="82"/>
      <c r="E82" s="82"/>
      <c r="F82" s="82"/>
      <c r="G82" s="82"/>
      <c r="H82" s="82"/>
      <c r="L82" s="82"/>
      <c r="M82" s="82"/>
      <c r="N82" s="82"/>
      <c r="O82" s="82"/>
      <c r="P82" s="82"/>
    </row>
    <row r="83" spans="4:16">
      <c r="D83" s="82"/>
      <c r="E83" s="82"/>
      <c r="F83" s="82"/>
      <c r="G83" s="82"/>
      <c r="H83" s="82"/>
      <c r="L83" s="82"/>
      <c r="M83" s="82"/>
      <c r="N83" s="82"/>
      <c r="O83" s="82"/>
      <c r="P83" s="82"/>
    </row>
    <row r="84" spans="4:16">
      <c r="D84" s="82"/>
      <c r="E84" s="82"/>
      <c r="F84" s="82"/>
      <c r="G84" s="82"/>
      <c r="H84" s="82"/>
      <c r="L84" s="82"/>
      <c r="M84" s="82"/>
      <c r="N84" s="82"/>
      <c r="O84" s="82"/>
      <c r="P84" s="82"/>
    </row>
    <row r="85" spans="4:16">
      <c r="D85" s="82"/>
      <c r="E85" s="82"/>
      <c r="F85" s="82"/>
      <c r="G85" s="82"/>
      <c r="H85" s="82"/>
      <c r="L85" s="82"/>
      <c r="M85" s="82"/>
      <c r="N85" s="82"/>
      <c r="O85" s="82"/>
      <c r="P85" s="82"/>
    </row>
  </sheetData>
  <mergeCells count="4">
    <mergeCell ref="A54:C54"/>
    <mergeCell ref="A36:C36"/>
    <mergeCell ref="A37:C37"/>
    <mergeCell ref="A38:C38"/>
  </mergeCells>
  <dataValidations count="1">
    <dataValidation type="list" allowBlank="1" showInputMessage="1" showErrorMessage="1" sqref="C26 C28">
      <formula1>$A$58:$A$61</formula1>
    </dataValidation>
  </dataValidations>
  <pageMargins left="0.7" right="0.7" top="0.75" bottom="0.75" header="0.3" footer="0.3"/>
  <pageSetup scale="4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'2018 summary'!$B$911:$B$1811</xm:f>
          </x14:formula1>
          <xm:sqref>C20:C21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W103"/>
  <sheetViews>
    <sheetView zoomScaleNormal="100" workbookViewId="0"/>
  </sheetViews>
  <sheetFormatPr defaultRowHeight="15"/>
  <cols>
    <col min="1" max="1" width="15.28515625" customWidth="1"/>
    <col min="2" max="2" width="59.28515625" customWidth="1"/>
    <col min="3" max="5" width="18.7109375" customWidth="1"/>
    <col min="6" max="6" width="20.42578125" customWidth="1"/>
    <col min="7" max="7" width="20.140625" customWidth="1"/>
    <col min="8" max="8" width="17" customWidth="1"/>
    <col min="9" max="9" width="17.5703125" customWidth="1"/>
    <col min="10" max="10" width="18.28515625" customWidth="1"/>
    <col min="11" max="11" width="20" customWidth="1"/>
    <col min="12" max="12" width="19.7109375" customWidth="1"/>
    <col min="13" max="13" width="19.42578125" customWidth="1"/>
    <col min="14" max="14" width="18.42578125" customWidth="1"/>
    <col min="15" max="15" width="18.28515625" customWidth="1"/>
    <col min="16" max="16" width="20" customWidth="1"/>
    <col min="17" max="17" width="16.7109375" customWidth="1"/>
    <col min="18" max="18" width="19.42578125" customWidth="1"/>
    <col min="19" max="19" width="3.85546875" customWidth="1"/>
    <col min="20" max="20" width="13.85546875" customWidth="1"/>
    <col min="21" max="21" width="22.42578125" customWidth="1"/>
    <col min="22" max="22" width="16.140625" customWidth="1"/>
    <col min="23" max="23" width="16" customWidth="1"/>
    <col min="24" max="25" width="13.7109375" customWidth="1"/>
  </cols>
  <sheetData>
    <row r="2" spans="1:22">
      <c r="B2" s="11" t="s">
        <v>1351</v>
      </c>
      <c r="C2" s="77" t="str">
        <f>Info!C23</f>
        <v>N/A</v>
      </c>
      <c r="D2" s="11"/>
      <c r="E2" s="11"/>
    </row>
    <row r="3" spans="1:22">
      <c r="B3" s="11" t="s">
        <v>1352</v>
      </c>
      <c r="C3" s="77" t="str">
        <f>Info!C24</f>
        <v>N/A</v>
      </c>
      <c r="D3" s="11"/>
      <c r="E3" s="11"/>
    </row>
    <row r="4" spans="1:22">
      <c r="S4" s="11"/>
      <c r="T4" s="208"/>
      <c r="U4" s="208"/>
      <c r="V4" s="208"/>
    </row>
    <row r="5" spans="1:22">
      <c r="A5" s="65" t="s">
        <v>925</v>
      </c>
      <c r="B5" t="s">
        <v>926</v>
      </c>
      <c r="T5" s="208"/>
      <c r="U5" s="208"/>
      <c r="V5" s="208"/>
    </row>
    <row r="6" spans="1:22">
      <c r="A6" s="65" t="s">
        <v>925</v>
      </c>
      <c r="B6" t="s">
        <v>2338</v>
      </c>
      <c r="M6" s="2"/>
      <c r="T6" s="208"/>
      <c r="U6" s="208"/>
      <c r="V6" s="208"/>
    </row>
    <row r="8" spans="1:22" ht="12" hidden="1" customHeight="1">
      <c r="B8">
        <v>2</v>
      </c>
      <c r="C8">
        <v>3</v>
      </c>
      <c r="D8">
        <v>4</v>
      </c>
      <c r="F8">
        <v>5</v>
      </c>
      <c r="G8">
        <v>6</v>
      </c>
      <c r="H8">
        <v>7</v>
      </c>
      <c r="I8">
        <v>8</v>
      </c>
      <c r="J8">
        <v>9</v>
      </c>
      <c r="K8">
        <v>10</v>
      </c>
      <c r="L8">
        <v>11</v>
      </c>
      <c r="M8">
        <v>12</v>
      </c>
      <c r="N8">
        <v>13</v>
      </c>
      <c r="O8">
        <v>14</v>
      </c>
      <c r="P8">
        <v>15</v>
      </c>
      <c r="Q8">
        <v>16</v>
      </c>
      <c r="R8">
        <v>17</v>
      </c>
      <c r="S8">
        <v>19</v>
      </c>
      <c r="T8">
        <v>20</v>
      </c>
      <c r="U8">
        <v>21</v>
      </c>
      <c r="V8">
        <v>22</v>
      </c>
    </row>
    <row r="9" spans="1:22">
      <c r="F9" s="28"/>
      <c r="G9" s="28"/>
      <c r="J9" s="7" t="s">
        <v>3</v>
      </c>
      <c r="K9" s="7"/>
      <c r="L9" s="7"/>
      <c r="M9" s="7"/>
      <c r="O9" s="7" t="s">
        <v>4</v>
      </c>
      <c r="P9" s="7"/>
      <c r="Q9" s="7"/>
      <c r="R9" s="7"/>
      <c r="T9" s="7" t="s">
        <v>5</v>
      </c>
      <c r="U9" s="7"/>
      <c r="V9" s="7"/>
    </row>
    <row r="10" spans="1:22" ht="120">
      <c r="A10" s="8" t="s">
        <v>0</v>
      </c>
      <c r="B10" s="8" t="s">
        <v>1</v>
      </c>
      <c r="C10" s="8" t="s">
        <v>927</v>
      </c>
      <c r="D10" s="8" t="s">
        <v>928</v>
      </c>
      <c r="E10" s="8" t="s">
        <v>929</v>
      </c>
      <c r="F10" s="8" t="s">
        <v>930</v>
      </c>
      <c r="G10" s="8" t="s">
        <v>931</v>
      </c>
      <c r="H10" s="8" t="s">
        <v>932</v>
      </c>
      <c r="I10" s="8"/>
      <c r="J10" s="8" t="s">
        <v>6</v>
      </c>
      <c r="K10" s="8" t="s">
        <v>7</v>
      </c>
      <c r="L10" s="8" t="s">
        <v>8</v>
      </c>
      <c r="M10" s="8" t="s">
        <v>9</v>
      </c>
      <c r="N10" s="8"/>
      <c r="O10" s="8" t="s">
        <v>6</v>
      </c>
      <c r="P10" s="8" t="s">
        <v>7</v>
      </c>
      <c r="Q10" s="8" t="s">
        <v>8</v>
      </c>
      <c r="R10" s="8" t="s">
        <v>9</v>
      </c>
      <c r="S10" s="8"/>
      <c r="T10" s="8" t="s">
        <v>10</v>
      </c>
      <c r="U10" s="8" t="s">
        <v>11</v>
      </c>
      <c r="V10" s="8" t="s">
        <v>12</v>
      </c>
    </row>
    <row r="11" spans="1:22" s="4" customFormat="1">
      <c r="A11" s="8"/>
      <c r="B11" s="8"/>
      <c r="C11" s="8"/>
      <c r="D11" s="8"/>
      <c r="E11" s="8"/>
      <c r="F11" s="8"/>
      <c r="G11" s="8"/>
      <c r="H11" s="8"/>
      <c r="I11" s="8"/>
      <c r="J11" s="8"/>
      <c r="K11" s="8"/>
      <c r="L11" s="8"/>
      <c r="M11" s="8"/>
      <c r="N11" s="8"/>
      <c r="O11" s="8"/>
      <c r="P11" s="8"/>
      <c r="Q11" s="8"/>
      <c r="R11" s="8"/>
      <c r="S11" s="8"/>
      <c r="T11" s="8"/>
      <c r="U11" s="8"/>
      <c r="V11" s="8"/>
    </row>
    <row r="12" spans="1:22" s="4" customFormat="1">
      <c r="A12" s="8" t="s">
        <v>933</v>
      </c>
      <c r="B12" s="8"/>
      <c r="C12" s="8"/>
      <c r="D12" s="8"/>
      <c r="E12" s="8"/>
      <c r="F12" s="8"/>
      <c r="G12" s="8"/>
      <c r="H12" s="8"/>
      <c r="I12" s="8"/>
      <c r="J12" s="8"/>
      <c r="K12" s="8"/>
      <c r="L12" s="8"/>
      <c r="M12" s="8"/>
      <c r="N12" s="8"/>
      <c r="O12" s="8"/>
      <c r="P12" s="8"/>
      <c r="Q12" s="8"/>
      <c r="R12" s="8"/>
      <c r="S12" s="8"/>
      <c r="T12" s="8"/>
      <c r="U12" s="8"/>
      <c r="V12" s="8"/>
    </row>
    <row r="13" spans="1:22" s="4" customFormat="1">
      <c r="A13" s="5" t="str">
        <f>C2</f>
        <v>N/A</v>
      </c>
      <c r="B13" s="4" t="str">
        <f>VLOOKUP($A13,'2018 summary'!$A:$T,'JE Template 2018'!$B$8,FALSE)</f>
        <v>No additional agency chosen</v>
      </c>
      <c r="C13" s="60">
        <f>VLOOKUP($A13,'2018 summary'!$A:$V,'JE Template 2018'!C8,FALSE)</f>
        <v>0</v>
      </c>
      <c r="D13" s="60">
        <f>VLOOKUP($A13,'2018 summary'!$A:$V,'JE Template 2018'!D8,FALSE)</f>
        <v>0</v>
      </c>
      <c r="E13" s="60">
        <f>C13-D13</f>
        <v>0</v>
      </c>
      <c r="F13" s="6">
        <f>VLOOKUP($A13,'LGERS Contributions FY 2017'!$A:$C,3,FALSE)</f>
        <v>0</v>
      </c>
      <c r="G13" s="6">
        <f>VLOOKUP($A$13,'2017 summary'!$A:$G, 7, FALSE)</f>
        <v>0</v>
      </c>
      <c r="H13" s="6">
        <f>VLOOKUP($A$13,'2018 summary'!$A:$V,5,FALSE)</f>
        <v>0</v>
      </c>
      <c r="J13" s="6">
        <f>VLOOKUP($A13,'2018 summary'!$A:$O,7,FALSE)</f>
        <v>0</v>
      </c>
      <c r="K13" s="6">
        <f>VLOOKUP($A13,'2018 summary'!$A:$O,8,FALSE)</f>
        <v>0</v>
      </c>
      <c r="L13" s="6">
        <f>VLOOKUP($A13,'2018 summary'!$A:$O,9,FALSE)</f>
        <v>0</v>
      </c>
      <c r="M13" s="6">
        <f>VLOOKUP($A13,'2018 summary'!$A:$O,10,FALSE)</f>
        <v>0</v>
      </c>
      <c r="O13" s="6">
        <f>VLOOKUP($A13,'2018 summary'!$A:$O,13,FALSE)</f>
        <v>0</v>
      </c>
      <c r="P13" s="6">
        <v>0</v>
      </c>
      <c r="Q13" s="6">
        <f>VLOOKUP($A13,'2018 summary'!$A:$O,14,FALSE)</f>
        <v>0</v>
      </c>
      <c r="R13" s="6">
        <f>VLOOKUP($A13,'2018 summary'!$A:$O,15,FALSE)</f>
        <v>0</v>
      </c>
      <c r="T13" s="6">
        <f>VLOOKUP($A13,'2018 summary'!$A:$T,18,FALSE)</f>
        <v>0</v>
      </c>
      <c r="U13" s="6">
        <f>VLOOKUP($A13,'2018 summary'!$A:$T,19,FALSE)</f>
        <v>0</v>
      </c>
      <c r="V13" s="6">
        <f>VLOOKUP($A13,'2018 summary'!$A:$T,20,FALSE)</f>
        <v>0</v>
      </c>
    </row>
    <row r="14" spans="1:22" s="4" customFormat="1">
      <c r="A14" s="8"/>
      <c r="B14" s="8"/>
      <c r="C14" s="8"/>
      <c r="D14" s="8"/>
      <c r="E14" s="8"/>
      <c r="F14" s="8"/>
      <c r="G14" s="8"/>
      <c r="H14" s="8"/>
      <c r="I14" s="8"/>
      <c r="J14" s="8"/>
      <c r="K14" s="8"/>
      <c r="L14" s="8"/>
      <c r="M14" s="8"/>
      <c r="N14" s="8"/>
      <c r="O14" s="8"/>
      <c r="P14" s="8"/>
      <c r="Q14" s="8"/>
      <c r="R14" s="8"/>
      <c r="S14" s="8"/>
      <c r="T14" s="8"/>
      <c r="U14" s="8"/>
      <c r="V14" s="8"/>
    </row>
    <row r="15" spans="1:22" s="4" customFormat="1">
      <c r="A15" s="5" t="str">
        <f>C3</f>
        <v>N/A</v>
      </c>
      <c r="B15" s="4" t="str">
        <f>VLOOKUP($A15,'2018 summary'!$A:$T,'JE Template 2018'!$B$8,FALSE)</f>
        <v>No additional agency chosen</v>
      </c>
      <c r="C15" s="60">
        <f>VLOOKUP($A15,'2018 summary'!$A:$V,'JE Template 2018'!C8,FALSE)</f>
        <v>0</v>
      </c>
      <c r="D15" s="60">
        <f>VLOOKUP($A15,'2018 summary'!$A:$V,'JE Template 2018'!D8,FALSE)</f>
        <v>0</v>
      </c>
      <c r="E15" s="60">
        <f>C15-D15</f>
        <v>0</v>
      </c>
      <c r="F15" s="6">
        <f>VLOOKUP($A15,'LGERS Contributions FY 2017'!$A:$C,3,FALSE)</f>
        <v>0</v>
      </c>
      <c r="G15" s="6">
        <f>VLOOKUP($A15,'2017 summary'!$A:$W,'JE Template 2018'!H8,FALSE)</f>
        <v>0</v>
      </c>
      <c r="H15" s="6">
        <f>VLOOKUP($A15,'2018 summary'!$A:$V,5,FALSE)</f>
        <v>0</v>
      </c>
      <c r="I15" s="6"/>
      <c r="J15" s="6">
        <f>VLOOKUP($A15,'2018 summary'!$A:$O,7,FALSE)</f>
        <v>0</v>
      </c>
      <c r="K15" s="6">
        <f>VLOOKUP($A15,'2018 summary'!$A:$O,8,FALSE)</f>
        <v>0</v>
      </c>
      <c r="L15" s="6">
        <f>VLOOKUP($A15,'2018 summary'!$A:$O,9,FALSE)</f>
        <v>0</v>
      </c>
      <c r="M15" s="6">
        <f>VLOOKUP($A15,'2018 summary'!$A:$O,10,FALSE)</f>
        <v>0</v>
      </c>
      <c r="O15" s="6">
        <f>VLOOKUP($A15,'2018 summary'!$A:$O,13,FALSE)</f>
        <v>0</v>
      </c>
      <c r="P15" s="6">
        <v>0</v>
      </c>
      <c r="Q15" s="6">
        <f>VLOOKUP($A15,'2018 summary'!$A:$O,14,FALSE)</f>
        <v>0</v>
      </c>
      <c r="R15" s="6">
        <f>VLOOKUP($A15,'2018 summary'!$A:$O,15,FALSE)</f>
        <v>0</v>
      </c>
      <c r="T15" s="6">
        <f>VLOOKUP($A15,'2018 summary'!$A:$T,18,FALSE)</f>
        <v>0</v>
      </c>
      <c r="U15" s="6">
        <f>VLOOKUP($A15,'2018 summary'!$A:$T,19,FALSE)</f>
        <v>0</v>
      </c>
      <c r="V15" s="6">
        <f>VLOOKUP($A15,'2018 summary'!$A:$T,20,FALSE)</f>
        <v>0</v>
      </c>
    </row>
    <row r="16" spans="1:22" s="4" customFormat="1">
      <c r="A16" s="8"/>
      <c r="B16" s="8"/>
      <c r="C16" s="8"/>
      <c r="D16" s="8"/>
      <c r="E16" s="8"/>
      <c r="F16" s="8"/>
      <c r="G16" s="8"/>
      <c r="H16" s="8"/>
      <c r="I16" s="8"/>
      <c r="J16" s="8"/>
      <c r="K16" s="8"/>
      <c r="L16" s="8"/>
      <c r="M16" s="8"/>
      <c r="N16" s="8"/>
      <c r="O16" s="8"/>
      <c r="P16" s="8"/>
      <c r="Q16" s="8"/>
      <c r="R16" s="8"/>
      <c r="S16" s="8"/>
      <c r="T16" s="8"/>
      <c r="U16" s="8"/>
      <c r="V16" s="8"/>
    </row>
    <row r="17" spans="1:23" s="4" customFormat="1">
      <c r="B17" s="4" t="s">
        <v>1354</v>
      </c>
      <c r="C17" s="60">
        <f>C13+C15</f>
        <v>0</v>
      </c>
      <c r="D17" s="60">
        <f>D13+D15</f>
        <v>0</v>
      </c>
      <c r="E17" s="60">
        <f>C17-D17</f>
        <v>0</v>
      </c>
      <c r="F17" s="6">
        <f>F13+F15</f>
        <v>0</v>
      </c>
      <c r="G17" s="6">
        <f>G13+G15</f>
        <v>0</v>
      </c>
      <c r="H17" s="6">
        <f>H13+H15</f>
        <v>0</v>
      </c>
      <c r="I17" s="6"/>
      <c r="J17" s="6">
        <f>J13+J15</f>
        <v>0</v>
      </c>
      <c r="K17" s="6">
        <f>K13+K15</f>
        <v>0</v>
      </c>
      <c r="L17" s="6">
        <f>L13+L15</f>
        <v>0</v>
      </c>
      <c r="M17" s="6">
        <f>M13+M15</f>
        <v>0</v>
      </c>
      <c r="N17" s="6"/>
      <c r="O17" s="6">
        <f>O13+O15</f>
        <v>0</v>
      </c>
      <c r="P17" s="6">
        <f>P13+P15</f>
        <v>0</v>
      </c>
      <c r="Q17" s="6">
        <f>Q13+Q15</f>
        <v>0</v>
      </c>
      <c r="R17" s="6">
        <f>R13+R15</f>
        <v>0</v>
      </c>
      <c r="S17" s="6"/>
      <c r="T17" s="6">
        <f>T13+T15</f>
        <v>0</v>
      </c>
      <c r="U17" s="6">
        <f>U13+U15</f>
        <v>0</v>
      </c>
      <c r="V17" s="6">
        <f>V13+V15</f>
        <v>0</v>
      </c>
      <c r="W17" s="6"/>
    </row>
    <row r="18" spans="1:23" s="4" customFormat="1"/>
    <row r="19" spans="1:23" s="4" customFormat="1">
      <c r="A19" s="5"/>
      <c r="B19" s="4" t="s">
        <v>2342</v>
      </c>
      <c r="F19" s="6">
        <f>'LGERS Contributions FY 2017'!C897</f>
        <v>459089443.14000028</v>
      </c>
      <c r="G19" s="6">
        <f>'2017 summary'!G907</f>
        <v>2122335001.9649999</v>
      </c>
      <c r="H19" s="6">
        <f>'2018 summary'!E908</f>
        <v>1527723006</v>
      </c>
      <c r="I19" s="6"/>
      <c r="J19" s="6">
        <f>'2018 summary'!G908</f>
        <v>88010998</v>
      </c>
      <c r="K19" s="6">
        <f>'2018 summary'!H908</f>
        <v>370932998</v>
      </c>
      <c r="L19" s="6">
        <f>'2018 summary'!I908</f>
        <v>218179990</v>
      </c>
      <c r="M19" s="6">
        <f>'2018 summary'!J908</f>
        <v>44399345</v>
      </c>
      <c r="N19" s="6"/>
      <c r="O19" s="6">
        <f>'2018 summary'!M908</f>
        <v>43245007</v>
      </c>
      <c r="P19" s="6">
        <f>'2018 summary'!N908</f>
        <v>0</v>
      </c>
      <c r="Q19" s="6">
        <f>'2018 summary'!N908</f>
        <v>0</v>
      </c>
      <c r="R19" s="6">
        <f>'2018 summary'!O908</f>
        <v>44399369</v>
      </c>
      <c r="S19" s="6"/>
      <c r="T19" s="6">
        <f>'2018 summary'!R908</f>
        <v>514844016</v>
      </c>
      <c r="U19" s="6">
        <f>'2018 summary'!S908</f>
        <v>36</v>
      </c>
      <c r="V19" s="6">
        <f>'2018 summary'!T908</f>
        <v>514844052</v>
      </c>
    </row>
    <row r="20" spans="1:23" s="4" customFormat="1">
      <c r="A20" s="5"/>
      <c r="F20" s="6"/>
      <c r="G20" s="6"/>
      <c r="H20" s="6"/>
      <c r="J20" s="6"/>
      <c r="K20" s="6"/>
      <c r="L20" s="6"/>
      <c r="M20" s="6"/>
      <c r="N20" s="6"/>
      <c r="O20" s="6"/>
      <c r="P20" s="6"/>
      <c r="Q20" s="6"/>
      <c r="R20" s="6"/>
      <c r="S20" s="6"/>
      <c r="T20" s="6"/>
      <c r="U20" s="6"/>
      <c r="V20" s="6"/>
    </row>
    <row r="21" spans="1:23" s="4" customFormat="1">
      <c r="A21" s="121" t="s">
        <v>934</v>
      </c>
      <c r="F21" s="6"/>
      <c r="G21" s="6"/>
      <c r="H21" s="6"/>
      <c r="J21" s="6"/>
      <c r="K21" s="6"/>
      <c r="L21" s="6"/>
      <c r="M21" s="6"/>
      <c r="O21" s="6"/>
      <c r="P21" s="6"/>
      <c r="Q21" s="6"/>
      <c r="R21" s="6"/>
      <c r="T21" s="6"/>
      <c r="U21" s="6"/>
      <c r="V21" s="6"/>
    </row>
    <row r="22" spans="1:23" s="4" customFormat="1">
      <c r="A22" s="136" t="str">
        <f>C2</f>
        <v>N/A</v>
      </c>
      <c r="B22" s="4" t="str">
        <f>VLOOKUP($A22,'2017 summary'!$A:$V,'JE Template 2018'!B8,FALSE)</f>
        <v>No additional agency chosen</v>
      </c>
      <c r="C22" s="60">
        <f>VLOOKUP($A22,'2017 summary'!$A:$V,'JE Template 2018'!C8,FALSE)</f>
        <v>0</v>
      </c>
      <c r="D22" s="60">
        <f>VLOOKUP($A22,'2017 summary'!$A:$V,'JE Template 2018'!D8,FALSE)</f>
        <v>0</v>
      </c>
      <c r="E22" s="60">
        <f>C22-D22</f>
        <v>0</v>
      </c>
      <c r="F22" s="6">
        <f>VLOOKUP($A22,'2017 summary'!A:E,5,FALSE)</f>
        <v>0</v>
      </c>
      <c r="G22" s="6">
        <f>VLOOKUP($A22,'2017 summary'!$A:$V,'JE Template 2018'!G8,FALSE)</f>
        <v>0</v>
      </c>
      <c r="H22" s="6">
        <f>VLOOKUP($A22,'2017 summary'!$A:$V,'JE Template 2018'!H8,FALSE)</f>
        <v>0</v>
      </c>
      <c r="I22" s="6"/>
      <c r="J22" s="6">
        <f>VLOOKUP($A22,'2017 summary'!$A:$V,'JE Template 2018'!J8,FALSE)</f>
        <v>0</v>
      </c>
      <c r="K22" s="6">
        <f>VLOOKUP($A22,'2017 summary'!$A:$V,'JE Template 2018'!K8,FALSE)</f>
        <v>0</v>
      </c>
      <c r="L22" s="6">
        <f>VLOOKUP($A22,'2017 summary'!$A:$V,'JE Template 2018'!L8,FALSE)</f>
        <v>0</v>
      </c>
      <c r="M22" s="6">
        <f>VLOOKUP($A22,'2017 summary'!$A:$V,'JE Template 2018'!M8,FALSE)</f>
        <v>0</v>
      </c>
      <c r="N22" s="6"/>
      <c r="O22" s="6">
        <f>VLOOKUP($A22,'2017 summary'!$A:$V,'JE Template 2018'!O8,FALSE)</f>
        <v>0</v>
      </c>
      <c r="P22" s="6">
        <f>VLOOKUP($A22,'2017 summary'!$A:$V,'JE Template 2018'!P8,FALSE)</f>
        <v>0</v>
      </c>
      <c r="Q22" s="6">
        <f>VLOOKUP($A22,'2017 summary'!$A:$V,'JE Template 2018'!Q8,FALSE)</f>
        <v>0</v>
      </c>
      <c r="R22" s="6">
        <f>VLOOKUP($A22,'2017 summary'!$A:$V,'JE Template 2018'!R8,FALSE)</f>
        <v>0</v>
      </c>
      <c r="S22" s="6"/>
      <c r="T22" s="6">
        <f>VLOOKUP($A22,'2017 summary'!$A:$V,20,FALSE)</f>
        <v>0</v>
      </c>
      <c r="U22" s="6">
        <f>VLOOKUP($A22,'2017 summary'!$A:$V,21,FALSE)</f>
        <v>0</v>
      </c>
      <c r="V22" s="6">
        <f>VLOOKUP($A22,'2017 summary'!$A:$V,22,FALSE)</f>
        <v>0</v>
      </c>
    </row>
    <row r="23" spans="1:23" s="4" customFormat="1">
      <c r="A23" s="136"/>
      <c r="F23" s="6"/>
      <c r="G23" s="6"/>
      <c r="H23" s="6"/>
      <c r="J23" s="6"/>
      <c r="K23" s="6"/>
      <c r="L23" s="6"/>
      <c r="M23" s="6"/>
      <c r="O23" s="6"/>
      <c r="P23" s="6"/>
      <c r="Q23" s="6"/>
      <c r="R23" s="6"/>
      <c r="T23" s="6"/>
      <c r="U23" s="6"/>
      <c r="V23" s="6"/>
    </row>
    <row r="24" spans="1:23" s="4" customFormat="1">
      <c r="A24" s="136" t="str">
        <f>C3</f>
        <v>N/A</v>
      </c>
      <c r="B24" s="137" t="str">
        <f>VLOOKUP($A24,'2017 summary'!$A:$V,'JE Template 2018'!B8,FALSE)</f>
        <v>No additional agency chosen</v>
      </c>
      <c r="C24" s="60">
        <f>VLOOKUP($A24,'2017 summary'!$A:$V,'JE Template 2018'!C8,FALSE)</f>
        <v>0</v>
      </c>
      <c r="D24" s="60">
        <f>VLOOKUP($A24,'2017 summary'!$A:$V,'JE Template 2018'!D8,FALSE)</f>
        <v>0</v>
      </c>
      <c r="E24" s="60">
        <f>C24-D24</f>
        <v>0</v>
      </c>
      <c r="F24" s="6">
        <f>VLOOKUP($A24,'2017 summary'!A:E,5,FALSE)</f>
        <v>0</v>
      </c>
      <c r="G24" s="6">
        <f>VLOOKUP($A24,'2017 summary'!$A:$V,'JE Template 2018'!G8,FALSE)</f>
        <v>0</v>
      </c>
      <c r="H24" s="6">
        <f>VLOOKUP($A24,'2017 summary'!$A:$V,'JE Template 2018'!H8,FALSE)</f>
        <v>0</v>
      </c>
      <c r="I24" s="6"/>
      <c r="J24" s="6">
        <f>VLOOKUP($A24,'2017 summary'!$A:$V,'JE Template 2018'!J8,FALSE)</f>
        <v>0</v>
      </c>
      <c r="K24" s="6">
        <f>VLOOKUP($A24,'2017 summary'!$A:$V,'JE Template 2018'!K8,FALSE)</f>
        <v>0</v>
      </c>
      <c r="L24" s="6">
        <f>VLOOKUP($A24,'2017 summary'!$A:$V,'JE Template 2018'!L8,FALSE)</f>
        <v>0</v>
      </c>
      <c r="M24" s="6">
        <f>VLOOKUP($A24,'2017 summary'!$A:$V,'JE Template 2018'!M8,FALSE)</f>
        <v>0</v>
      </c>
      <c r="N24" s="6"/>
      <c r="O24" s="6">
        <f>VLOOKUP($A24,'2017 summary'!$A:$V,'JE Template 2018'!O8,FALSE)</f>
        <v>0</v>
      </c>
      <c r="P24" s="6">
        <f>VLOOKUP($A24,'2017 summary'!$A:$V,'JE Template 2018'!P8,FALSE)</f>
        <v>0</v>
      </c>
      <c r="Q24" s="6">
        <f>VLOOKUP($A24,'2017 summary'!$A:$V,'JE Template 2018'!Q8,FALSE)</f>
        <v>0</v>
      </c>
      <c r="R24" s="6">
        <f>VLOOKUP($A24,'2017 summary'!$A:$V,'JE Template 2018'!R8,FALSE)</f>
        <v>0</v>
      </c>
      <c r="S24" s="6"/>
      <c r="T24" s="6">
        <f>VLOOKUP($A24,'2017 summary'!$A:$V,20,FALSE)</f>
        <v>0</v>
      </c>
      <c r="U24" s="6">
        <f>VLOOKUP($A24,'2017 summary'!$A:$V,21,FALSE)</f>
        <v>0</v>
      </c>
      <c r="V24" s="6">
        <f>VLOOKUP($A24,'2017 summary'!$A:$V,22,FALSE)</f>
        <v>0</v>
      </c>
    </row>
    <row r="25" spans="1:23" s="4" customFormat="1">
      <c r="A25" s="121"/>
      <c r="F25" s="6"/>
      <c r="G25" s="6"/>
      <c r="H25" s="6"/>
      <c r="J25" s="6"/>
      <c r="K25" s="6"/>
      <c r="L25" s="6"/>
      <c r="M25" s="6"/>
      <c r="O25" s="6"/>
      <c r="P25" s="6"/>
      <c r="Q25" s="6"/>
      <c r="R25" s="6"/>
      <c r="T25" s="6"/>
      <c r="U25" s="6"/>
      <c r="V25" s="6"/>
    </row>
    <row r="26" spans="1:23" s="4" customFormat="1">
      <c r="A26" s="5"/>
      <c r="B26" s="4" t="s">
        <v>1354</v>
      </c>
      <c r="C26" s="60">
        <f>C22+C24</f>
        <v>0</v>
      </c>
      <c r="D26" s="60">
        <f>D22+D24</f>
        <v>0</v>
      </c>
      <c r="E26" s="60">
        <f>C26-D26</f>
        <v>0</v>
      </c>
      <c r="F26" s="6">
        <f>F22+F24</f>
        <v>0</v>
      </c>
      <c r="G26" s="6">
        <f>G22+G24</f>
        <v>0</v>
      </c>
      <c r="H26" s="6">
        <f>H22+H24</f>
        <v>0</v>
      </c>
      <c r="I26" s="6"/>
      <c r="J26" s="6">
        <f>J22+J24</f>
        <v>0</v>
      </c>
      <c r="K26" s="6">
        <f>K22+K24</f>
        <v>0</v>
      </c>
      <c r="L26" s="6">
        <f>L22+L24</f>
        <v>0</v>
      </c>
      <c r="M26" s="6">
        <f>M22+M24</f>
        <v>0</v>
      </c>
      <c r="N26" s="6"/>
      <c r="O26" s="6">
        <f>O22+O24</f>
        <v>0</v>
      </c>
      <c r="P26" s="6">
        <f>P22+P24</f>
        <v>0</v>
      </c>
      <c r="Q26" s="6">
        <f>Q22+Q24</f>
        <v>0</v>
      </c>
      <c r="R26" s="6">
        <f>R22+R24</f>
        <v>0</v>
      </c>
      <c r="S26" s="6"/>
      <c r="T26" s="6">
        <f>T22+T24</f>
        <v>0</v>
      </c>
      <c r="U26" s="6">
        <f>U22+U24</f>
        <v>0</v>
      </c>
      <c r="V26" s="6">
        <f>V22+V24</f>
        <v>0</v>
      </c>
    </row>
    <row r="27" spans="1:23" s="4" customFormat="1">
      <c r="A27" s="5"/>
      <c r="F27" s="6"/>
      <c r="G27" s="6"/>
      <c r="H27" s="6"/>
      <c r="J27" s="6"/>
      <c r="K27" s="6"/>
      <c r="L27" s="6"/>
      <c r="M27" s="6"/>
      <c r="O27" s="6"/>
      <c r="P27" s="6"/>
      <c r="Q27" s="6"/>
      <c r="R27" s="6"/>
      <c r="T27" s="6"/>
      <c r="U27" s="6"/>
      <c r="V27" s="6"/>
    </row>
    <row r="28" spans="1:23" s="4" customFormat="1">
      <c r="A28" s="5"/>
      <c r="B28" s="4" t="s">
        <v>2346</v>
      </c>
      <c r="F28" s="6">
        <f>'2017 summary'!E907</f>
        <v>411243352.90999979</v>
      </c>
      <c r="G28" s="6">
        <f>'2017 summary'!F907</f>
        <v>448793978.815</v>
      </c>
      <c r="H28" s="6">
        <f>'2017 summary'!G907</f>
        <v>2122335001.9649999</v>
      </c>
      <c r="I28" s="6"/>
      <c r="J28" s="6">
        <f>'2017 summary'!I907</f>
        <v>39875005.324999996</v>
      </c>
      <c r="K28" s="6">
        <f>'2017 summary'!J907</f>
        <v>1859842000.4500003</v>
      </c>
      <c r="L28" s="6">
        <f>'2017 summary'!K907</f>
        <v>145360990.26999998</v>
      </c>
      <c r="M28" s="6">
        <f>'2017 summary'!L907</f>
        <v>47059866.95000001</v>
      </c>
      <c r="N28" s="6"/>
      <c r="O28" s="6">
        <f>'2017 summary'!N907</f>
        <v>74369002.819999993</v>
      </c>
      <c r="P28" s="6">
        <f>'2017 summary'!O907</f>
        <v>686457998.14499998</v>
      </c>
      <c r="Q28" s="6">
        <f>'2017 summary'!P907</f>
        <v>0</v>
      </c>
      <c r="R28" s="6">
        <f>'2017 summary'!Q907</f>
        <v>47059539.410000004</v>
      </c>
      <c r="S28" s="6"/>
      <c r="T28" s="6">
        <f>'2017 summary'!T907</f>
        <v>567268992.93000007</v>
      </c>
      <c r="U28" s="6">
        <f>'2017 summary'!U907</f>
        <v>95</v>
      </c>
      <c r="V28" s="6">
        <f>'2017 summary'!V907</f>
        <v>567269105</v>
      </c>
    </row>
    <row r="30" spans="1:23">
      <c r="A30" s="12"/>
      <c r="B30" s="1"/>
      <c r="C30" s="1"/>
      <c r="D30" s="1"/>
      <c r="E30" s="1"/>
      <c r="F30" s="135"/>
      <c r="G30" s="3"/>
    </row>
    <row r="31" spans="1:23">
      <c r="A31" s="171" t="s">
        <v>1383</v>
      </c>
      <c r="B31" s="172"/>
      <c r="C31" s="173">
        <f>H17</f>
        <v>0</v>
      </c>
      <c r="D31" s="1"/>
      <c r="E31" s="1"/>
      <c r="F31" s="3"/>
      <c r="G31" s="3"/>
      <c r="I31" s="4"/>
      <c r="J31" s="4"/>
      <c r="K31" s="4"/>
      <c r="L31" s="4"/>
      <c r="M31" s="4"/>
      <c r="N31" s="4"/>
      <c r="O31" s="4"/>
      <c r="P31" s="4"/>
      <c r="Q31" s="4"/>
      <c r="R31" s="4"/>
      <c r="S31" s="4"/>
      <c r="T31" s="4"/>
    </row>
    <row r="32" spans="1:23">
      <c r="A32" s="17" t="s">
        <v>1384</v>
      </c>
      <c r="B32" s="18"/>
      <c r="C32" s="174">
        <f>E98</f>
        <v>0</v>
      </c>
      <c r="D32" s="1"/>
      <c r="E32" s="1"/>
      <c r="F32" s="135"/>
      <c r="G32" s="3"/>
      <c r="I32" s="4"/>
      <c r="J32" s="4"/>
      <c r="K32" s="4"/>
      <c r="L32" s="4"/>
      <c r="M32" s="4"/>
      <c r="N32" s="4"/>
      <c r="O32" s="4"/>
      <c r="P32" s="4"/>
      <c r="Q32" s="4"/>
      <c r="R32" s="4"/>
      <c r="S32" s="4"/>
      <c r="T32" s="4"/>
    </row>
    <row r="33" spans="1:20">
      <c r="A33" s="17"/>
      <c r="B33" s="18" t="s">
        <v>1385</v>
      </c>
      <c r="C33" s="174">
        <f>IF(E96&gt;0,E96,-F96)</f>
        <v>0</v>
      </c>
      <c r="D33" s="1"/>
      <c r="E33" s="1"/>
      <c r="F33" s="3"/>
      <c r="G33" s="3"/>
      <c r="I33" s="4"/>
      <c r="J33" s="4"/>
      <c r="K33" s="4"/>
      <c r="L33" s="4"/>
      <c r="M33" s="4"/>
      <c r="N33" s="4"/>
      <c r="O33" s="4"/>
      <c r="P33" s="4"/>
      <c r="Q33" s="4"/>
      <c r="R33" s="4"/>
      <c r="S33" s="4"/>
      <c r="T33" s="4"/>
    </row>
    <row r="34" spans="1:20" ht="48.75" customHeight="1">
      <c r="A34" s="24"/>
      <c r="B34" s="25" t="s">
        <v>1386</v>
      </c>
      <c r="C34" s="175">
        <f>IF(E97&gt;0,E97,-F97)</f>
        <v>0</v>
      </c>
      <c r="D34" s="228" t="str">
        <f>IF(ABS(C34)&gt;0.05*F17,"The amount of contributions made during the measurement year on the Info tab differs from ORBIT's total by more than 5%.  Please ensure that the information entered on the Info tab is accurate or consider a prior period adjustment."," ")</f>
        <v xml:space="preserve"> </v>
      </c>
      <c r="E34" s="228"/>
      <c r="F34" s="228"/>
      <c r="G34" s="228"/>
      <c r="I34" s="4"/>
      <c r="J34" s="4"/>
      <c r="K34" s="4"/>
      <c r="L34" s="4"/>
      <c r="M34" s="4"/>
      <c r="N34" s="4"/>
      <c r="O34" s="4"/>
      <c r="P34" s="4"/>
      <c r="Q34" s="4"/>
      <c r="R34" s="4"/>
      <c r="S34" s="4"/>
      <c r="T34" s="4"/>
    </row>
    <row r="35" spans="1:20">
      <c r="A35" s="12"/>
      <c r="B35" s="1"/>
      <c r="C35" s="1"/>
      <c r="D35" s="1"/>
      <c r="E35" s="1"/>
      <c r="F35" s="3"/>
      <c r="G35" s="3"/>
      <c r="I35" s="4"/>
      <c r="J35" s="4"/>
      <c r="K35" s="4"/>
      <c r="L35" s="4"/>
      <c r="M35" s="4"/>
      <c r="N35" s="4"/>
      <c r="O35" s="4"/>
      <c r="P35" s="4"/>
      <c r="Q35" s="4"/>
      <c r="R35" s="4"/>
      <c r="S35" s="4"/>
      <c r="T35" s="4"/>
    </row>
    <row r="36" spans="1:20">
      <c r="A36" s="171" t="s">
        <v>15</v>
      </c>
      <c r="B36" s="172"/>
      <c r="C36" s="172"/>
      <c r="D36" s="172"/>
      <c r="E36" s="176"/>
      <c r="F36" s="177"/>
      <c r="I36" s="4"/>
      <c r="J36" s="233"/>
      <c r="K36" s="233"/>
      <c r="L36" s="4"/>
      <c r="M36" s="4"/>
      <c r="N36" s="4"/>
      <c r="O36" s="4"/>
      <c r="P36" s="4"/>
      <c r="Q36" s="4"/>
      <c r="R36" s="4"/>
      <c r="S36" s="4"/>
      <c r="T36" s="4"/>
    </row>
    <row r="37" spans="1:20" ht="30">
      <c r="A37" s="17"/>
      <c r="B37" s="18"/>
      <c r="C37" s="18"/>
      <c r="D37" s="18"/>
      <c r="E37" s="29" t="s">
        <v>21</v>
      </c>
      <c r="F37" s="178" t="s">
        <v>22</v>
      </c>
      <c r="I37" s="4"/>
      <c r="J37" s="69"/>
      <c r="K37" s="4"/>
      <c r="L37" s="4"/>
      <c r="M37" s="4"/>
      <c r="N37" s="4"/>
      <c r="O37" s="4"/>
      <c r="P37" s="5"/>
      <c r="Q37" s="99"/>
      <c r="R37" s="99"/>
      <c r="S37" s="4"/>
      <c r="T37" s="4"/>
    </row>
    <row r="38" spans="1:20" ht="15" customHeight="1">
      <c r="A38" s="17"/>
      <c r="B38" s="18" t="s">
        <v>16</v>
      </c>
      <c r="C38" s="18"/>
      <c r="D38" s="18"/>
      <c r="E38" s="179">
        <f>J17</f>
        <v>0</v>
      </c>
      <c r="F38" s="20">
        <f>O17</f>
        <v>0</v>
      </c>
      <c r="H38" s="234" t="s">
        <v>937</v>
      </c>
      <c r="I38" s="235"/>
      <c r="J38" s="235"/>
      <c r="K38" s="236"/>
      <c r="M38" s="62"/>
      <c r="N38" s="4"/>
      <c r="O38" s="62"/>
      <c r="P38" s="62"/>
      <c r="Q38" s="62"/>
      <c r="R38" s="70"/>
      <c r="S38" s="4"/>
      <c r="T38" s="4"/>
    </row>
    <row r="39" spans="1:20">
      <c r="A39" s="17"/>
      <c r="B39" s="18" t="s">
        <v>17</v>
      </c>
      <c r="C39" s="18"/>
      <c r="D39" s="18"/>
      <c r="E39" s="179">
        <f>L17</f>
        <v>0</v>
      </c>
      <c r="F39" s="22">
        <f>Q17</f>
        <v>0</v>
      </c>
      <c r="H39" s="237"/>
      <c r="I39" s="238"/>
      <c r="J39" s="238"/>
      <c r="K39" s="239"/>
      <c r="M39" s="4"/>
      <c r="N39" s="4"/>
      <c r="O39" s="4"/>
      <c r="P39" s="4"/>
      <c r="Q39" s="62"/>
      <c r="R39" s="70"/>
      <c r="S39" s="4"/>
      <c r="T39" s="4"/>
    </row>
    <row r="40" spans="1:20" ht="30">
      <c r="A40" s="17"/>
      <c r="B40" s="18" t="s">
        <v>18</v>
      </c>
      <c r="C40" s="18"/>
      <c r="D40" s="18"/>
      <c r="E40" s="19">
        <f>IF(K17&gt;=P17,K17-P17,0)</f>
        <v>0</v>
      </c>
      <c r="F40" s="20">
        <f>IF(E40&gt;=0,0,P17-K17)</f>
        <v>0</v>
      </c>
      <c r="H40" s="237"/>
      <c r="I40" s="238"/>
      <c r="J40" s="238"/>
      <c r="K40" s="239"/>
      <c r="M40" s="62"/>
      <c r="N40" s="4"/>
      <c r="O40" s="62"/>
      <c r="P40" s="62"/>
      <c r="Q40" s="62"/>
      <c r="R40" s="70"/>
      <c r="S40" s="4"/>
      <c r="T40" s="4"/>
    </row>
    <row r="41" spans="1:20" ht="30">
      <c r="A41" s="17"/>
      <c r="B41" s="18" t="s">
        <v>19</v>
      </c>
      <c r="C41" s="18"/>
      <c r="D41" s="18"/>
      <c r="E41" s="19">
        <f>M17</f>
        <v>0</v>
      </c>
      <c r="F41" s="20">
        <f>R17</f>
        <v>0</v>
      </c>
      <c r="H41" s="240"/>
      <c r="I41" s="241"/>
      <c r="J41" s="241"/>
      <c r="K41" s="242"/>
      <c r="M41" s="62"/>
      <c r="N41" s="4"/>
      <c r="O41" s="62"/>
      <c r="P41" s="62"/>
      <c r="Q41" s="62"/>
      <c r="R41" s="70"/>
      <c r="S41" s="4"/>
      <c r="T41" s="4"/>
    </row>
    <row r="42" spans="1:20">
      <c r="A42" s="15"/>
      <c r="B42" s="18" t="s">
        <v>938</v>
      </c>
      <c r="C42" s="18"/>
      <c r="D42" s="18"/>
      <c r="E42" s="19">
        <f>Info!C33</f>
        <v>0</v>
      </c>
      <c r="F42" s="180"/>
      <c r="I42" s="4"/>
      <c r="J42" s="4"/>
      <c r="K42" s="4"/>
      <c r="L42" s="4"/>
      <c r="M42" s="4"/>
      <c r="N42" s="4"/>
      <c r="O42" s="4"/>
      <c r="P42" s="4"/>
      <c r="Q42" s="62"/>
      <c r="R42" s="70"/>
      <c r="S42" s="4"/>
      <c r="T42" s="4"/>
    </row>
    <row r="43" spans="1:20" ht="15.75" thickBot="1">
      <c r="A43" s="15"/>
      <c r="B43" s="68" t="s">
        <v>20</v>
      </c>
      <c r="C43" s="68"/>
      <c r="D43" s="68"/>
      <c r="E43" s="30">
        <f>SUM(E38:E42)</f>
        <v>0</v>
      </c>
      <c r="F43" s="181">
        <f>SUM(F38:F42)</f>
        <v>0</v>
      </c>
      <c r="G43" s="134"/>
      <c r="H43" s="41"/>
      <c r="I43" s="41"/>
      <c r="J43" s="81"/>
      <c r="K43" s="81"/>
      <c r="L43" s="81"/>
      <c r="M43" s="81"/>
      <c r="N43" s="41"/>
      <c r="O43" s="81"/>
      <c r="P43" s="81"/>
      <c r="Q43" s="81"/>
      <c r="R43" s="138"/>
      <c r="S43" s="4"/>
      <c r="T43" s="4"/>
    </row>
    <row r="44" spans="1:20" ht="15.75" thickTop="1">
      <c r="A44" s="15"/>
      <c r="B44" s="18"/>
      <c r="C44" s="18"/>
      <c r="D44" s="18"/>
      <c r="E44" s="21"/>
      <c r="F44" s="22"/>
      <c r="G44" s="88"/>
      <c r="H44" s="139"/>
      <c r="I44" s="140"/>
      <c r="J44" s="140"/>
      <c r="K44" s="140"/>
      <c r="L44" s="141"/>
      <c r="M44" s="141"/>
      <c r="N44" s="41"/>
      <c r="O44" s="41"/>
      <c r="P44" s="41"/>
      <c r="Q44" s="41"/>
      <c r="R44" s="41"/>
      <c r="S44" s="4"/>
      <c r="T44" s="4"/>
    </row>
    <row r="45" spans="1:20" ht="60">
      <c r="A45" s="66"/>
      <c r="B45" s="25" t="s">
        <v>922</v>
      </c>
      <c r="C45" s="25"/>
      <c r="D45" s="25"/>
      <c r="E45" s="26"/>
      <c r="F45" s="27"/>
      <c r="H45" s="139"/>
      <c r="I45" s="140"/>
      <c r="J45" s="140"/>
      <c r="K45" s="140"/>
      <c r="L45" s="142"/>
      <c r="M45" s="142"/>
      <c r="N45" s="41"/>
      <c r="O45" s="41"/>
      <c r="P45" s="41"/>
      <c r="Q45" s="41"/>
      <c r="R45" s="41"/>
      <c r="S45" s="4"/>
      <c r="T45" s="4"/>
    </row>
    <row r="46" spans="1:20">
      <c r="A46" s="4"/>
      <c r="B46" s="4"/>
      <c r="C46" s="4"/>
      <c r="D46" s="4"/>
      <c r="E46" s="4"/>
      <c r="F46" s="4"/>
      <c r="H46" s="139"/>
      <c r="I46" s="143"/>
      <c r="J46" s="140"/>
      <c r="K46" s="140"/>
      <c r="L46" s="144"/>
      <c r="M46" s="144"/>
      <c r="N46" s="41"/>
      <c r="O46" s="141"/>
      <c r="P46" s="141"/>
      <c r="Q46" s="41"/>
      <c r="R46" s="41"/>
    </row>
    <row r="47" spans="1:20">
      <c r="A47" s="13" t="s">
        <v>23</v>
      </c>
      <c r="B47" s="14"/>
      <c r="C47" s="14"/>
      <c r="D47" s="182"/>
      <c r="E47" s="4"/>
      <c r="F47" s="4"/>
      <c r="G47" s="4"/>
      <c r="H47" s="92"/>
      <c r="I47" s="92"/>
      <c r="J47" s="92"/>
      <c r="K47" s="93"/>
      <c r="M47" s="94"/>
      <c r="N47" s="28"/>
      <c r="O47" s="95"/>
      <c r="P47" s="95"/>
      <c r="Q47" s="6"/>
      <c r="R47" s="6"/>
    </row>
    <row r="48" spans="1:20">
      <c r="A48" s="15"/>
      <c r="B48" s="16"/>
      <c r="C48" s="16"/>
      <c r="D48" s="183"/>
      <c r="F48" s="4"/>
      <c r="G48" s="4"/>
      <c r="H48" s="92"/>
      <c r="I48" s="92"/>
      <c r="J48" s="92"/>
      <c r="K48" s="93"/>
      <c r="M48" s="94"/>
      <c r="N48" s="28"/>
      <c r="O48" s="95"/>
      <c r="P48" s="95"/>
      <c r="Q48" s="6"/>
      <c r="R48" s="6"/>
    </row>
    <row r="49" spans="1:18">
      <c r="A49" s="184" t="s">
        <v>24</v>
      </c>
      <c r="B49" s="185"/>
      <c r="C49" s="185"/>
      <c r="D49" s="183"/>
      <c r="F49" s="4"/>
      <c r="G49" s="4"/>
      <c r="H49" s="92"/>
      <c r="I49" s="92"/>
      <c r="J49" s="92"/>
      <c r="K49" s="93"/>
      <c r="M49" s="94"/>
      <c r="N49" s="28"/>
      <c r="O49" s="95"/>
      <c r="P49" s="95"/>
      <c r="Q49" s="6"/>
      <c r="R49" s="6"/>
    </row>
    <row r="50" spans="1:18">
      <c r="A50" s="186">
        <v>2019</v>
      </c>
      <c r="B50" s="187"/>
      <c r="C50" s="187"/>
      <c r="D50" s="188">
        <f>IF(A15="N/a",VLOOKUP($A$13,'Deferred Amort MD 6-30-17'!$A:$I,5,FALSE),((VLOOKUP($A$13,'Deferred Amort MD 6-30-17'!$A:$I,5,FALSE))+VLOOKUP($A$15,'Deferred Amort MD 6-30-17'!$A:$I,5,FALSE)))</f>
        <v>0</v>
      </c>
      <c r="E50" s="4"/>
      <c r="F50" s="134"/>
      <c r="G50" s="4"/>
      <c r="H50" s="92"/>
      <c r="I50" s="92"/>
      <c r="J50" s="92"/>
      <c r="K50" s="93"/>
      <c r="M50" s="94"/>
      <c r="N50" s="28"/>
      <c r="O50" s="95"/>
      <c r="P50" s="95"/>
      <c r="Q50" s="6"/>
      <c r="R50" s="6"/>
    </row>
    <row r="51" spans="1:18">
      <c r="A51" s="186">
        <v>2020</v>
      </c>
      <c r="B51" s="187"/>
      <c r="C51" s="187"/>
      <c r="D51" s="189">
        <f>IF(A15="n/a",(VLOOKUP($A$13,'Deferred Amort MD 6-30-17'!$A:$I,6,FALSE)),(VLOOKUP($A$13,'Deferred Amort MD 6-30-17'!$A:$I,6,FALSE)+VLOOKUP($A$15,'Deferred Amort MD 6-30-17'!$A:$I,6,FALSE)))</f>
        <v>0</v>
      </c>
      <c r="F51" s="4"/>
      <c r="G51" s="4"/>
      <c r="H51" s="92"/>
      <c r="I51" s="92"/>
      <c r="J51" s="92"/>
      <c r="K51" s="93"/>
      <c r="M51" s="94"/>
      <c r="N51" s="28"/>
      <c r="O51" s="95"/>
      <c r="P51" s="95"/>
      <c r="Q51" s="6"/>
      <c r="R51" s="6"/>
    </row>
    <row r="52" spans="1:18">
      <c r="A52" s="186">
        <v>2021</v>
      </c>
      <c r="B52" s="187"/>
      <c r="C52" s="187"/>
      <c r="D52" s="189">
        <f>IF(A15="n/a",(VLOOKUP($A$13,'Deferred Amort MD 6-30-17'!$A:$I,7,FALSE)),((VLOOKUP($A$13,'Deferred Amort MD 6-30-17'!$A:$I,7,FALSE))+VLOOKUP($A$15,'Deferred Amort MD 6-30-17'!$A:$I,7,FALSE)))</f>
        <v>0</v>
      </c>
      <c r="F52" s="4"/>
      <c r="G52" s="4"/>
      <c r="H52" s="92"/>
      <c r="I52" s="92"/>
      <c r="J52" s="92"/>
      <c r="K52" s="93"/>
      <c r="M52" s="94"/>
      <c r="N52" s="28"/>
      <c r="O52" s="95"/>
      <c r="P52" s="95"/>
      <c r="Q52" s="6"/>
      <c r="R52" s="6"/>
    </row>
    <row r="53" spans="1:18">
      <c r="A53" s="186">
        <v>2022</v>
      </c>
      <c r="B53" s="187"/>
      <c r="C53" s="187"/>
      <c r="D53" s="189">
        <f>IF(A15="n/a",(VLOOKUP($A$13,'Deferred Amort MD 6-30-17'!$A:$I,8,FALSE)),(VLOOKUP($A$13,'Deferred Amort MD 6-30-17'!$A:$I,8,FALSE))+VLOOKUP($A$15,'Deferred Amort MD 6-30-17'!$A:$I,8,FALSE))</f>
        <v>0</v>
      </c>
      <c r="F53" s="4"/>
      <c r="G53" s="4"/>
      <c r="H53" s="92"/>
      <c r="I53" s="92"/>
      <c r="J53" s="92"/>
      <c r="K53" s="93"/>
      <c r="M53" s="94"/>
      <c r="N53" s="28"/>
      <c r="O53" s="95"/>
      <c r="P53" s="95"/>
      <c r="Q53" s="6"/>
      <c r="R53" s="6"/>
    </row>
    <row r="54" spans="1:18">
      <c r="A54" s="186">
        <v>2023</v>
      </c>
      <c r="B54" s="187"/>
      <c r="C54" s="187"/>
      <c r="D54" s="189">
        <f>IF(A15="n/a",(VLOOKUP($A$13,'Deferred Amort MD 6-30-17'!$A:$I,9,FALSE)),(VLOOKUP($A$13,'Deferred Amort MD 6-30-17'!$A:$I,9,FALSE))+VLOOKUP($A$15,'Deferred Amort MD 6-30-17'!$A:$I,9,FALSE))</f>
        <v>0</v>
      </c>
      <c r="F54" s="4"/>
      <c r="G54" s="4"/>
      <c r="H54" s="92"/>
      <c r="I54" s="92"/>
      <c r="J54" s="92"/>
      <c r="K54" s="93"/>
      <c r="M54" s="94"/>
      <c r="N54" s="28"/>
      <c r="O54" s="95"/>
      <c r="P54" s="95"/>
      <c r="Q54" s="6"/>
      <c r="R54" s="6"/>
    </row>
    <row r="55" spans="1:18">
      <c r="A55" s="15" t="s">
        <v>25</v>
      </c>
      <c r="B55" s="187"/>
      <c r="C55" s="187"/>
      <c r="D55" s="20"/>
      <c r="F55" s="4"/>
      <c r="G55" s="4"/>
      <c r="H55" s="92"/>
      <c r="I55" s="92"/>
      <c r="J55" s="92"/>
      <c r="K55" s="93"/>
      <c r="M55" s="94"/>
      <c r="N55" s="28"/>
      <c r="O55" s="95"/>
      <c r="P55" s="95"/>
      <c r="Q55" s="6"/>
      <c r="R55" s="6"/>
    </row>
    <row r="56" spans="1:18">
      <c r="A56" s="66"/>
      <c r="B56" s="190"/>
      <c r="C56" s="190"/>
      <c r="D56" s="191">
        <f>SUM(D50:D55)</f>
        <v>0</v>
      </c>
      <c r="E56" s="88"/>
      <c r="F56" s="4"/>
      <c r="G56" s="4"/>
      <c r="H56" s="92"/>
      <c r="I56" s="92"/>
      <c r="J56" s="92"/>
      <c r="K56" s="93"/>
      <c r="M56" s="94"/>
      <c r="N56" s="28"/>
      <c r="O56" s="95"/>
      <c r="P56" s="95"/>
      <c r="Q56" s="6"/>
      <c r="R56" s="6"/>
    </row>
    <row r="57" spans="1:18">
      <c r="A57" s="4"/>
      <c r="B57" s="92"/>
      <c r="C57" s="92"/>
      <c r="D57" s="4"/>
      <c r="F57" s="4"/>
      <c r="G57" s="4"/>
      <c r="H57" s="92"/>
      <c r="I57" s="92"/>
      <c r="J57" s="92"/>
      <c r="K57" s="93"/>
      <c r="M57" s="94"/>
      <c r="N57" s="28"/>
      <c r="O57" s="95"/>
      <c r="P57" s="95"/>
      <c r="Q57" s="6"/>
      <c r="R57" s="6"/>
    </row>
    <row r="58" spans="1:18" ht="30">
      <c r="A58" s="192" t="s">
        <v>894</v>
      </c>
      <c r="B58" s="193"/>
      <c r="C58" s="193"/>
      <c r="D58" s="193"/>
      <c r="E58" s="194" t="s">
        <v>2637</v>
      </c>
      <c r="F58" s="194" t="s">
        <v>2638</v>
      </c>
      <c r="G58" s="195" t="s">
        <v>2639</v>
      </c>
      <c r="H58" s="4"/>
      <c r="I58" s="92"/>
      <c r="J58" s="92"/>
    </row>
    <row r="59" spans="1:18">
      <c r="A59" s="184"/>
      <c r="B59" s="196" t="s">
        <v>14</v>
      </c>
      <c r="C59" s="185"/>
      <c r="D59" s="185"/>
      <c r="E59" s="19">
        <v>4586259000</v>
      </c>
      <c r="F59" s="71">
        <f>H19</f>
        <v>1527723006</v>
      </c>
      <c r="G59" s="20">
        <v>-1025189000</v>
      </c>
      <c r="H59" s="4"/>
      <c r="I59" s="92"/>
      <c r="J59" s="92"/>
    </row>
    <row r="60" spans="1:18" ht="9" customHeight="1">
      <c r="A60" s="184"/>
      <c r="B60" s="185"/>
      <c r="C60" s="185"/>
      <c r="D60" s="185"/>
      <c r="E60" s="72"/>
      <c r="F60" s="72"/>
      <c r="G60" s="197"/>
      <c r="H60" s="4"/>
      <c r="I60" s="4"/>
      <c r="J60" s="4"/>
    </row>
    <row r="61" spans="1:18">
      <c r="A61" s="66"/>
      <c r="B61" s="198" t="s">
        <v>939</v>
      </c>
      <c r="C61" s="198"/>
      <c r="D61" s="198"/>
      <c r="E61" s="199">
        <f>C17*E59</f>
        <v>0</v>
      </c>
      <c r="F61" s="199">
        <f>H17</f>
        <v>0</v>
      </c>
      <c r="G61" s="200">
        <f>C17*G59</f>
        <v>0</v>
      </c>
      <c r="H61" s="4"/>
      <c r="I61" s="4"/>
      <c r="J61" s="4"/>
    </row>
    <row r="62" spans="1:18" s="4" customFormat="1"/>
    <row r="63" spans="1:18" hidden="1">
      <c r="A63" s="243" t="s">
        <v>899</v>
      </c>
      <c r="B63" s="244"/>
      <c r="C63" s="100"/>
      <c r="D63" s="100"/>
      <c r="E63" s="100"/>
      <c r="F63" s="42"/>
      <c r="G63" s="42"/>
      <c r="H63" s="43"/>
      <c r="I63" s="43"/>
      <c r="J63" s="44"/>
    </row>
    <row r="64" spans="1:18" ht="57.75" hidden="1" customHeight="1">
      <c r="A64" s="45" t="s">
        <v>900</v>
      </c>
      <c r="B64" s="231" t="s">
        <v>901</v>
      </c>
      <c r="C64" s="231"/>
      <c r="D64" s="231"/>
      <c r="E64" s="231"/>
      <c r="F64" s="232"/>
      <c r="G64" s="232"/>
      <c r="H64" s="232"/>
      <c r="I64" s="232"/>
      <c r="J64" s="232"/>
    </row>
    <row r="65" spans="1:10" hidden="1">
      <c r="A65" s="46"/>
      <c r="B65" s="47"/>
      <c r="C65" s="47"/>
      <c r="D65" s="47"/>
      <c r="E65" s="47"/>
      <c r="F65" s="48"/>
      <c r="G65" s="48"/>
      <c r="H65" s="48"/>
      <c r="I65" s="48"/>
      <c r="J65" s="48"/>
    </row>
    <row r="66" spans="1:10" ht="58.5" hidden="1" customHeight="1">
      <c r="A66" s="45" t="s">
        <v>902</v>
      </c>
      <c r="B66" s="231" t="s">
        <v>903</v>
      </c>
      <c r="C66" s="231"/>
      <c r="D66" s="231"/>
      <c r="E66" s="231"/>
      <c r="F66" s="231"/>
      <c r="G66" s="231"/>
      <c r="H66" s="231"/>
      <c r="I66" s="231"/>
      <c r="J66" s="231"/>
    </row>
    <row r="67" spans="1:10" hidden="1">
      <c r="A67" s="46"/>
      <c r="B67" s="47"/>
      <c r="C67" s="47"/>
      <c r="D67" s="47"/>
      <c r="E67" s="47"/>
      <c r="F67" s="48"/>
      <c r="G67" s="48"/>
      <c r="H67" s="48"/>
      <c r="I67" s="48"/>
      <c r="J67" s="48"/>
    </row>
    <row r="68" spans="1:10" ht="28.5" hidden="1" customHeight="1">
      <c r="A68" s="45" t="s">
        <v>904</v>
      </c>
      <c r="B68" s="229" t="s">
        <v>905</v>
      </c>
      <c r="C68" s="229"/>
      <c r="D68" s="229"/>
      <c r="E68" s="229"/>
      <c r="F68" s="230"/>
      <c r="G68" s="230"/>
      <c r="H68" s="230"/>
      <c r="I68" s="230"/>
      <c r="J68" s="230"/>
    </row>
    <row r="69" spans="1:10" hidden="1">
      <c r="A69" s="46"/>
      <c r="B69" s="47"/>
      <c r="C69" s="47"/>
      <c r="D69" s="47"/>
      <c r="E69" s="47"/>
      <c r="F69" s="48"/>
      <c r="G69" s="48"/>
      <c r="H69" s="48"/>
      <c r="I69" s="48"/>
      <c r="J69" s="48"/>
    </row>
    <row r="70" spans="1:10" ht="51.75" hidden="1" customHeight="1">
      <c r="A70" s="45" t="s">
        <v>906</v>
      </c>
      <c r="B70" s="231" t="s">
        <v>907</v>
      </c>
      <c r="C70" s="231"/>
      <c r="D70" s="231"/>
      <c r="E70" s="231"/>
      <c r="F70" s="230"/>
      <c r="G70" s="230"/>
      <c r="H70" s="230"/>
      <c r="I70" s="230"/>
      <c r="J70" s="230"/>
    </row>
    <row r="71" spans="1:10" hidden="1">
      <c r="A71" s="46"/>
      <c r="B71" s="98"/>
      <c r="C71" s="98"/>
      <c r="D71" s="98"/>
      <c r="E71" s="98"/>
      <c r="F71" s="98"/>
      <c r="G71" s="98"/>
      <c r="H71" s="98"/>
      <c r="I71" s="98"/>
      <c r="J71" s="98"/>
    </row>
    <row r="72" spans="1:10" hidden="1">
      <c r="A72" s="45" t="s">
        <v>908</v>
      </c>
      <c r="B72" s="229" t="s">
        <v>909</v>
      </c>
      <c r="C72" s="229"/>
      <c r="D72" s="229"/>
      <c r="E72" s="229"/>
      <c r="F72" s="230"/>
      <c r="G72" s="230"/>
      <c r="H72" s="230"/>
      <c r="I72" s="230"/>
      <c r="J72" s="230"/>
    </row>
    <row r="73" spans="1:10" hidden="1">
      <c r="A73" s="46"/>
      <c r="B73" s="48"/>
      <c r="C73" s="48"/>
      <c r="D73" s="48"/>
      <c r="E73" s="48"/>
      <c r="F73" s="98"/>
      <c r="G73" s="98"/>
      <c r="H73" s="98"/>
      <c r="I73" s="98"/>
      <c r="J73" s="98"/>
    </row>
    <row r="74" spans="1:10" ht="47.25" hidden="1" customHeight="1">
      <c r="A74" s="45" t="s">
        <v>910</v>
      </c>
      <c r="B74" s="231" t="s">
        <v>911</v>
      </c>
      <c r="C74" s="231"/>
      <c r="D74" s="231"/>
      <c r="E74" s="231"/>
      <c r="F74" s="231"/>
      <c r="G74" s="231"/>
      <c r="H74" s="231"/>
      <c r="I74" s="231"/>
      <c r="J74" s="231"/>
    </row>
    <row r="75" spans="1:10" hidden="1">
      <c r="A75" s="46"/>
      <c r="B75" s="98"/>
      <c r="C75" s="98"/>
      <c r="D75" s="98"/>
      <c r="E75" s="98"/>
      <c r="F75" s="98"/>
      <c r="G75" s="98"/>
      <c r="H75" s="98"/>
      <c r="I75" s="98"/>
      <c r="J75" s="98"/>
    </row>
    <row r="76" spans="1:10" ht="71.25" hidden="1" customHeight="1">
      <c r="A76" s="49" t="s">
        <v>912</v>
      </c>
      <c r="B76" s="231" t="s">
        <v>913</v>
      </c>
      <c r="C76" s="231"/>
      <c r="D76" s="231"/>
      <c r="E76" s="231"/>
      <c r="F76" s="232"/>
      <c r="G76" s="232"/>
      <c r="H76" s="232"/>
      <c r="I76" s="232"/>
      <c r="J76" s="232"/>
    </row>
    <row r="77" spans="1:10" ht="12" hidden="1" customHeight="1">
      <c r="A77" s="46"/>
      <c r="B77" s="98"/>
      <c r="C77" s="98"/>
      <c r="D77" s="98"/>
      <c r="E77" s="98"/>
      <c r="F77" s="98"/>
      <c r="G77" s="98"/>
      <c r="H77" s="98"/>
      <c r="I77" s="98"/>
      <c r="J77" s="98"/>
    </row>
    <row r="78" spans="1:10" ht="85.5" hidden="1" customHeight="1">
      <c r="A78" s="45" t="s">
        <v>914</v>
      </c>
      <c r="B78" s="231" t="s">
        <v>915</v>
      </c>
      <c r="C78" s="231"/>
      <c r="D78" s="231"/>
      <c r="E78" s="231"/>
      <c r="F78" s="230"/>
      <c r="G78" s="230"/>
      <c r="H78" s="230"/>
      <c r="I78" s="230"/>
      <c r="J78" s="230"/>
    </row>
    <row r="79" spans="1:10" ht="12" hidden="1" customHeight="1">
      <c r="A79" s="46"/>
      <c r="B79" s="98"/>
      <c r="C79" s="98"/>
      <c r="D79" s="98"/>
      <c r="E79" s="98"/>
      <c r="F79" s="98"/>
      <c r="G79" s="98"/>
      <c r="H79" s="98"/>
      <c r="I79" s="98"/>
      <c r="J79" s="98"/>
    </row>
    <row r="80" spans="1:10" ht="12" hidden="1" customHeight="1">
      <c r="A80" s="50" t="s">
        <v>916</v>
      </c>
      <c r="B80" s="229" t="s">
        <v>917</v>
      </c>
      <c r="C80" s="229"/>
      <c r="D80" s="229"/>
      <c r="E80" s="229"/>
      <c r="F80" s="230"/>
      <c r="G80" s="230"/>
      <c r="H80" s="230"/>
      <c r="I80" s="230"/>
      <c r="J80" s="230"/>
    </row>
    <row r="81" spans="1:11" hidden="1">
      <c r="A81" s="46"/>
      <c r="B81" s="98"/>
      <c r="C81" s="98"/>
      <c r="D81" s="98"/>
      <c r="E81" s="98"/>
      <c r="F81" s="98"/>
      <c r="G81" s="98"/>
      <c r="H81" s="98"/>
      <c r="I81" s="98"/>
      <c r="J81" s="98"/>
    </row>
    <row r="82" spans="1:11" ht="27.75" hidden="1" customHeight="1">
      <c r="A82" s="50" t="s">
        <v>918</v>
      </c>
      <c r="B82" s="229" t="s">
        <v>919</v>
      </c>
      <c r="C82" s="229"/>
      <c r="D82" s="229"/>
      <c r="E82" s="229"/>
      <c r="F82" s="230"/>
      <c r="G82" s="230"/>
      <c r="H82" s="230"/>
      <c r="I82" s="230"/>
      <c r="J82" s="230"/>
    </row>
    <row r="83" spans="1:11" ht="12" hidden="1" customHeight="1">
      <c r="A83" s="50"/>
      <c r="B83" s="96"/>
      <c r="C83" s="96"/>
      <c r="D83" s="96"/>
      <c r="E83" s="96"/>
      <c r="F83" s="97"/>
      <c r="G83" s="97"/>
      <c r="H83" s="97"/>
      <c r="I83" s="97"/>
      <c r="J83" s="97"/>
    </row>
    <row r="84" spans="1:11" ht="45" hidden="1" customHeight="1">
      <c r="A84" s="50" t="s">
        <v>920</v>
      </c>
      <c r="B84" s="229" t="s">
        <v>921</v>
      </c>
      <c r="C84" s="229"/>
      <c r="D84" s="229"/>
      <c r="E84" s="229"/>
      <c r="F84" s="230"/>
      <c r="G84" s="230"/>
      <c r="H84" s="230"/>
      <c r="I84" s="230"/>
      <c r="J84" s="230"/>
    </row>
    <row r="85" spans="1:11">
      <c r="A85" s="204" t="s">
        <v>2628</v>
      </c>
      <c r="B85" s="205"/>
      <c r="C85" s="205"/>
      <c r="D85" s="205"/>
      <c r="E85" s="206" t="s">
        <v>1369</v>
      </c>
      <c r="F85" s="207" t="s">
        <v>1370</v>
      </c>
      <c r="G85" s="4"/>
    </row>
    <row r="86" spans="1:11">
      <c r="A86" s="201" t="s">
        <v>1371</v>
      </c>
      <c r="B86" s="18"/>
      <c r="C86" s="18"/>
      <c r="D86" s="18"/>
      <c r="E86" s="209">
        <f>ROUND(IF(J17&gt;J26,J17-J26,0),0)</f>
        <v>0</v>
      </c>
      <c r="F86" s="211">
        <f>ROUND(IF(J26&gt;J17,J26-J17,0),0)</f>
        <v>0</v>
      </c>
      <c r="G86" s="4"/>
      <c r="H86" s="2"/>
      <c r="K86" s="2"/>
    </row>
    <row r="87" spans="1:11">
      <c r="A87" s="201" t="s">
        <v>1372</v>
      </c>
      <c r="B87" s="23"/>
      <c r="C87" s="18"/>
      <c r="D87" s="18"/>
      <c r="E87" s="209">
        <f>ROUND(IF(L17&gt;L26,L17-L26,0),0)</f>
        <v>0</v>
      </c>
      <c r="F87" s="211">
        <f>ROUND(IF(L26&gt;L17,L26-L17,0),0)</f>
        <v>0</v>
      </c>
      <c r="G87" s="4"/>
      <c r="H87" s="2"/>
    </row>
    <row r="88" spans="1:11">
      <c r="A88" s="201" t="s">
        <v>1373</v>
      </c>
      <c r="B88" s="23"/>
      <c r="C88" s="18"/>
      <c r="D88" s="18"/>
      <c r="E88" s="209">
        <f>ROUND(IF(K17&gt;(K26-P26),(K17-(K26-P26)),0),0)</f>
        <v>0</v>
      </c>
      <c r="F88" s="211">
        <f>ROUND(IF((K26-P26)&gt;K17,K26-P26-K17,0),0)</f>
        <v>0</v>
      </c>
      <c r="G88" s="4"/>
      <c r="K88" s="2"/>
    </row>
    <row r="89" spans="1:11">
      <c r="A89" s="201" t="s">
        <v>1374</v>
      </c>
      <c r="B89" s="23"/>
      <c r="C89" s="18"/>
      <c r="D89" s="18"/>
      <c r="E89" s="209">
        <f>ROUND(IF(M17&gt;M26,M17-M26,0),0)</f>
        <v>0</v>
      </c>
      <c r="F89" s="211">
        <f>ROUND(IF(M26&gt;M17,M26-M17,0),0)</f>
        <v>0</v>
      </c>
      <c r="G89" s="4"/>
      <c r="I89" s="2"/>
    </row>
    <row r="90" spans="1:11">
      <c r="A90" s="201" t="s">
        <v>1375</v>
      </c>
      <c r="B90" s="23"/>
      <c r="C90" s="18"/>
      <c r="D90" s="18"/>
      <c r="E90" s="209">
        <f>ROUND(IF(O26&gt;O17,O26-O17,0),0)</f>
        <v>0</v>
      </c>
      <c r="F90" s="211">
        <f>ROUND(IF(O17&gt;O26,O17-O26,0),0)</f>
        <v>0</v>
      </c>
      <c r="G90" s="4"/>
    </row>
    <row r="91" spans="1:11">
      <c r="A91" s="201" t="s">
        <v>1376</v>
      </c>
      <c r="B91" s="23"/>
      <c r="C91" s="18"/>
      <c r="D91" s="18"/>
      <c r="E91" s="209">
        <f>ROUND(IF(Q26&gt;Q17,Q26-Q17,0),0)</f>
        <v>0</v>
      </c>
      <c r="F91" s="211">
        <f>ROUND(IF(Q19&gt;Q26,Q19-Q26,0),0)</f>
        <v>0</v>
      </c>
      <c r="G91" s="4"/>
    </row>
    <row r="92" spans="1:11">
      <c r="A92" s="201" t="s">
        <v>1377</v>
      </c>
      <c r="B92" s="68"/>
      <c r="C92" s="68"/>
      <c r="D92" s="68"/>
      <c r="E92" s="209">
        <f>IF((P26-K26)&gt;P17,P26-K26-P17,0)</f>
        <v>0</v>
      </c>
      <c r="F92" s="211">
        <f>IF(P17&gt;(ABS(P26-K26)),P17-(P26-K26),0)</f>
        <v>0</v>
      </c>
      <c r="G92" s="4"/>
    </row>
    <row r="93" spans="1:11">
      <c r="A93" s="201" t="s">
        <v>1378</v>
      </c>
      <c r="B93" s="16"/>
      <c r="C93" s="16"/>
      <c r="D93" s="16"/>
      <c r="E93" s="209">
        <f>ROUND(IF(R17&lt;R26,R26-R17,0),0)</f>
        <v>0</v>
      </c>
      <c r="F93" s="211">
        <f>ROUND(IF(R17&gt;R26,R17-R26,0),0)</f>
        <v>0</v>
      </c>
      <c r="G93" s="4"/>
    </row>
    <row r="94" spans="1:11">
      <c r="A94" s="201" t="s">
        <v>1382</v>
      </c>
      <c r="B94" s="16"/>
      <c r="C94" s="16"/>
      <c r="D94" s="16"/>
      <c r="E94" s="209">
        <f>Info!C33</f>
        <v>0</v>
      </c>
      <c r="F94" s="212">
        <f>Info!C29</f>
        <v>0</v>
      </c>
      <c r="G94" s="4"/>
    </row>
    <row r="95" spans="1:11">
      <c r="A95" s="201" t="s">
        <v>1387</v>
      </c>
      <c r="B95" s="16"/>
      <c r="C95" s="16"/>
      <c r="D95" s="16"/>
      <c r="E95" s="209">
        <v>0</v>
      </c>
      <c r="F95" s="211">
        <f>Info!C33+Info!C31</f>
        <v>0</v>
      </c>
      <c r="G95" s="4"/>
    </row>
    <row r="96" spans="1:11" hidden="1">
      <c r="A96" s="201" t="s">
        <v>1380</v>
      </c>
      <c r="B96" s="16"/>
      <c r="C96" s="16"/>
      <c r="D96" s="16"/>
      <c r="E96" s="209">
        <f>IF(V17&gt;=0,V17,0)</f>
        <v>0</v>
      </c>
      <c r="F96" s="213">
        <f>IF(V17&lt;0,-V17,0)</f>
        <v>0</v>
      </c>
      <c r="G96" s="4"/>
    </row>
    <row r="97" spans="1:7" hidden="1">
      <c r="A97" s="201" t="s">
        <v>1381</v>
      </c>
      <c r="B97" s="16"/>
      <c r="C97" s="16"/>
      <c r="D97" s="16"/>
      <c r="E97" s="209">
        <f>IF((Info!C29+Info!C31)&gt;'JE Template 2018'!F17,(Info!C29+Info!C31-'JE Template 2018'!F17),0)</f>
        <v>0</v>
      </c>
      <c r="F97" s="214">
        <f>IF((Info!C29+Info!C31)&lt;'JE Template 2018'!F17,'JE Template 2018'!F17-(Info!C29+Info!C31),0)</f>
        <v>0</v>
      </c>
      <c r="G97" s="4"/>
    </row>
    <row r="98" spans="1:7">
      <c r="A98" s="201" t="s">
        <v>936</v>
      </c>
      <c r="B98" s="16"/>
      <c r="C98" s="16"/>
      <c r="D98" s="16"/>
      <c r="E98" s="209">
        <f>ROUND(IF(SUM((E96:E97))&gt;SUM((F96:F97)),(SUM(E96:E97))-(SUM(F96:F97)),0),0)</f>
        <v>0</v>
      </c>
      <c r="F98" s="211">
        <f>ROUND(IF((SUM(F96:F97))&gt;(SUM(E96:E97)), (SUM(F96:F97))-(SUM(E96:E97)),0),0)</f>
        <v>0</v>
      </c>
      <c r="G98" s="4"/>
    </row>
    <row r="99" spans="1:7">
      <c r="A99" s="201" t="s">
        <v>935</v>
      </c>
      <c r="B99" s="16"/>
      <c r="C99" s="16"/>
      <c r="D99" s="16"/>
      <c r="E99" s="209">
        <f>ROUND(IF(G17&gt;H17,G17-H17,0),0)</f>
        <v>0</v>
      </c>
      <c r="F99" s="212">
        <f>ROUND(IF(H17&lt;G17,0,H17-G17),0)</f>
        <v>0</v>
      </c>
      <c r="G99" s="4"/>
    </row>
    <row r="100" spans="1:7">
      <c r="A100" s="202" t="s">
        <v>1379</v>
      </c>
      <c r="B100" s="67"/>
      <c r="C100" s="67"/>
      <c r="D100" s="67"/>
      <c r="E100" s="210">
        <f>SUM(E86:E99)-E96-E97</f>
        <v>0</v>
      </c>
      <c r="F100" s="203">
        <f>SUM(F86:F99)-F96-F97</f>
        <v>0</v>
      </c>
      <c r="G100" s="89" t="str">
        <f>IF((ROUND(E100,0)=(ROUND(F100,0)))," ",CONCATENATE((TEXT((ABS(E100-F100)),"$#,##_);($#,##)"))," rounding"))</f>
        <v xml:space="preserve"> </v>
      </c>
    </row>
    <row r="101" spans="1:7">
      <c r="G101" s="85"/>
    </row>
    <row r="103" spans="1:7">
      <c r="G103" s="85"/>
    </row>
  </sheetData>
  <mergeCells count="15">
    <mergeCell ref="D34:G34"/>
    <mergeCell ref="B82:J82"/>
    <mergeCell ref="B84:J84"/>
    <mergeCell ref="B70:J70"/>
    <mergeCell ref="B72:J72"/>
    <mergeCell ref="B74:J74"/>
    <mergeCell ref="B76:J76"/>
    <mergeCell ref="B78:J78"/>
    <mergeCell ref="B80:J80"/>
    <mergeCell ref="B68:J68"/>
    <mergeCell ref="J36:K36"/>
    <mergeCell ref="H38:K41"/>
    <mergeCell ref="A63:B63"/>
    <mergeCell ref="B64:J64"/>
    <mergeCell ref="B66:J66"/>
  </mergeCells>
  <conditionalFormatting sqref="A58:G61">
    <cfRule type="expression" dxfId="4" priority="2">
      <formula>MOD(ROW(),2)</formula>
    </cfRule>
  </conditionalFormatting>
  <conditionalFormatting sqref="A36:F45">
    <cfRule type="expression" dxfId="3" priority="8">
      <formula>MOD(ROW(),2)</formula>
    </cfRule>
  </conditionalFormatting>
  <conditionalFormatting sqref="A47:D56">
    <cfRule type="expression" dxfId="2" priority="4">
      <formula>MOD(ROW(),2)=0</formula>
    </cfRule>
  </conditionalFormatting>
  <conditionalFormatting sqref="A31:C34">
    <cfRule type="expression" dxfId="1" priority="3">
      <formula>MOD(ROW(),2)=0</formula>
    </cfRule>
  </conditionalFormatting>
  <conditionalFormatting sqref="A85:F100">
    <cfRule type="expression" dxfId="0" priority="1">
      <formula>MOD(ROW(),2)=0</formula>
    </cfRule>
  </conditionalFormatting>
  <pageMargins left="0.7" right="0.7" top="0.75" bottom="0.75" header="0.3" footer="0.3"/>
  <pageSetup scale="72" fitToHeight="8"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T1811"/>
  <sheetViews>
    <sheetView topLeftCell="C1" zoomScaleNormal="100" workbookViewId="0"/>
  </sheetViews>
  <sheetFormatPr defaultRowHeight="15"/>
  <cols>
    <col min="1" max="1" width="10.5703125" style="101" customWidth="1"/>
    <col min="2" max="2" width="43.7109375" style="101" customWidth="1"/>
    <col min="3" max="4" width="13.85546875" style="101" customWidth="1"/>
    <col min="5" max="5" width="18.28515625" style="101" customWidth="1"/>
    <col min="6" max="6" width="3.85546875" style="101" customWidth="1"/>
    <col min="7" max="7" width="18.28515625" style="101" customWidth="1"/>
    <col min="8" max="8" width="20" style="109" customWidth="1"/>
    <col min="9" max="9" width="14.42578125" style="101" customWidth="1"/>
    <col min="10" max="10" width="19.42578125" style="101" customWidth="1"/>
    <col min="11" max="11" width="20" style="109" customWidth="1"/>
    <col min="12" max="12" width="3.85546875" style="101" customWidth="1"/>
    <col min="13" max="13" width="18.28515625" style="101" customWidth="1"/>
    <col min="14" max="14" width="11.85546875" style="101" customWidth="1"/>
    <col min="15" max="15" width="19.42578125" style="101" customWidth="1"/>
    <col min="16" max="16" width="20" style="109" customWidth="1"/>
    <col min="17" max="17" width="3.85546875" style="101" customWidth="1"/>
    <col min="18" max="18" width="13.85546875" style="101" customWidth="1"/>
    <col min="19" max="19" width="22.42578125" style="101" customWidth="1"/>
    <col min="20" max="20" width="14.85546875" style="101" bestFit="1" customWidth="1"/>
    <col min="21" max="16384" width="9.140625" style="101"/>
  </cols>
  <sheetData>
    <row r="1" spans="1:20">
      <c r="A1" s="101" t="s">
        <v>2631</v>
      </c>
      <c r="H1" s="101"/>
    </row>
    <row r="2" spans="1:20">
      <c r="A2" s="101" t="s">
        <v>2640</v>
      </c>
      <c r="H2" s="101"/>
    </row>
    <row r="3" spans="1:20">
      <c r="H3" s="101"/>
    </row>
    <row r="4" spans="1:20">
      <c r="G4" s="102" t="s">
        <v>3</v>
      </c>
      <c r="H4" s="102"/>
      <c r="I4" s="102"/>
      <c r="J4" s="102"/>
      <c r="K4" s="103"/>
      <c r="M4" s="102" t="s">
        <v>4</v>
      </c>
      <c r="N4" s="102"/>
      <c r="O4" s="102"/>
      <c r="P4" s="103"/>
      <c r="R4" s="102" t="s">
        <v>5</v>
      </c>
      <c r="S4" s="102"/>
      <c r="T4" s="102"/>
    </row>
    <row r="5" spans="1:20" ht="120">
      <c r="A5" s="104" t="s">
        <v>0</v>
      </c>
      <c r="B5" s="104" t="s">
        <v>1</v>
      </c>
      <c r="C5" s="104" t="s">
        <v>927</v>
      </c>
      <c r="D5" s="104" t="s">
        <v>928</v>
      </c>
      <c r="E5" s="104" t="s">
        <v>1388</v>
      </c>
      <c r="F5" s="104"/>
      <c r="G5" s="104" t="s">
        <v>6</v>
      </c>
      <c r="H5" s="105" t="s">
        <v>7</v>
      </c>
      <c r="I5" s="104" t="s">
        <v>8</v>
      </c>
      <c r="J5" s="104" t="s">
        <v>9</v>
      </c>
      <c r="K5" s="105" t="s">
        <v>1389</v>
      </c>
      <c r="L5" s="104"/>
      <c r="M5" s="104" t="s">
        <v>6</v>
      </c>
      <c r="N5" s="104" t="s">
        <v>8</v>
      </c>
      <c r="O5" s="104" t="s">
        <v>9</v>
      </c>
      <c r="P5" s="105" t="s">
        <v>1390</v>
      </c>
      <c r="Q5" s="104"/>
      <c r="R5" s="104" t="s">
        <v>10</v>
      </c>
      <c r="S5" s="104" t="s">
        <v>11</v>
      </c>
      <c r="T5" s="104" t="s">
        <v>12</v>
      </c>
    </row>
    <row r="6" spans="1:20">
      <c r="A6" s="8" t="s">
        <v>1356</v>
      </c>
      <c r="B6" s="76" t="s">
        <v>1355</v>
      </c>
      <c r="C6" s="104"/>
      <c r="D6" s="104"/>
      <c r="E6" s="104"/>
      <c r="F6" s="104"/>
      <c r="G6" s="104"/>
      <c r="H6" s="105"/>
      <c r="I6" s="104"/>
      <c r="J6" s="104"/>
      <c r="K6" s="105"/>
      <c r="L6" s="104"/>
      <c r="M6" s="104"/>
      <c r="N6" s="104"/>
      <c r="O6" s="104"/>
      <c r="P6" s="105"/>
      <c r="Q6" s="104"/>
      <c r="R6" s="104"/>
      <c r="S6" s="104"/>
      <c r="T6" s="104"/>
    </row>
    <row r="7" spans="1:20">
      <c r="A7" s="54">
        <v>70505</v>
      </c>
      <c r="B7" s="55" t="s">
        <v>1391</v>
      </c>
      <c r="C7" s="106">
        <v>4.147E-4</v>
      </c>
      <c r="D7" s="106">
        <v>4.6880000000000001E-4</v>
      </c>
      <c r="E7" s="56">
        <v>633547</v>
      </c>
      <c r="F7" s="56"/>
      <c r="G7" s="57">
        <v>36498</v>
      </c>
      <c r="H7" s="107">
        <v>153826</v>
      </c>
      <c r="I7" s="57">
        <v>90479</v>
      </c>
      <c r="J7" s="56">
        <v>0</v>
      </c>
      <c r="K7" s="107">
        <f t="shared" ref="K7:K70" si="0">G7+H7+I7+J7</f>
        <v>280803</v>
      </c>
      <c r="L7" s="56"/>
      <c r="M7" s="57">
        <v>17934</v>
      </c>
      <c r="N7" s="57">
        <v>0</v>
      </c>
      <c r="O7" s="56">
        <v>53472</v>
      </c>
      <c r="P7" s="107">
        <f t="shared" ref="P7:P70" si="1">M7+N7+O7</f>
        <v>71406</v>
      </c>
      <c r="Q7" s="56"/>
      <c r="R7" s="57">
        <v>213506</v>
      </c>
      <c r="S7" s="58">
        <v>-18259</v>
      </c>
      <c r="T7" s="58">
        <v>195247</v>
      </c>
    </row>
    <row r="8" spans="1:20">
      <c r="A8" s="54">
        <v>72265</v>
      </c>
      <c r="B8" s="55" t="s">
        <v>1392</v>
      </c>
      <c r="C8" s="106">
        <v>1.4009999999999999E-4</v>
      </c>
      <c r="D8" s="106">
        <v>1.327E-4</v>
      </c>
      <c r="E8" s="56">
        <v>214034</v>
      </c>
      <c r="F8" s="56"/>
      <c r="G8" s="57">
        <v>12330</v>
      </c>
      <c r="H8" s="107">
        <v>51967</v>
      </c>
      <c r="I8" s="57">
        <v>30567</v>
      </c>
      <c r="J8" s="56">
        <v>6550</v>
      </c>
      <c r="K8" s="107">
        <f t="shared" si="0"/>
        <v>101414</v>
      </c>
      <c r="L8" s="56"/>
      <c r="M8" s="57">
        <v>6059</v>
      </c>
      <c r="N8" s="57">
        <v>0</v>
      </c>
      <c r="O8" s="56">
        <v>3729</v>
      </c>
      <c r="P8" s="107">
        <f t="shared" si="1"/>
        <v>9788</v>
      </c>
      <c r="Q8" s="56"/>
      <c r="R8" s="57">
        <v>72130</v>
      </c>
      <c r="S8" s="58">
        <v>3031</v>
      </c>
      <c r="T8" s="58">
        <v>75161</v>
      </c>
    </row>
    <row r="9" spans="1:20">
      <c r="A9" s="54">
        <v>72593</v>
      </c>
      <c r="B9" s="55" t="s">
        <v>1393</v>
      </c>
      <c r="C9" s="106">
        <v>5.9000000000000003E-6</v>
      </c>
      <c r="D9" s="106">
        <v>0</v>
      </c>
      <c r="E9" s="56">
        <v>9014</v>
      </c>
      <c r="F9" s="56"/>
      <c r="G9" s="57">
        <v>519</v>
      </c>
      <c r="H9" s="107">
        <v>2188</v>
      </c>
      <c r="I9" s="57">
        <v>1287</v>
      </c>
      <c r="J9" s="56">
        <v>3014</v>
      </c>
      <c r="K9" s="107">
        <f t="shared" si="0"/>
        <v>7008</v>
      </c>
      <c r="L9" s="56"/>
      <c r="M9" s="57">
        <v>255</v>
      </c>
      <c r="N9" s="57">
        <v>0</v>
      </c>
      <c r="O9" s="56">
        <v>0</v>
      </c>
      <c r="P9" s="107">
        <f t="shared" si="1"/>
        <v>255</v>
      </c>
      <c r="Q9" s="56"/>
      <c r="R9" s="57">
        <v>3038</v>
      </c>
      <c r="S9" s="58">
        <v>753</v>
      </c>
      <c r="T9" s="58">
        <v>3791</v>
      </c>
    </row>
    <row r="10" spans="1:20">
      <c r="A10" s="54">
        <v>72657</v>
      </c>
      <c r="B10" s="55" t="s">
        <v>1394</v>
      </c>
      <c r="C10" s="106">
        <v>3.9900000000000001E-5</v>
      </c>
      <c r="D10" s="106">
        <v>4.2799999999999997E-5</v>
      </c>
      <c r="E10" s="56">
        <v>60956</v>
      </c>
      <c r="F10" s="56"/>
      <c r="G10" s="57">
        <v>3512</v>
      </c>
      <c r="H10" s="107">
        <v>14801</v>
      </c>
      <c r="I10" s="57">
        <v>8705</v>
      </c>
      <c r="J10" s="56">
        <v>3272</v>
      </c>
      <c r="K10" s="107">
        <f t="shared" si="0"/>
        <v>30290</v>
      </c>
      <c r="L10" s="56"/>
      <c r="M10" s="57">
        <v>1725</v>
      </c>
      <c r="N10" s="57">
        <v>0</v>
      </c>
      <c r="O10" s="56">
        <v>6366</v>
      </c>
      <c r="P10" s="107">
        <f t="shared" si="1"/>
        <v>8091</v>
      </c>
      <c r="Q10" s="56"/>
      <c r="R10" s="57">
        <v>20542</v>
      </c>
      <c r="S10" s="58">
        <v>900</v>
      </c>
      <c r="T10" s="58">
        <v>21442</v>
      </c>
    </row>
    <row r="11" spans="1:20">
      <c r="A11" s="54">
        <v>90001</v>
      </c>
      <c r="B11" s="55" t="s">
        <v>1395</v>
      </c>
      <c r="C11" s="106">
        <v>8.6030000000000004E-4</v>
      </c>
      <c r="D11" s="106">
        <v>8.6910000000000004E-4</v>
      </c>
      <c r="E11" s="56">
        <v>1314300</v>
      </c>
      <c r="F11" s="56"/>
      <c r="G11" s="57">
        <v>75716</v>
      </c>
      <c r="H11" s="107">
        <v>319114</v>
      </c>
      <c r="I11" s="57">
        <v>187700</v>
      </c>
      <c r="J11" s="56">
        <v>11972</v>
      </c>
      <c r="K11" s="107">
        <f t="shared" si="0"/>
        <v>594502</v>
      </c>
      <c r="L11" s="56"/>
      <c r="M11" s="57">
        <v>37204</v>
      </c>
      <c r="N11" s="57">
        <v>0</v>
      </c>
      <c r="O11" s="56">
        <v>15474</v>
      </c>
      <c r="P11" s="107">
        <f t="shared" si="1"/>
        <v>52678</v>
      </c>
      <c r="Q11" s="56"/>
      <c r="R11" s="57">
        <v>442920</v>
      </c>
      <c r="S11" s="58">
        <v>891</v>
      </c>
      <c r="T11" s="58">
        <f>443812-1</f>
        <v>443811</v>
      </c>
    </row>
    <row r="12" spans="1:20">
      <c r="A12" s="54">
        <v>90002</v>
      </c>
      <c r="B12" s="55" t="s">
        <v>1396</v>
      </c>
      <c r="C12" s="106">
        <v>1.06E-5</v>
      </c>
      <c r="D12" s="106">
        <v>1.15E-5</v>
      </c>
      <c r="E12" s="56">
        <v>16194</v>
      </c>
      <c r="F12" s="56"/>
      <c r="G12" s="57">
        <v>933</v>
      </c>
      <c r="H12" s="107">
        <v>3932</v>
      </c>
      <c r="I12" s="57">
        <v>2313</v>
      </c>
      <c r="J12" s="56">
        <v>1497</v>
      </c>
      <c r="K12" s="107">
        <f t="shared" si="0"/>
        <v>8675</v>
      </c>
      <c r="L12" s="56"/>
      <c r="M12" s="57">
        <v>458</v>
      </c>
      <c r="N12" s="57">
        <v>0</v>
      </c>
      <c r="O12" s="56">
        <v>0</v>
      </c>
      <c r="P12" s="107">
        <f t="shared" si="1"/>
        <v>458</v>
      </c>
      <c r="Q12" s="56"/>
      <c r="R12" s="57">
        <v>5457</v>
      </c>
      <c r="S12" s="58">
        <v>563</v>
      </c>
      <c r="T12" s="58">
        <v>6020</v>
      </c>
    </row>
    <row r="13" spans="1:20">
      <c r="A13" s="54">
        <v>90011</v>
      </c>
      <c r="B13" s="55" t="s">
        <v>1397</v>
      </c>
      <c r="C13" s="106">
        <v>1.974E-4</v>
      </c>
      <c r="D13" s="106">
        <v>2.0819999999999999E-4</v>
      </c>
      <c r="E13" s="56">
        <v>301573</v>
      </c>
      <c r="F13" s="56"/>
      <c r="G13" s="57">
        <v>17373</v>
      </c>
      <c r="H13" s="107">
        <v>73222</v>
      </c>
      <c r="I13" s="57">
        <v>43069</v>
      </c>
      <c r="J13" s="56">
        <v>2300</v>
      </c>
      <c r="K13" s="107">
        <f t="shared" si="0"/>
        <v>135964</v>
      </c>
      <c r="L13" s="56"/>
      <c r="M13" s="57">
        <v>8537</v>
      </c>
      <c r="N13" s="57">
        <v>0</v>
      </c>
      <c r="O13" s="56">
        <v>30094</v>
      </c>
      <c r="P13" s="107">
        <f t="shared" si="1"/>
        <v>38631</v>
      </c>
      <c r="Q13" s="56"/>
      <c r="R13" s="57">
        <v>101630</v>
      </c>
      <c r="S13" s="58">
        <v>-7615</v>
      </c>
      <c r="T13" s="58">
        <v>94015</v>
      </c>
    </row>
    <row r="14" spans="1:20">
      <c r="A14" s="54">
        <v>90092</v>
      </c>
      <c r="B14" s="55" t="s">
        <v>1398</v>
      </c>
      <c r="C14" s="106">
        <v>3.5349999999999997E-4</v>
      </c>
      <c r="D14" s="106">
        <v>3.946E-4</v>
      </c>
      <c r="E14" s="56">
        <v>540050</v>
      </c>
      <c r="F14" s="56"/>
      <c r="G14" s="57">
        <v>31112</v>
      </c>
      <c r="H14" s="107">
        <v>131125</v>
      </c>
      <c r="I14" s="57">
        <v>77127</v>
      </c>
      <c r="J14" s="56">
        <v>0</v>
      </c>
      <c r="K14" s="107">
        <f t="shared" si="0"/>
        <v>239364</v>
      </c>
      <c r="L14" s="56"/>
      <c r="M14" s="57">
        <v>15287</v>
      </c>
      <c r="N14" s="57">
        <v>0</v>
      </c>
      <c r="O14" s="56">
        <v>83168</v>
      </c>
      <c r="P14" s="107">
        <f t="shared" si="1"/>
        <v>98455</v>
      </c>
      <c r="Q14" s="56"/>
      <c r="R14" s="57">
        <v>181997</v>
      </c>
      <c r="S14" s="58">
        <v>-42793</v>
      </c>
      <c r="T14" s="58">
        <f>139205-1</f>
        <v>139204</v>
      </c>
    </row>
    <row r="15" spans="1:20">
      <c r="A15" s="54">
        <v>90096</v>
      </c>
      <c r="B15" s="55" t="s">
        <v>1399</v>
      </c>
      <c r="C15" s="106">
        <v>9.7559999999999997E-4</v>
      </c>
      <c r="D15" s="106">
        <v>1.3860999999999999E-3</v>
      </c>
      <c r="E15" s="56">
        <v>1490447</v>
      </c>
      <c r="F15" s="56"/>
      <c r="G15" s="57">
        <v>85864</v>
      </c>
      <c r="H15" s="107">
        <v>361882</v>
      </c>
      <c r="I15" s="57">
        <v>212856</v>
      </c>
      <c r="J15" s="56">
        <v>43597</v>
      </c>
      <c r="K15" s="107">
        <f t="shared" si="0"/>
        <v>704199</v>
      </c>
      <c r="L15" s="56"/>
      <c r="M15" s="57">
        <v>42190</v>
      </c>
      <c r="N15" s="57">
        <v>0</v>
      </c>
      <c r="O15" s="56">
        <v>238564</v>
      </c>
      <c r="P15" s="107">
        <f t="shared" si="1"/>
        <v>280754</v>
      </c>
      <c r="Q15" s="56"/>
      <c r="R15" s="57">
        <v>502282</v>
      </c>
      <c r="S15" s="58">
        <v>-27538</v>
      </c>
      <c r="T15" s="58">
        <v>474744</v>
      </c>
    </row>
    <row r="16" spans="1:20">
      <c r="A16" s="54">
        <v>90098</v>
      </c>
      <c r="B16" s="55" t="s">
        <v>1400</v>
      </c>
      <c r="C16" s="106">
        <v>2.9599999999999998E-4</v>
      </c>
      <c r="D16" s="106">
        <v>2.9280000000000002E-4</v>
      </c>
      <c r="E16" s="56">
        <v>452206</v>
      </c>
      <c r="F16" s="56"/>
      <c r="G16" s="57">
        <v>26051</v>
      </c>
      <c r="H16" s="107">
        <v>109796</v>
      </c>
      <c r="I16" s="57">
        <v>64581</v>
      </c>
      <c r="J16" s="56">
        <v>5581</v>
      </c>
      <c r="K16" s="107">
        <f t="shared" si="0"/>
        <v>206009</v>
      </c>
      <c r="L16" s="56"/>
      <c r="M16" s="57">
        <v>12801</v>
      </c>
      <c r="N16" s="57">
        <v>0</v>
      </c>
      <c r="O16" s="56">
        <v>110893</v>
      </c>
      <c r="P16" s="107">
        <f t="shared" si="1"/>
        <v>123694</v>
      </c>
      <c r="Q16" s="56"/>
      <c r="R16" s="57">
        <v>152394</v>
      </c>
      <c r="S16" s="58">
        <v>-51374</v>
      </c>
      <c r="T16" s="58">
        <v>101020</v>
      </c>
    </row>
    <row r="17" spans="1:20">
      <c r="A17" s="54">
        <v>90099</v>
      </c>
      <c r="B17" s="55" t="s">
        <v>1401</v>
      </c>
      <c r="C17" s="106">
        <v>6.6330000000000002E-4</v>
      </c>
      <c r="D17" s="106">
        <v>4.9330000000000001E-4</v>
      </c>
      <c r="E17" s="56">
        <v>1013339</v>
      </c>
      <c r="F17" s="56"/>
      <c r="G17" s="57">
        <v>58378</v>
      </c>
      <c r="H17" s="107">
        <v>246040</v>
      </c>
      <c r="I17" s="57">
        <v>144719</v>
      </c>
      <c r="J17" s="56">
        <v>89744</v>
      </c>
      <c r="K17" s="107">
        <f t="shared" si="0"/>
        <v>538881</v>
      </c>
      <c r="L17" s="56"/>
      <c r="M17" s="57">
        <v>28684</v>
      </c>
      <c r="N17" s="57">
        <v>0</v>
      </c>
      <c r="O17" s="56">
        <v>44006</v>
      </c>
      <c r="P17" s="107">
        <f t="shared" si="1"/>
        <v>72690</v>
      </c>
      <c r="Q17" s="56"/>
      <c r="R17" s="57">
        <v>341496</v>
      </c>
      <c r="S17" s="58">
        <v>7780</v>
      </c>
      <c r="T17" s="58">
        <v>349276</v>
      </c>
    </row>
    <row r="18" spans="1:20">
      <c r="A18" s="54">
        <v>90101</v>
      </c>
      <c r="B18" s="55" t="s">
        <v>1402</v>
      </c>
      <c r="C18" s="106">
        <v>6.6312000000000003E-3</v>
      </c>
      <c r="D18" s="106">
        <v>6.3996000000000001E-3</v>
      </c>
      <c r="E18" s="56">
        <v>10130637</v>
      </c>
      <c r="F18" s="56"/>
      <c r="G18" s="57">
        <v>583619</v>
      </c>
      <c r="H18" s="107">
        <v>2459731</v>
      </c>
      <c r="I18" s="57">
        <v>1446795</v>
      </c>
      <c r="J18" s="56">
        <v>245836</v>
      </c>
      <c r="K18" s="107">
        <f t="shared" si="0"/>
        <v>4735981</v>
      </c>
      <c r="L18" s="56"/>
      <c r="M18" s="57">
        <v>286766</v>
      </c>
      <c r="N18" s="57">
        <v>0</v>
      </c>
      <c r="O18" s="56">
        <v>25616</v>
      </c>
      <c r="P18" s="107">
        <f t="shared" si="1"/>
        <v>312382</v>
      </c>
      <c r="Q18" s="56"/>
      <c r="R18" s="57">
        <v>3414034</v>
      </c>
      <c r="S18" s="58">
        <v>67895</v>
      </c>
      <c r="T18" s="58">
        <f>3481928+1</f>
        <v>3481929</v>
      </c>
    </row>
    <row r="19" spans="1:20">
      <c r="A19" s="54">
        <v>90111</v>
      </c>
      <c r="B19" s="55" t="s">
        <v>1403</v>
      </c>
      <c r="C19" s="106">
        <v>4.9740000000000001E-3</v>
      </c>
      <c r="D19" s="106">
        <v>4.8874000000000001E-3</v>
      </c>
      <c r="E19" s="56">
        <v>7598894</v>
      </c>
      <c r="F19" s="56"/>
      <c r="G19" s="57">
        <v>437767</v>
      </c>
      <c r="H19" s="107">
        <v>1845021</v>
      </c>
      <c r="I19" s="57">
        <v>1085227</v>
      </c>
      <c r="J19" s="56">
        <v>15088</v>
      </c>
      <c r="K19" s="107">
        <f t="shared" si="0"/>
        <v>3383103</v>
      </c>
      <c r="L19" s="56"/>
      <c r="M19" s="57">
        <v>215101</v>
      </c>
      <c r="N19" s="57">
        <v>0</v>
      </c>
      <c r="O19" s="56">
        <v>106602</v>
      </c>
      <c r="P19" s="107">
        <f t="shared" si="1"/>
        <v>321703</v>
      </c>
      <c r="Q19" s="56"/>
      <c r="R19" s="57">
        <v>2560834</v>
      </c>
      <c r="S19" s="58">
        <v>-53609</v>
      </c>
      <c r="T19" s="58">
        <v>2507225</v>
      </c>
    </row>
    <row r="20" spans="1:20">
      <c r="A20" s="54">
        <v>90114</v>
      </c>
      <c r="B20" s="55" t="s">
        <v>1404</v>
      </c>
      <c r="C20" s="106">
        <v>1.0919E-3</v>
      </c>
      <c r="D20" s="106">
        <v>1.0681E-3</v>
      </c>
      <c r="E20" s="56">
        <v>1668121</v>
      </c>
      <c r="F20" s="56"/>
      <c r="G20" s="57">
        <v>96099</v>
      </c>
      <c r="H20" s="107">
        <v>405022</v>
      </c>
      <c r="I20" s="57">
        <v>238231</v>
      </c>
      <c r="J20" s="56">
        <v>1077044</v>
      </c>
      <c r="K20" s="107">
        <f t="shared" si="0"/>
        <v>1816396</v>
      </c>
      <c r="L20" s="56"/>
      <c r="M20" s="57">
        <v>47219</v>
      </c>
      <c r="N20" s="57">
        <v>0</v>
      </c>
      <c r="O20" s="56">
        <v>0</v>
      </c>
      <c r="P20" s="107">
        <f t="shared" si="1"/>
        <v>47219</v>
      </c>
      <c r="Q20" s="56"/>
      <c r="R20" s="57">
        <v>562158</v>
      </c>
      <c r="S20" s="58">
        <v>371192</v>
      </c>
      <c r="T20" s="58">
        <v>933350</v>
      </c>
    </row>
    <row r="21" spans="1:20">
      <c r="A21" s="54">
        <v>90117</v>
      </c>
      <c r="B21" s="55" t="s">
        <v>1405</v>
      </c>
      <c r="C21" s="106">
        <v>1.407E-4</v>
      </c>
      <c r="D21" s="106">
        <v>1.35E-4</v>
      </c>
      <c r="E21" s="56">
        <v>214951</v>
      </c>
      <c r="F21" s="56"/>
      <c r="G21" s="57">
        <v>12383</v>
      </c>
      <c r="H21" s="107">
        <v>52190</v>
      </c>
      <c r="I21" s="57">
        <v>30698</v>
      </c>
      <c r="J21" s="56">
        <v>44526</v>
      </c>
      <c r="K21" s="107">
        <f t="shared" si="0"/>
        <v>139797</v>
      </c>
      <c r="L21" s="56"/>
      <c r="M21" s="57">
        <v>6085</v>
      </c>
      <c r="N21" s="57">
        <v>0</v>
      </c>
      <c r="O21" s="56">
        <v>0</v>
      </c>
      <c r="P21" s="107">
        <f t="shared" si="1"/>
        <v>6085</v>
      </c>
      <c r="Q21" s="56"/>
      <c r="R21" s="57">
        <v>72439</v>
      </c>
      <c r="S21" s="58">
        <v>18359</v>
      </c>
      <c r="T21" s="58">
        <f>90797+1</f>
        <v>90798</v>
      </c>
    </row>
    <row r="22" spans="1:20">
      <c r="A22" s="54">
        <v>90121</v>
      </c>
      <c r="B22" s="55" t="s">
        <v>1406</v>
      </c>
      <c r="C22" s="106">
        <v>1.0991E-3</v>
      </c>
      <c r="D22" s="106">
        <v>1.0789E-3</v>
      </c>
      <c r="E22" s="56">
        <v>1679120</v>
      </c>
      <c r="F22" s="56"/>
      <c r="G22" s="57">
        <v>96733</v>
      </c>
      <c r="H22" s="107">
        <v>407692</v>
      </c>
      <c r="I22" s="57">
        <v>239802</v>
      </c>
      <c r="J22" s="56">
        <v>3244</v>
      </c>
      <c r="K22" s="107">
        <f t="shared" si="0"/>
        <v>747471</v>
      </c>
      <c r="L22" s="56"/>
      <c r="M22" s="57">
        <v>47531</v>
      </c>
      <c r="N22" s="57">
        <v>0</v>
      </c>
      <c r="O22" s="56">
        <v>81552</v>
      </c>
      <c r="P22" s="107">
        <f t="shared" si="1"/>
        <v>129083</v>
      </c>
      <c r="Q22" s="56"/>
      <c r="R22" s="57">
        <v>565865</v>
      </c>
      <c r="S22" s="58">
        <v>-25049</v>
      </c>
      <c r="T22" s="58">
        <v>540816</v>
      </c>
    </row>
    <row r="23" spans="1:20">
      <c r="A23" s="54">
        <v>90131</v>
      </c>
      <c r="B23" s="55" t="s">
        <v>1407</v>
      </c>
      <c r="C23" s="106">
        <v>4.7639999999999998E-4</v>
      </c>
      <c r="D23" s="106">
        <v>5.0440000000000001E-4</v>
      </c>
      <c r="E23" s="56">
        <v>727807</v>
      </c>
      <c r="F23" s="56"/>
      <c r="G23" s="57">
        <v>41928</v>
      </c>
      <c r="H23" s="107">
        <v>176712</v>
      </c>
      <c r="I23" s="57">
        <v>103941</v>
      </c>
      <c r="J23" s="56">
        <v>0</v>
      </c>
      <c r="K23" s="107">
        <f t="shared" si="0"/>
        <v>322581</v>
      </c>
      <c r="L23" s="56"/>
      <c r="M23" s="57">
        <v>20602</v>
      </c>
      <c r="N23" s="57">
        <v>0</v>
      </c>
      <c r="O23" s="56">
        <v>42066</v>
      </c>
      <c r="P23" s="107">
        <f t="shared" si="1"/>
        <v>62668</v>
      </c>
      <c r="Q23" s="56"/>
      <c r="R23" s="57">
        <v>245272</v>
      </c>
      <c r="S23" s="58">
        <v>-15937</v>
      </c>
      <c r="T23" s="58">
        <v>229335</v>
      </c>
    </row>
    <row r="24" spans="1:20">
      <c r="A24" s="54">
        <v>90141</v>
      </c>
      <c r="B24" s="55" t="s">
        <v>1408</v>
      </c>
      <c r="C24" s="106">
        <v>1.4779999999999999E-4</v>
      </c>
      <c r="D24" s="106">
        <v>1.306E-4</v>
      </c>
      <c r="E24" s="56">
        <v>225797</v>
      </c>
      <c r="F24" s="56"/>
      <c r="G24" s="57">
        <v>13008</v>
      </c>
      <c r="H24" s="107">
        <v>54824</v>
      </c>
      <c r="I24" s="57">
        <v>32247</v>
      </c>
      <c r="J24" s="56">
        <v>8660</v>
      </c>
      <c r="K24" s="107">
        <f t="shared" si="0"/>
        <v>108739</v>
      </c>
      <c r="L24" s="56"/>
      <c r="M24" s="57">
        <v>6392</v>
      </c>
      <c r="N24" s="57">
        <v>0</v>
      </c>
      <c r="O24" s="56">
        <v>10174</v>
      </c>
      <c r="P24" s="107">
        <f t="shared" si="1"/>
        <v>16566</v>
      </c>
      <c r="Q24" s="56"/>
      <c r="R24" s="57">
        <v>76094</v>
      </c>
      <c r="S24" s="58">
        <v>-857</v>
      </c>
      <c r="T24" s="58">
        <v>75237</v>
      </c>
    </row>
    <row r="25" spans="1:20">
      <c r="A25" s="54">
        <v>90151</v>
      </c>
      <c r="B25" s="55" t="s">
        <v>1409</v>
      </c>
      <c r="C25" s="106">
        <v>9.9000000000000001E-6</v>
      </c>
      <c r="D25" s="106">
        <v>1.0000000000000001E-5</v>
      </c>
      <c r="E25" s="56">
        <v>15124</v>
      </c>
      <c r="F25" s="56"/>
      <c r="G25" s="57">
        <v>871</v>
      </c>
      <c r="H25" s="107">
        <v>3672</v>
      </c>
      <c r="I25" s="57">
        <v>2160</v>
      </c>
      <c r="J25" s="56">
        <v>0</v>
      </c>
      <c r="K25" s="107">
        <f t="shared" si="0"/>
        <v>6703</v>
      </c>
      <c r="L25" s="56"/>
      <c r="M25" s="57">
        <v>428</v>
      </c>
      <c r="N25" s="57">
        <v>0</v>
      </c>
      <c r="O25" s="56">
        <v>2719</v>
      </c>
      <c r="P25" s="107">
        <f t="shared" si="1"/>
        <v>3147</v>
      </c>
      <c r="Q25" s="56"/>
      <c r="R25" s="57">
        <v>5097</v>
      </c>
      <c r="S25" s="58">
        <v>-1090</v>
      </c>
      <c r="T25" s="58">
        <v>4007</v>
      </c>
    </row>
    <row r="26" spans="1:20">
      <c r="A26" s="54">
        <v>90161</v>
      </c>
      <c r="B26" s="55" t="s">
        <v>1410</v>
      </c>
      <c r="C26" s="106">
        <v>3.4199999999999998E-5</v>
      </c>
      <c r="D26" s="106">
        <v>3.4799999999999999E-5</v>
      </c>
      <c r="E26" s="56">
        <v>52248</v>
      </c>
      <c r="F26" s="56"/>
      <c r="G26" s="57">
        <v>3010</v>
      </c>
      <c r="H26" s="107">
        <v>12686</v>
      </c>
      <c r="I26" s="57">
        <v>7462</v>
      </c>
      <c r="J26" s="56">
        <v>4022</v>
      </c>
      <c r="K26" s="107">
        <f t="shared" si="0"/>
        <v>27180</v>
      </c>
      <c r="L26" s="56"/>
      <c r="M26" s="57">
        <v>1479</v>
      </c>
      <c r="N26" s="57">
        <v>0</v>
      </c>
      <c r="O26" s="56">
        <v>462</v>
      </c>
      <c r="P26" s="107">
        <f t="shared" si="1"/>
        <v>1941</v>
      </c>
      <c r="Q26" s="56"/>
      <c r="R26" s="57">
        <v>17608</v>
      </c>
      <c r="S26" s="58">
        <v>1591</v>
      </c>
      <c r="T26" s="58">
        <v>19199</v>
      </c>
    </row>
    <row r="27" spans="1:20">
      <c r="A27" s="54">
        <v>90201</v>
      </c>
      <c r="B27" s="55" t="s">
        <v>1411</v>
      </c>
      <c r="C27" s="106">
        <v>1.2126999999999999E-3</v>
      </c>
      <c r="D27" s="106">
        <v>1.2419E-3</v>
      </c>
      <c r="E27" s="56">
        <v>1852670</v>
      </c>
      <c r="F27" s="56"/>
      <c r="G27" s="57">
        <v>106731</v>
      </c>
      <c r="H27" s="107">
        <v>449830</v>
      </c>
      <c r="I27" s="57">
        <v>264587</v>
      </c>
      <c r="J27" s="56">
        <v>36621</v>
      </c>
      <c r="K27" s="107">
        <f t="shared" si="0"/>
        <v>857769</v>
      </c>
      <c r="L27" s="56"/>
      <c r="M27" s="57">
        <v>52443</v>
      </c>
      <c r="N27" s="57">
        <v>0</v>
      </c>
      <c r="O27" s="56">
        <v>36396</v>
      </c>
      <c r="P27" s="107">
        <f t="shared" si="1"/>
        <v>88839</v>
      </c>
      <c r="Q27" s="56"/>
      <c r="R27" s="57">
        <v>624351</v>
      </c>
      <c r="S27" s="58">
        <v>24941</v>
      </c>
      <c r="T27" s="58">
        <v>649292</v>
      </c>
    </row>
    <row r="28" spans="1:20">
      <c r="A28" s="54">
        <v>90203</v>
      </c>
      <c r="B28" s="55" t="s">
        <v>1412</v>
      </c>
      <c r="C28" s="106">
        <v>1.994E-4</v>
      </c>
      <c r="D28" s="106">
        <v>2.3680000000000001E-4</v>
      </c>
      <c r="E28" s="56">
        <v>304628</v>
      </c>
      <c r="F28" s="56"/>
      <c r="G28" s="57">
        <v>17549</v>
      </c>
      <c r="H28" s="107">
        <v>73964</v>
      </c>
      <c r="I28" s="57">
        <v>43505</v>
      </c>
      <c r="J28" s="56">
        <v>2154</v>
      </c>
      <c r="K28" s="107">
        <f t="shared" si="0"/>
        <v>137172</v>
      </c>
      <c r="L28" s="56"/>
      <c r="M28" s="57">
        <v>8623</v>
      </c>
      <c r="N28" s="57">
        <v>0</v>
      </c>
      <c r="O28" s="56">
        <v>49077</v>
      </c>
      <c r="P28" s="107">
        <f t="shared" si="1"/>
        <v>57700</v>
      </c>
      <c r="Q28" s="56"/>
      <c r="R28" s="57">
        <v>102660</v>
      </c>
      <c r="S28" s="58">
        <v>-18026</v>
      </c>
      <c r="T28" s="58">
        <v>84634</v>
      </c>
    </row>
    <row r="29" spans="1:20">
      <c r="A29" s="54">
        <v>90205</v>
      </c>
      <c r="B29" s="55" t="s">
        <v>1413</v>
      </c>
      <c r="C29" s="106">
        <v>3.0000000000000001E-5</v>
      </c>
      <c r="D29" s="106">
        <v>3.3599999999999997E-5</v>
      </c>
      <c r="E29" s="56">
        <v>45832</v>
      </c>
      <c r="F29" s="56"/>
      <c r="G29" s="57">
        <v>2640</v>
      </c>
      <c r="H29" s="107">
        <v>11128</v>
      </c>
      <c r="I29" s="57">
        <v>6545</v>
      </c>
      <c r="J29" s="56">
        <v>769</v>
      </c>
      <c r="K29" s="107">
        <f t="shared" si="0"/>
        <v>21082</v>
      </c>
      <c r="L29" s="56"/>
      <c r="M29" s="57">
        <v>1297</v>
      </c>
      <c r="N29" s="57">
        <v>0</v>
      </c>
      <c r="O29" s="56">
        <v>2625</v>
      </c>
      <c r="P29" s="107">
        <f t="shared" si="1"/>
        <v>3922</v>
      </c>
      <c r="Q29" s="56"/>
      <c r="R29" s="57">
        <v>15445</v>
      </c>
      <c r="S29" s="58">
        <v>-105</v>
      </c>
      <c r="T29" s="58">
        <v>15340</v>
      </c>
    </row>
    <row r="30" spans="1:20">
      <c r="A30" s="54">
        <v>90206</v>
      </c>
      <c r="B30" s="55" t="s">
        <v>1414</v>
      </c>
      <c r="C30" s="106">
        <v>4.2069999999999998E-4</v>
      </c>
      <c r="D30" s="106">
        <v>4.347E-4</v>
      </c>
      <c r="E30" s="56">
        <v>642713</v>
      </c>
      <c r="F30" s="56"/>
      <c r="G30" s="57">
        <v>37026</v>
      </c>
      <c r="H30" s="107">
        <v>156051</v>
      </c>
      <c r="I30" s="57">
        <v>91788</v>
      </c>
      <c r="J30" s="56">
        <v>8978</v>
      </c>
      <c r="K30" s="107">
        <f t="shared" si="0"/>
        <v>293843</v>
      </c>
      <c r="L30" s="56"/>
      <c r="M30" s="57">
        <v>18193</v>
      </c>
      <c r="N30" s="57">
        <v>0</v>
      </c>
      <c r="O30" s="56">
        <v>25382</v>
      </c>
      <c r="P30" s="107">
        <f t="shared" si="1"/>
        <v>43575</v>
      </c>
      <c r="Q30" s="56"/>
      <c r="R30" s="57">
        <v>216595</v>
      </c>
      <c r="S30" s="58">
        <v>1315</v>
      </c>
      <c r="T30" s="58">
        <v>217910</v>
      </c>
    </row>
    <row r="31" spans="1:20">
      <c r="A31" s="54">
        <v>90211</v>
      </c>
      <c r="B31" s="55" t="s">
        <v>1415</v>
      </c>
      <c r="C31" s="106">
        <v>1.4799999999999999E-4</v>
      </c>
      <c r="D31" s="106">
        <v>1.5689999999999999E-4</v>
      </c>
      <c r="E31" s="56">
        <v>226103</v>
      </c>
      <c r="F31" s="56"/>
      <c r="G31" s="57">
        <v>13026</v>
      </c>
      <c r="H31" s="107">
        <v>54898</v>
      </c>
      <c r="I31" s="57">
        <v>32291</v>
      </c>
      <c r="J31" s="56">
        <v>0</v>
      </c>
      <c r="K31" s="107">
        <f t="shared" si="0"/>
        <v>100215</v>
      </c>
      <c r="L31" s="56"/>
      <c r="M31" s="57">
        <v>6400</v>
      </c>
      <c r="N31" s="57">
        <v>0</v>
      </c>
      <c r="O31" s="56">
        <v>15344</v>
      </c>
      <c r="P31" s="107">
        <f t="shared" si="1"/>
        <v>21744</v>
      </c>
      <c r="Q31" s="56"/>
      <c r="R31" s="57">
        <v>76197</v>
      </c>
      <c r="S31" s="58">
        <v>-6134</v>
      </c>
      <c r="T31" s="58">
        <v>70063</v>
      </c>
    </row>
    <row r="32" spans="1:20">
      <c r="A32" s="54">
        <v>90301</v>
      </c>
      <c r="B32" s="55" t="s">
        <v>1416</v>
      </c>
      <c r="C32" s="106">
        <v>6.7040000000000003E-4</v>
      </c>
      <c r="D32" s="106">
        <v>6.4000000000000005E-4</v>
      </c>
      <c r="E32" s="56">
        <v>1024185</v>
      </c>
      <c r="F32" s="56"/>
      <c r="G32" s="57">
        <v>59003</v>
      </c>
      <c r="H32" s="107">
        <v>248673</v>
      </c>
      <c r="I32" s="57">
        <v>146268</v>
      </c>
      <c r="J32" s="56">
        <v>4314</v>
      </c>
      <c r="K32" s="107">
        <f t="shared" si="0"/>
        <v>458258</v>
      </c>
      <c r="L32" s="56"/>
      <c r="M32" s="57">
        <v>28991</v>
      </c>
      <c r="N32" s="57">
        <v>0</v>
      </c>
      <c r="O32" s="56">
        <v>13341</v>
      </c>
      <c r="P32" s="107">
        <f t="shared" si="1"/>
        <v>42332</v>
      </c>
      <c r="Q32" s="56"/>
      <c r="R32" s="57">
        <v>345151</v>
      </c>
      <c r="S32" s="58">
        <v>-5567</v>
      </c>
      <c r="T32" s="58">
        <v>339584</v>
      </c>
    </row>
    <row r="33" spans="1:20">
      <c r="A33" s="54">
        <v>90305</v>
      </c>
      <c r="B33" s="55" t="s">
        <v>1417</v>
      </c>
      <c r="C33" s="106">
        <v>1.617E-4</v>
      </c>
      <c r="D33" s="106">
        <v>1.7009999999999999E-4</v>
      </c>
      <c r="E33" s="56">
        <v>247033</v>
      </c>
      <c r="F33" s="56"/>
      <c r="G33" s="57">
        <v>14231</v>
      </c>
      <c r="H33" s="107">
        <v>59980</v>
      </c>
      <c r="I33" s="57">
        <v>35280</v>
      </c>
      <c r="J33" s="56">
        <v>20715</v>
      </c>
      <c r="K33" s="107">
        <f t="shared" si="0"/>
        <v>130206</v>
      </c>
      <c r="L33" s="56"/>
      <c r="M33" s="57">
        <v>6993</v>
      </c>
      <c r="N33" s="57">
        <v>0</v>
      </c>
      <c r="O33" s="56">
        <v>0</v>
      </c>
      <c r="P33" s="107">
        <f t="shared" si="1"/>
        <v>6993</v>
      </c>
      <c r="Q33" s="56"/>
      <c r="R33" s="57">
        <v>83250</v>
      </c>
      <c r="S33" s="58">
        <v>10025</v>
      </c>
      <c r="T33" s="58">
        <v>93275</v>
      </c>
    </row>
    <row r="34" spans="1:20">
      <c r="A34" s="54">
        <v>90307</v>
      </c>
      <c r="B34" s="55" t="s">
        <v>1418</v>
      </c>
      <c r="C34" s="106">
        <v>7.7999999999999999E-6</v>
      </c>
      <c r="D34" s="106">
        <v>7.7000000000000008E-6</v>
      </c>
      <c r="E34" s="56">
        <v>11916</v>
      </c>
      <c r="F34" s="56"/>
      <c r="G34" s="57">
        <v>686</v>
      </c>
      <c r="H34" s="107">
        <v>2893</v>
      </c>
      <c r="I34" s="57">
        <v>1702</v>
      </c>
      <c r="J34" s="56">
        <v>647</v>
      </c>
      <c r="K34" s="107">
        <f t="shared" si="0"/>
        <v>5928</v>
      </c>
      <c r="L34" s="56"/>
      <c r="M34" s="57">
        <v>337</v>
      </c>
      <c r="N34" s="57">
        <v>0</v>
      </c>
      <c r="O34" s="56">
        <v>40</v>
      </c>
      <c r="P34" s="107">
        <f t="shared" si="1"/>
        <v>377</v>
      </c>
      <c r="Q34" s="56"/>
      <c r="R34" s="57">
        <v>4016</v>
      </c>
      <c r="S34" s="58">
        <v>160</v>
      </c>
      <c r="T34" s="58">
        <v>4176</v>
      </c>
    </row>
    <row r="35" spans="1:20">
      <c r="A35" s="54">
        <v>90401</v>
      </c>
      <c r="B35" s="55" t="s">
        <v>1419</v>
      </c>
      <c r="C35" s="106">
        <v>1.3270999999999999E-3</v>
      </c>
      <c r="D35" s="106">
        <v>1.3626999999999999E-3</v>
      </c>
      <c r="E35" s="56">
        <v>2027441</v>
      </c>
      <c r="F35" s="56"/>
      <c r="G35" s="57">
        <v>116799</v>
      </c>
      <c r="H35" s="107">
        <v>492266</v>
      </c>
      <c r="I35" s="57">
        <v>289547</v>
      </c>
      <c r="J35" s="56">
        <v>44019</v>
      </c>
      <c r="K35" s="107">
        <f t="shared" si="0"/>
        <v>942631</v>
      </c>
      <c r="L35" s="56"/>
      <c r="M35" s="57">
        <v>57390</v>
      </c>
      <c r="N35" s="57">
        <v>0</v>
      </c>
      <c r="O35" s="56">
        <v>11305</v>
      </c>
      <c r="P35" s="107">
        <f t="shared" si="1"/>
        <v>68695</v>
      </c>
      <c r="Q35" s="56"/>
      <c r="R35" s="57">
        <v>683249</v>
      </c>
      <c r="S35" s="58">
        <v>23981</v>
      </c>
      <c r="T35" s="58">
        <v>707230</v>
      </c>
    </row>
    <row r="36" spans="1:20">
      <c r="A36" s="54">
        <v>90411</v>
      </c>
      <c r="B36" s="55" t="s">
        <v>1420</v>
      </c>
      <c r="C36" s="106">
        <v>3.5100000000000002E-4</v>
      </c>
      <c r="D36" s="106">
        <v>3.5490000000000001E-4</v>
      </c>
      <c r="E36" s="56">
        <v>536231</v>
      </c>
      <c r="F36" s="56"/>
      <c r="G36" s="57">
        <v>30892</v>
      </c>
      <c r="H36" s="107">
        <v>130197</v>
      </c>
      <c r="I36" s="57">
        <v>76581</v>
      </c>
      <c r="J36" s="56">
        <v>0</v>
      </c>
      <c r="K36" s="107">
        <f t="shared" si="0"/>
        <v>237670</v>
      </c>
      <c r="L36" s="56"/>
      <c r="M36" s="57">
        <v>15179</v>
      </c>
      <c r="N36" s="57">
        <v>0</v>
      </c>
      <c r="O36" s="56">
        <v>41985</v>
      </c>
      <c r="P36" s="107">
        <f t="shared" si="1"/>
        <v>57164</v>
      </c>
      <c r="Q36" s="56"/>
      <c r="R36" s="57">
        <v>180710</v>
      </c>
      <c r="S36" s="58">
        <v>-15971</v>
      </c>
      <c r="T36" s="58">
        <v>164739</v>
      </c>
    </row>
    <row r="37" spans="1:20">
      <c r="A37" s="54">
        <v>90413</v>
      </c>
      <c r="B37" s="55" t="s">
        <v>1421</v>
      </c>
      <c r="C37" s="106">
        <v>3.4600000000000001E-5</v>
      </c>
      <c r="D37" s="106">
        <v>3.7299999999999999E-5</v>
      </c>
      <c r="E37" s="56">
        <v>52859</v>
      </c>
      <c r="F37" s="56"/>
      <c r="G37" s="57">
        <v>3045</v>
      </c>
      <c r="H37" s="107">
        <v>12834</v>
      </c>
      <c r="I37" s="57">
        <v>7549</v>
      </c>
      <c r="J37" s="56">
        <v>5923</v>
      </c>
      <c r="K37" s="107">
        <f t="shared" si="0"/>
        <v>29351</v>
      </c>
      <c r="L37" s="56"/>
      <c r="M37" s="57">
        <v>1496</v>
      </c>
      <c r="N37" s="57">
        <v>0</v>
      </c>
      <c r="O37" s="56">
        <v>916</v>
      </c>
      <c r="P37" s="107">
        <f t="shared" si="1"/>
        <v>2412</v>
      </c>
      <c r="Q37" s="56"/>
      <c r="R37" s="57">
        <v>17814</v>
      </c>
      <c r="S37" s="58">
        <v>3416</v>
      </c>
      <c r="T37" s="58">
        <v>21230</v>
      </c>
    </row>
    <row r="38" spans="1:20">
      <c r="A38" s="54">
        <v>90417</v>
      </c>
      <c r="B38" s="55" t="s">
        <v>1422</v>
      </c>
      <c r="C38" s="106">
        <v>1.17E-5</v>
      </c>
      <c r="D38" s="106">
        <v>1.2099999999999999E-5</v>
      </c>
      <c r="E38" s="56">
        <v>17874</v>
      </c>
      <c r="F38" s="56"/>
      <c r="G38" s="57">
        <v>1030</v>
      </c>
      <c r="H38" s="107">
        <v>4340</v>
      </c>
      <c r="I38" s="57">
        <v>2553</v>
      </c>
      <c r="J38" s="56">
        <v>3477</v>
      </c>
      <c r="K38" s="107">
        <f t="shared" si="0"/>
        <v>11400</v>
      </c>
      <c r="L38" s="56"/>
      <c r="M38" s="57">
        <v>506</v>
      </c>
      <c r="N38" s="57">
        <v>0</v>
      </c>
      <c r="O38" s="56">
        <v>0</v>
      </c>
      <c r="P38" s="107">
        <f t="shared" si="1"/>
        <v>506</v>
      </c>
      <c r="Q38" s="56"/>
      <c r="R38" s="57">
        <v>6024</v>
      </c>
      <c r="S38" s="58">
        <v>1221</v>
      </c>
      <c r="T38" s="58">
        <f>7244+1</f>
        <v>7245</v>
      </c>
    </row>
    <row r="39" spans="1:20">
      <c r="A39" s="54">
        <v>90421</v>
      </c>
      <c r="B39" s="55" t="s">
        <v>1423</v>
      </c>
      <c r="C39" s="106">
        <v>2.19E-5</v>
      </c>
      <c r="D39" s="106">
        <v>2.3600000000000001E-5</v>
      </c>
      <c r="E39" s="56">
        <v>33457</v>
      </c>
      <c r="F39" s="56"/>
      <c r="G39" s="57">
        <v>1927</v>
      </c>
      <c r="H39" s="107">
        <v>8123</v>
      </c>
      <c r="I39" s="57">
        <v>4778</v>
      </c>
      <c r="J39" s="56">
        <v>0</v>
      </c>
      <c r="K39" s="107">
        <f t="shared" si="0"/>
        <v>14828</v>
      </c>
      <c r="L39" s="56"/>
      <c r="M39" s="57">
        <v>947</v>
      </c>
      <c r="N39" s="57">
        <v>0</v>
      </c>
      <c r="O39" s="56">
        <v>4721</v>
      </c>
      <c r="P39" s="107">
        <f t="shared" si="1"/>
        <v>5668</v>
      </c>
      <c r="Q39" s="56"/>
      <c r="R39" s="57">
        <v>11275</v>
      </c>
      <c r="S39" s="58">
        <v>-1814</v>
      </c>
      <c r="T39" s="58">
        <v>9461</v>
      </c>
    </row>
    <row r="40" spans="1:20">
      <c r="A40" s="54">
        <v>90431</v>
      </c>
      <c r="B40" s="55" t="s">
        <v>1424</v>
      </c>
      <c r="C40" s="106">
        <v>4.8300000000000002E-5</v>
      </c>
      <c r="D40" s="106">
        <v>4.2799999999999997E-5</v>
      </c>
      <c r="E40" s="56">
        <v>73789</v>
      </c>
      <c r="F40" s="56"/>
      <c r="G40" s="57">
        <v>4251</v>
      </c>
      <c r="H40" s="107">
        <v>17916</v>
      </c>
      <c r="I40" s="57">
        <v>10538</v>
      </c>
      <c r="J40" s="56">
        <v>8663</v>
      </c>
      <c r="K40" s="107">
        <f t="shared" si="0"/>
        <v>41368</v>
      </c>
      <c r="L40" s="56"/>
      <c r="M40" s="57">
        <v>2089</v>
      </c>
      <c r="N40" s="57">
        <v>0</v>
      </c>
      <c r="O40" s="56">
        <v>1273</v>
      </c>
      <c r="P40" s="107">
        <f t="shared" si="1"/>
        <v>3362</v>
      </c>
      <c r="Q40" s="56"/>
      <c r="R40" s="57">
        <v>24867</v>
      </c>
      <c r="S40" s="58">
        <v>3649</v>
      </c>
      <c r="T40" s="58">
        <v>28516</v>
      </c>
    </row>
    <row r="41" spans="1:20">
      <c r="A41" s="54">
        <v>90441</v>
      </c>
      <c r="B41" s="55" t="s">
        <v>1425</v>
      </c>
      <c r="C41" s="106">
        <v>8.3999999999999992E-6</v>
      </c>
      <c r="D41" s="106">
        <v>9.3999999999999998E-6</v>
      </c>
      <c r="E41" s="56">
        <v>12833</v>
      </c>
      <c r="F41" s="56"/>
      <c r="G41" s="57">
        <v>739</v>
      </c>
      <c r="H41" s="107">
        <v>3115</v>
      </c>
      <c r="I41" s="57">
        <v>1833</v>
      </c>
      <c r="J41" s="56">
        <v>890</v>
      </c>
      <c r="K41" s="107">
        <f t="shared" si="0"/>
        <v>6577</v>
      </c>
      <c r="L41" s="56"/>
      <c r="M41" s="57">
        <v>363</v>
      </c>
      <c r="N41" s="57">
        <v>0</v>
      </c>
      <c r="O41" s="56">
        <v>129</v>
      </c>
      <c r="P41" s="107">
        <f t="shared" si="1"/>
        <v>492</v>
      </c>
      <c r="Q41" s="56"/>
      <c r="R41" s="57">
        <v>4325</v>
      </c>
      <c r="S41" s="58">
        <v>621</v>
      </c>
      <c r="T41" s="58">
        <v>4946</v>
      </c>
    </row>
    <row r="42" spans="1:20">
      <c r="A42" s="54">
        <v>90451</v>
      </c>
      <c r="B42" s="55" t="s">
        <v>1426</v>
      </c>
      <c r="C42" s="106">
        <v>1.6699999999999999E-5</v>
      </c>
      <c r="D42" s="106">
        <v>1.7900000000000001E-5</v>
      </c>
      <c r="E42" s="56">
        <v>25513</v>
      </c>
      <c r="F42" s="56"/>
      <c r="G42" s="57">
        <v>1470</v>
      </c>
      <c r="H42" s="107">
        <v>6194</v>
      </c>
      <c r="I42" s="57">
        <v>3644</v>
      </c>
      <c r="J42" s="56">
        <v>2202</v>
      </c>
      <c r="K42" s="107">
        <f t="shared" si="0"/>
        <v>13510</v>
      </c>
      <c r="L42" s="56"/>
      <c r="M42" s="57">
        <v>722</v>
      </c>
      <c r="N42" s="57">
        <v>0</v>
      </c>
      <c r="O42" s="56">
        <v>903</v>
      </c>
      <c r="P42" s="107">
        <f t="shared" si="1"/>
        <v>1625</v>
      </c>
      <c r="Q42" s="56"/>
      <c r="R42" s="57">
        <v>8598</v>
      </c>
      <c r="S42" s="58">
        <v>635</v>
      </c>
      <c r="T42" s="58">
        <f>9232+1</f>
        <v>9233</v>
      </c>
    </row>
    <row r="43" spans="1:20">
      <c r="A43" s="54">
        <v>90461</v>
      </c>
      <c r="B43" s="55" t="s">
        <v>1427</v>
      </c>
      <c r="C43" s="106">
        <v>7.4000000000000003E-6</v>
      </c>
      <c r="D43" s="106">
        <v>1.7200000000000001E-5</v>
      </c>
      <c r="E43" s="56">
        <v>11305</v>
      </c>
      <c r="F43" s="56"/>
      <c r="G43" s="57">
        <v>651</v>
      </c>
      <c r="H43" s="107">
        <v>2745</v>
      </c>
      <c r="I43" s="57">
        <v>1615</v>
      </c>
      <c r="J43" s="56">
        <v>3066</v>
      </c>
      <c r="K43" s="107">
        <f t="shared" si="0"/>
        <v>8077</v>
      </c>
      <c r="L43" s="56"/>
      <c r="M43" s="57">
        <v>320</v>
      </c>
      <c r="N43" s="57">
        <v>0</v>
      </c>
      <c r="O43" s="56">
        <v>7660</v>
      </c>
      <c r="P43" s="107">
        <f t="shared" si="1"/>
        <v>7980</v>
      </c>
      <c r="Q43" s="56"/>
      <c r="R43" s="57">
        <v>3810</v>
      </c>
      <c r="S43" s="58">
        <v>-1001</v>
      </c>
      <c r="T43" s="58">
        <f>2808+1</f>
        <v>2809</v>
      </c>
    </row>
    <row r="44" spans="1:20">
      <c r="A44" s="54">
        <v>90501</v>
      </c>
      <c r="B44" s="55" t="s">
        <v>1428</v>
      </c>
      <c r="C44" s="106">
        <v>1.4176E-3</v>
      </c>
      <c r="D44" s="106">
        <v>1.4001E-3</v>
      </c>
      <c r="E44" s="56">
        <v>2165700</v>
      </c>
      <c r="F44" s="56"/>
      <c r="G44" s="57">
        <v>124764</v>
      </c>
      <c r="H44" s="107">
        <v>525835</v>
      </c>
      <c r="I44" s="57">
        <v>309292</v>
      </c>
      <c r="J44" s="56">
        <v>53925</v>
      </c>
      <c r="K44" s="107">
        <f t="shared" si="0"/>
        <v>1013816</v>
      </c>
      <c r="L44" s="56"/>
      <c r="M44" s="57">
        <v>61304</v>
      </c>
      <c r="N44" s="57">
        <v>0</v>
      </c>
      <c r="O44" s="56">
        <v>0</v>
      </c>
      <c r="P44" s="107">
        <f t="shared" si="1"/>
        <v>61304</v>
      </c>
      <c r="Q44" s="56"/>
      <c r="R44" s="57">
        <v>729843</v>
      </c>
      <c r="S44" s="58">
        <v>27148</v>
      </c>
      <c r="T44" s="58">
        <v>756991</v>
      </c>
    </row>
    <row r="45" spans="1:20">
      <c r="A45" s="54">
        <v>90507</v>
      </c>
      <c r="B45" s="55" t="s">
        <v>62</v>
      </c>
      <c r="C45" s="106">
        <v>6.6000000000000003E-6</v>
      </c>
      <c r="D45" s="106">
        <v>7.3000000000000004E-6</v>
      </c>
      <c r="E45" s="56">
        <v>10083</v>
      </c>
      <c r="F45" s="56"/>
      <c r="G45" s="57">
        <v>581</v>
      </c>
      <c r="H45" s="107">
        <v>2448</v>
      </c>
      <c r="I45" s="57">
        <v>1440</v>
      </c>
      <c r="J45" s="56">
        <v>11545</v>
      </c>
      <c r="K45" s="107">
        <f t="shared" si="0"/>
        <v>16014</v>
      </c>
      <c r="L45" s="56"/>
      <c r="M45" s="57">
        <v>285</v>
      </c>
      <c r="N45" s="57">
        <v>0</v>
      </c>
      <c r="O45" s="56">
        <v>0</v>
      </c>
      <c r="P45" s="107">
        <f t="shared" si="1"/>
        <v>285</v>
      </c>
      <c r="Q45" s="56"/>
      <c r="R45" s="57">
        <v>3398</v>
      </c>
      <c r="S45" s="58">
        <v>4117</v>
      </c>
      <c r="T45" s="58">
        <v>7515</v>
      </c>
    </row>
    <row r="46" spans="1:20">
      <c r="A46" s="54">
        <v>90511</v>
      </c>
      <c r="B46" s="55" t="s">
        <v>1429</v>
      </c>
      <c r="C46" s="106">
        <v>8.7000000000000001E-5</v>
      </c>
      <c r="D46" s="106">
        <v>9.5500000000000004E-5</v>
      </c>
      <c r="E46" s="56">
        <v>132912</v>
      </c>
      <c r="F46" s="56"/>
      <c r="G46" s="57">
        <v>7657</v>
      </c>
      <c r="H46" s="107">
        <v>32271</v>
      </c>
      <c r="I46" s="57">
        <v>18982</v>
      </c>
      <c r="J46" s="56">
        <v>14433</v>
      </c>
      <c r="K46" s="107">
        <f t="shared" si="0"/>
        <v>73343</v>
      </c>
      <c r="L46" s="56"/>
      <c r="M46" s="57">
        <v>3762</v>
      </c>
      <c r="N46" s="57">
        <v>0</v>
      </c>
      <c r="O46" s="56">
        <v>0</v>
      </c>
      <c r="P46" s="107">
        <f t="shared" si="1"/>
        <v>3762</v>
      </c>
      <c r="Q46" s="56"/>
      <c r="R46" s="57">
        <v>44791</v>
      </c>
      <c r="S46" s="58">
        <v>6485</v>
      </c>
      <c r="T46" s="58">
        <f>51277-1</f>
        <v>51276</v>
      </c>
    </row>
    <row r="47" spans="1:20">
      <c r="A47" s="54">
        <v>90521</v>
      </c>
      <c r="B47" s="55" t="s">
        <v>1430</v>
      </c>
      <c r="C47" s="106">
        <v>1.3880000000000001E-4</v>
      </c>
      <c r="D47" s="106">
        <v>1.395E-4</v>
      </c>
      <c r="E47" s="56">
        <v>212048</v>
      </c>
      <c r="F47" s="56"/>
      <c r="G47" s="57">
        <v>12216</v>
      </c>
      <c r="H47" s="107">
        <v>51485</v>
      </c>
      <c r="I47" s="57">
        <v>30283</v>
      </c>
      <c r="J47" s="56">
        <v>0</v>
      </c>
      <c r="K47" s="107">
        <f t="shared" si="0"/>
        <v>93984</v>
      </c>
      <c r="L47" s="56"/>
      <c r="M47" s="57">
        <v>6002</v>
      </c>
      <c r="N47" s="57">
        <v>0</v>
      </c>
      <c r="O47" s="56">
        <v>18446</v>
      </c>
      <c r="P47" s="107">
        <f t="shared" si="1"/>
        <v>24448</v>
      </c>
      <c r="Q47" s="56"/>
      <c r="R47" s="57">
        <v>71460</v>
      </c>
      <c r="S47" s="58">
        <v>-7131</v>
      </c>
      <c r="T47" s="58">
        <v>64329</v>
      </c>
    </row>
    <row r="48" spans="1:20">
      <c r="A48" s="54">
        <v>90601</v>
      </c>
      <c r="B48" s="55" t="s">
        <v>1431</v>
      </c>
      <c r="C48" s="106">
        <v>1.1888000000000001E-3</v>
      </c>
      <c r="D48" s="106">
        <v>1.1785999999999999E-3</v>
      </c>
      <c r="E48" s="56">
        <v>1816157</v>
      </c>
      <c r="F48" s="56"/>
      <c r="G48" s="57">
        <v>104627</v>
      </c>
      <c r="H48" s="107">
        <v>440965</v>
      </c>
      <c r="I48" s="57">
        <v>259372</v>
      </c>
      <c r="J48" s="56">
        <v>20795</v>
      </c>
      <c r="K48" s="107">
        <f t="shared" si="0"/>
        <v>825759</v>
      </c>
      <c r="L48" s="56"/>
      <c r="M48" s="57">
        <v>51410</v>
      </c>
      <c r="N48" s="57">
        <v>0</v>
      </c>
      <c r="O48" s="56">
        <v>19784</v>
      </c>
      <c r="P48" s="107">
        <f t="shared" si="1"/>
        <v>71194</v>
      </c>
      <c r="Q48" s="56"/>
      <c r="R48" s="57">
        <v>612047</v>
      </c>
      <c r="S48" s="58">
        <v>8359</v>
      </c>
      <c r="T48" s="58">
        <v>620406</v>
      </c>
    </row>
    <row r="49" spans="1:20">
      <c r="A49" s="54">
        <v>90602</v>
      </c>
      <c r="B49" s="55" t="s">
        <v>923</v>
      </c>
      <c r="C49" s="106">
        <v>6.3899999999999995E-5</v>
      </c>
      <c r="D49" s="106">
        <v>6.3299999999999994E-5</v>
      </c>
      <c r="E49" s="56">
        <v>97621</v>
      </c>
      <c r="F49" s="56"/>
      <c r="G49" s="57">
        <v>5624</v>
      </c>
      <c r="H49" s="107">
        <v>23703</v>
      </c>
      <c r="I49" s="57">
        <v>13942</v>
      </c>
      <c r="J49" s="56">
        <v>38810</v>
      </c>
      <c r="K49" s="107">
        <f t="shared" si="0"/>
        <v>82079</v>
      </c>
      <c r="L49" s="56"/>
      <c r="M49" s="57">
        <v>2763</v>
      </c>
      <c r="N49" s="57">
        <v>0</v>
      </c>
      <c r="O49" s="56">
        <v>0</v>
      </c>
      <c r="P49" s="107">
        <f t="shared" si="1"/>
        <v>2763</v>
      </c>
      <c r="Q49" s="56"/>
      <c r="R49" s="57">
        <v>32899</v>
      </c>
      <c r="S49" s="58">
        <v>14161</v>
      </c>
      <c r="T49" s="58">
        <f>47059+1</f>
        <v>47060</v>
      </c>
    </row>
    <row r="50" spans="1:20">
      <c r="A50" s="54">
        <v>90605</v>
      </c>
      <c r="B50" s="55" t="s">
        <v>1432</v>
      </c>
      <c r="C50" s="106">
        <v>4.1999999999999998E-5</v>
      </c>
      <c r="D50" s="106">
        <v>3.8399999999999998E-5</v>
      </c>
      <c r="E50" s="56">
        <v>64164</v>
      </c>
      <c r="F50" s="56"/>
      <c r="G50" s="57">
        <v>3696</v>
      </c>
      <c r="H50" s="107">
        <v>15579</v>
      </c>
      <c r="I50" s="57">
        <v>9164</v>
      </c>
      <c r="J50" s="56">
        <v>15425</v>
      </c>
      <c r="K50" s="107">
        <f t="shared" si="0"/>
        <v>43864</v>
      </c>
      <c r="L50" s="56"/>
      <c r="M50" s="57">
        <v>1816</v>
      </c>
      <c r="N50" s="57">
        <v>0</v>
      </c>
      <c r="O50" s="56">
        <v>0</v>
      </c>
      <c r="P50" s="107">
        <f t="shared" si="1"/>
        <v>1816</v>
      </c>
      <c r="Q50" s="56"/>
      <c r="R50" s="57">
        <v>21623</v>
      </c>
      <c r="S50" s="58">
        <v>5623</v>
      </c>
      <c r="T50" s="58">
        <f>27247-1</f>
        <v>27246</v>
      </c>
    </row>
    <row r="51" spans="1:20">
      <c r="A51" s="54">
        <v>90611</v>
      </c>
      <c r="B51" s="55" t="s">
        <v>1433</v>
      </c>
      <c r="C51" s="106">
        <v>1.4880000000000001E-4</v>
      </c>
      <c r="D51" s="106">
        <v>1.5669999999999999E-4</v>
      </c>
      <c r="E51" s="56">
        <v>227325</v>
      </c>
      <c r="F51" s="56"/>
      <c r="G51" s="57">
        <v>13096</v>
      </c>
      <c r="H51" s="107">
        <v>55195</v>
      </c>
      <c r="I51" s="57">
        <v>32465</v>
      </c>
      <c r="J51" s="56">
        <v>2524</v>
      </c>
      <c r="K51" s="107">
        <f t="shared" si="0"/>
        <v>103280</v>
      </c>
      <c r="L51" s="56"/>
      <c r="M51" s="57">
        <v>6435</v>
      </c>
      <c r="N51" s="57">
        <v>0</v>
      </c>
      <c r="O51" s="56">
        <v>18006</v>
      </c>
      <c r="P51" s="107">
        <f t="shared" si="1"/>
        <v>24441</v>
      </c>
      <c r="Q51" s="56"/>
      <c r="R51" s="57">
        <v>76609</v>
      </c>
      <c r="S51" s="58">
        <v>-3082</v>
      </c>
      <c r="T51" s="58">
        <v>73527</v>
      </c>
    </row>
    <row r="52" spans="1:20">
      <c r="A52" s="54">
        <v>90617</v>
      </c>
      <c r="B52" s="55" t="s">
        <v>1434</v>
      </c>
      <c r="C52" s="106">
        <v>2.5999999999999998E-5</v>
      </c>
      <c r="D52" s="106">
        <v>2.6800000000000001E-5</v>
      </c>
      <c r="E52" s="56">
        <v>39721</v>
      </c>
      <c r="F52" s="56"/>
      <c r="G52" s="57">
        <v>2288</v>
      </c>
      <c r="H52" s="107">
        <v>9644</v>
      </c>
      <c r="I52" s="57">
        <v>5673</v>
      </c>
      <c r="J52" s="56">
        <v>7632</v>
      </c>
      <c r="K52" s="107">
        <f t="shared" si="0"/>
        <v>25237</v>
      </c>
      <c r="L52" s="56"/>
      <c r="M52" s="57">
        <v>1124</v>
      </c>
      <c r="N52" s="57">
        <v>0</v>
      </c>
      <c r="O52" s="56">
        <v>0</v>
      </c>
      <c r="P52" s="107">
        <f t="shared" si="1"/>
        <v>1124</v>
      </c>
      <c r="Q52" s="56"/>
      <c r="R52" s="57">
        <v>13386</v>
      </c>
      <c r="S52" s="58">
        <v>4087</v>
      </c>
      <c r="T52" s="58">
        <v>17473</v>
      </c>
    </row>
    <row r="53" spans="1:20">
      <c r="A53" s="54">
        <v>90621</v>
      </c>
      <c r="B53" s="55" t="s">
        <v>1435</v>
      </c>
      <c r="C53" s="106">
        <v>6.3999999999999997E-5</v>
      </c>
      <c r="D53" s="106">
        <v>8.2100000000000003E-5</v>
      </c>
      <c r="E53" s="56">
        <v>97774</v>
      </c>
      <c r="F53" s="56"/>
      <c r="G53" s="57">
        <v>5633</v>
      </c>
      <c r="H53" s="107">
        <v>23740</v>
      </c>
      <c r="I53" s="57">
        <v>13964</v>
      </c>
      <c r="J53" s="56">
        <v>588</v>
      </c>
      <c r="K53" s="107">
        <f t="shared" si="0"/>
        <v>43925</v>
      </c>
      <c r="L53" s="56"/>
      <c r="M53" s="57">
        <v>2768</v>
      </c>
      <c r="N53" s="57">
        <v>0</v>
      </c>
      <c r="O53" s="56">
        <v>19000</v>
      </c>
      <c r="P53" s="107">
        <f t="shared" si="1"/>
        <v>21768</v>
      </c>
      <c r="Q53" s="56"/>
      <c r="R53" s="57">
        <v>32950</v>
      </c>
      <c r="S53" s="58">
        <v>-5337</v>
      </c>
      <c r="T53" s="58">
        <v>27613</v>
      </c>
    </row>
    <row r="54" spans="1:20">
      <c r="A54" s="54">
        <v>90631</v>
      </c>
      <c r="B54" s="55" t="s">
        <v>1436</v>
      </c>
      <c r="C54" s="106">
        <v>3.9560000000000002E-4</v>
      </c>
      <c r="D54" s="106">
        <v>3.8000000000000002E-4</v>
      </c>
      <c r="E54" s="56">
        <v>604367</v>
      </c>
      <c r="F54" s="56"/>
      <c r="G54" s="57">
        <v>34817</v>
      </c>
      <c r="H54" s="107">
        <v>146742</v>
      </c>
      <c r="I54" s="57">
        <v>86312</v>
      </c>
      <c r="J54" s="56">
        <v>17764</v>
      </c>
      <c r="K54" s="107">
        <f t="shared" si="0"/>
        <v>285635</v>
      </c>
      <c r="L54" s="56"/>
      <c r="M54" s="57">
        <v>17108</v>
      </c>
      <c r="N54" s="57">
        <v>0</v>
      </c>
      <c r="O54" s="56">
        <v>8233</v>
      </c>
      <c r="P54" s="107">
        <f t="shared" si="1"/>
        <v>25341</v>
      </c>
      <c r="Q54" s="56"/>
      <c r="R54" s="57">
        <v>203672</v>
      </c>
      <c r="S54" s="58">
        <v>-484</v>
      </c>
      <c r="T54" s="58">
        <f>203189-1</f>
        <v>203188</v>
      </c>
    </row>
    <row r="55" spans="1:20">
      <c r="A55" s="54">
        <v>90641</v>
      </c>
      <c r="B55" s="55" t="s">
        <v>1437</v>
      </c>
      <c r="C55" s="106">
        <v>1.38E-5</v>
      </c>
      <c r="D55" s="106">
        <v>1.4399999999999999E-5</v>
      </c>
      <c r="E55" s="56">
        <v>21083</v>
      </c>
      <c r="F55" s="56"/>
      <c r="G55" s="57">
        <v>1215</v>
      </c>
      <c r="H55" s="107">
        <v>5118</v>
      </c>
      <c r="I55" s="57">
        <v>3011</v>
      </c>
      <c r="J55" s="56">
        <v>304</v>
      </c>
      <c r="K55" s="107">
        <f t="shared" si="0"/>
        <v>9648</v>
      </c>
      <c r="L55" s="56"/>
      <c r="M55" s="57">
        <v>597</v>
      </c>
      <c r="N55" s="57">
        <v>0</v>
      </c>
      <c r="O55" s="56">
        <v>517</v>
      </c>
      <c r="P55" s="107">
        <f t="shared" si="1"/>
        <v>1114</v>
      </c>
      <c r="Q55" s="56"/>
      <c r="R55" s="57">
        <v>7105</v>
      </c>
      <c r="S55" s="58">
        <v>-123</v>
      </c>
      <c r="T55" s="58">
        <v>6982</v>
      </c>
    </row>
    <row r="56" spans="1:20">
      <c r="A56" s="54">
        <v>90651</v>
      </c>
      <c r="B56" s="55" t="s">
        <v>1438</v>
      </c>
      <c r="C56" s="106">
        <v>1E-4</v>
      </c>
      <c r="D56" s="106">
        <v>1.108E-4</v>
      </c>
      <c r="E56" s="56">
        <v>152772</v>
      </c>
      <c r="F56" s="56"/>
      <c r="G56" s="57">
        <v>8801</v>
      </c>
      <c r="H56" s="107">
        <v>37093</v>
      </c>
      <c r="I56" s="57">
        <v>21818</v>
      </c>
      <c r="J56" s="56">
        <v>85885</v>
      </c>
      <c r="K56" s="107">
        <f t="shared" si="0"/>
        <v>153597</v>
      </c>
      <c r="L56" s="56"/>
      <c r="M56" s="57">
        <v>4325</v>
      </c>
      <c r="N56" s="57">
        <v>0</v>
      </c>
      <c r="O56" s="56">
        <v>4659</v>
      </c>
      <c r="P56" s="107">
        <f t="shared" si="1"/>
        <v>8984</v>
      </c>
      <c r="Q56" s="56"/>
      <c r="R56" s="57">
        <v>51484</v>
      </c>
      <c r="S56" s="58">
        <v>25671</v>
      </c>
      <c r="T56" s="58">
        <f>77156-1</f>
        <v>77155</v>
      </c>
    </row>
    <row r="57" spans="1:20">
      <c r="A57" s="54">
        <v>90701</v>
      </c>
      <c r="B57" s="55" t="s">
        <v>1439</v>
      </c>
      <c r="C57" s="106">
        <v>2.6581E-3</v>
      </c>
      <c r="D57" s="106">
        <v>2.3587E-3</v>
      </c>
      <c r="E57" s="56">
        <v>4060841</v>
      </c>
      <c r="F57" s="56"/>
      <c r="G57" s="57">
        <v>233942</v>
      </c>
      <c r="H57" s="107">
        <v>985977</v>
      </c>
      <c r="I57" s="57">
        <v>579944</v>
      </c>
      <c r="J57" s="56">
        <v>130818</v>
      </c>
      <c r="K57" s="107">
        <f t="shared" si="0"/>
        <v>1930681</v>
      </c>
      <c r="L57" s="56"/>
      <c r="M57" s="57">
        <v>114950</v>
      </c>
      <c r="N57" s="57">
        <v>0</v>
      </c>
      <c r="O57" s="56">
        <v>31847</v>
      </c>
      <c r="P57" s="107">
        <f t="shared" si="1"/>
        <v>146797</v>
      </c>
      <c r="Q57" s="56"/>
      <c r="R57" s="57">
        <v>1368507</v>
      </c>
      <c r="S57" s="58">
        <v>33872</v>
      </c>
      <c r="T57" s="58">
        <v>1402379</v>
      </c>
    </row>
    <row r="58" spans="1:20">
      <c r="A58" s="54">
        <v>90704</v>
      </c>
      <c r="B58" s="55" t="s">
        <v>1440</v>
      </c>
      <c r="C58" s="106">
        <v>3.3300000000000003E-5</v>
      </c>
      <c r="D58" s="106">
        <v>3.4900000000000001E-5</v>
      </c>
      <c r="E58" s="56">
        <v>50873</v>
      </c>
      <c r="F58" s="56"/>
      <c r="G58" s="57">
        <v>2931</v>
      </c>
      <c r="H58" s="107">
        <v>12352</v>
      </c>
      <c r="I58" s="57">
        <v>7265</v>
      </c>
      <c r="J58" s="56">
        <v>14629</v>
      </c>
      <c r="K58" s="107">
        <f t="shared" si="0"/>
        <v>37177</v>
      </c>
      <c r="L58" s="56"/>
      <c r="M58" s="57">
        <v>1440</v>
      </c>
      <c r="N58" s="57">
        <v>0</v>
      </c>
      <c r="O58" s="56">
        <v>0</v>
      </c>
      <c r="P58" s="107">
        <f t="shared" si="1"/>
        <v>1440</v>
      </c>
      <c r="Q58" s="56"/>
      <c r="R58" s="57">
        <v>17144</v>
      </c>
      <c r="S58" s="58">
        <v>5643</v>
      </c>
      <c r="T58" s="58">
        <f>22788-1</f>
        <v>22787</v>
      </c>
    </row>
    <row r="59" spans="1:20">
      <c r="A59" s="54">
        <v>90705</v>
      </c>
      <c r="B59" s="55" t="s">
        <v>1441</v>
      </c>
      <c r="C59" s="106">
        <v>5.3000000000000001E-5</v>
      </c>
      <c r="D59" s="106">
        <v>3.3899999999999997E-5</v>
      </c>
      <c r="E59" s="56">
        <v>80969</v>
      </c>
      <c r="F59" s="56"/>
      <c r="G59" s="57">
        <v>4665</v>
      </c>
      <c r="H59" s="107">
        <v>19659</v>
      </c>
      <c r="I59" s="57">
        <v>11564</v>
      </c>
      <c r="J59" s="56">
        <v>18366</v>
      </c>
      <c r="K59" s="107">
        <f t="shared" si="0"/>
        <v>54254</v>
      </c>
      <c r="L59" s="56"/>
      <c r="M59" s="57">
        <v>2292</v>
      </c>
      <c r="N59" s="57">
        <v>0</v>
      </c>
      <c r="O59" s="56">
        <v>0</v>
      </c>
      <c r="P59" s="107">
        <f t="shared" si="1"/>
        <v>2292</v>
      </c>
      <c r="Q59" s="56"/>
      <c r="R59" s="57">
        <v>27287</v>
      </c>
      <c r="S59" s="58">
        <v>6194</v>
      </c>
      <c r="T59" s="58">
        <v>33481</v>
      </c>
    </row>
    <row r="60" spans="1:20">
      <c r="A60" s="54">
        <v>90709</v>
      </c>
      <c r="B60" s="55" t="s">
        <v>1442</v>
      </c>
      <c r="C60" s="106">
        <v>1.2650000000000001E-4</v>
      </c>
      <c r="D60" s="106">
        <v>1.4569999999999999E-4</v>
      </c>
      <c r="E60" s="56">
        <v>193257</v>
      </c>
      <c r="F60" s="56"/>
      <c r="G60" s="57">
        <v>11133</v>
      </c>
      <c r="H60" s="107">
        <v>46924</v>
      </c>
      <c r="I60" s="57">
        <v>27600</v>
      </c>
      <c r="J60" s="56">
        <v>5085</v>
      </c>
      <c r="K60" s="107">
        <f t="shared" si="0"/>
        <v>90742</v>
      </c>
      <c r="L60" s="56"/>
      <c r="M60" s="57">
        <v>5470</v>
      </c>
      <c r="N60" s="57">
        <v>0</v>
      </c>
      <c r="O60" s="56">
        <v>42511</v>
      </c>
      <c r="P60" s="107">
        <f t="shared" si="1"/>
        <v>47981</v>
      </c>
      <c r="Q60" s="56"/>
      <c r="R60" s="57">
        <v>65128</v>
      </c>
      <c r="S60" s="58">
        <v>-9374</v>
      </c>
      <c r="T60" s="58">
        <v>55754</v>
      </c>
    </row>
    <row r="61" spans="1:20">
      <c r="A61" s="54">
        <v>90711</v>
      </c>
      <c r="B61" s="55" t="s">
        <v>1443</v>
      </c>
      <c r="C61" s="106">
        <v>1.6877000000000001E-3</v>
      </c>
      <c r="D61" s="106">
        <v>1.7302000000000001E-3</v>
      </c>
      <c r="E61" s="56">
        <v>2578338</v>
      </c>
      <c r="F61" s="56"/>
      <c r="G61" s="57">
        <v>148536</v>
      </c>
      <c r="H61" s="107">
        <v>626023</v>
      </c>
      <c r="I61" s="57">
        <v>368222</v>
      </c>
      <c r="J61" s="56">
        <v>0</v>
      </c>
      <c r="K61" s="107">
        <f t="shared" si="0"/>
        <v>1142781</v>
      </c>
      <c r="L61" s="56"/>
      <c r="M61" s="57">
        <v>72985</v>
      </c>
      <c r="N61" s="57">
        <v>0</v>
      </c>
      <c r="O61" s="56">
        <v>160849</v>
      </c>
      <c r="P61" s="107">
        <f t="shared" si="1"/>
        <v>233834</v>
      </c>
      <c r="Q61" s="56"/>
      <c r="R61" s="57">
        <v>868902</v>
      </c>
      <c r="S61" s="58">
        <v>-68798</v>
      </c>
      <c r="T61" s="58">
        <v>800104</v>
      </c>
    </row>
    <row r="62" spans="1:20">
      <c r="A62" s="54">
        <v>90721</v>
      </c>
      <c r="B62" s="55" t="s">
        <v>1444</v>
      </c>
      <c r="C62" s="106">
        <v>2.8600000000000001E-5</v>
      </c>
      <c r="D62" s="106">
        <v>3.7299999999999999E-5</v>
      </c>
      <c r="E62" s="56">
        <v>43693</v>
      </c>
      <c r="F62" s="56"/>
      <c r="G62" s="57">
        <v>2517</v>
      </c>
      <c r="H62" s="107">
        <v>10608</v>
      </c>
      <c r="I62" s="57">
        <v>6240</v>
      </c>
      <c r="J62" s="56">
        <v>2956</v>
      </c>
      <c r="K62" s="107">
        <f t="shared" si="0"/>
        <v>22321</v>
      </c>
      <c r="L62" s="56"/>
      <c r="M62" s="57">
        <v>1237</v>
      </c>
      <c r="N62" s="57">
        <v>0</v>
      </c>
      <c r="O62" s="56">
        <v>4943</v>
      </c>
      <c r="P62" s="107">
        <f t="shared" si="1"/>
        <v>6180</v>
      </c>
      <c r="Q62" s="56"/>
      <c r="R62" s="57">
        <v>14725</v>
      </c>
      <c r="S62" s="58">
        <v>1072</v>
      </c>
      <c r="T62" s="58">
        <f>15796+1</f>
        <v>15797</v>
      </c>
    </row>
    <row r="63" spans="1:20">
      <c r="A63" s="54">
        <v>90731</v>
      </c>
      <c r="B63" s="55" t="s">
        <v>1445</v>
      </c>
      <c r="C63" s="106">
        <v>1.741E-4</v>
      </c>
      <c r="D63" s="106">
        <v>1.917E-4</v>
      </c>
      <c r="E63" s="56">
        <v>265977</v>
      </c>
      <c r="F63" s="56"/>
      <c r="G63" s="57">
        <v>15323</v>
      </c>
      <c r="H63" s="107">
        <v>64580</v>
      </c>
      <c r="I63" s="57">
        <v>37985</v>
      </c>
      <c r="J63" s="56">
        <v>0</v>
      </c>
      <c r="K63" s="107">
        <f t="shared" si="0"/>
        <v>117888</v>
      </c>
      <c r="L63" s="56"/>
      <c r="M63" s="57">
        <v>7529</v>
      </c>
      <c r="N63" s="57">
        <v>0</v>
      </c>
      <c r="O63" s="56">
        <v>18148</v>
      </c>
      <c r="P63" s="107">
        <f t="shared" si="1"/>
        <v>25677</v>
      </c>
      <c r="Q63" s="56"/>
      <c r="R63" s="57">
        <v>89634</v>
      </c>
      <c r="S63" s="58">
        <v>-7025</v>
      </c>
      <c r="T63" s="58">
        <v>82609</v>
      </c>
    </row>
    <row r="64" spans="1:20">
      <c r="A64" s="54">
        <v>90741</v>
      </c>
      <c r="B64" s="55" t="s">
        <v>1446</v>
      </c>
      <c r="C64" s="106">
        <v>9.0999999999999993E-6</v>
      </c>
      <c r="D64" s="106">
        <v>1.2099999999999999E-5</v>
      </c>
      <c r="E64" s="56">
        <v>13902</v>
      </c>
      <c r="F64" s="56"/>
      <c r="G64" s="57">
        <v>801</v>
      </c>
      <c r="H64" s="107">
        <v>3375</v>
      </c>
      <c r="I64" s="57">
        <v>1985</v>
      </c>
      <c r="J64" s="56">
        <v>2169</v>
      </c>
      <c r="K64" s="107">
        <f t="shared" si="0"/>
        <v>8330</v>
      </c>
      <c r="L64" s="56"/>
      <c r="M64" s="57">
        <v>394</v>
      </c>
      <c r="N64" s="57">
        <v>0</v>
      </c>
      <c r="O64" s="56">
        <v>952</v>
      </c>
      <c r="P64" s="107">
        <f t="shared" si="1"/>
        <v>1346</v>
      </c>
      <c r="Q64" s="56"/>
      <c r="R64" s="57">
        <v>4685</v>
      </c>
      <c r="S64" s="58">
        <v>235</v>
      </c>
      <c r="T64" s="58">
        <v>4920</v>
      </c>
    </row>
    <row r="65" spans="1:20">
      <c r="A65" s="54">
        <v>90751</v>
      </c>
      <c r="B65" s="55" t="s">
        <v>1447</v>
      </c>
      <c r="C65" s="106">
        <v>6.8700000000000003E-5</v>
      </c>
      <c r="D65" s="106">
        <v>6.5599999999999995E-5</v>
      </c>
      <c r="E65" s="56">
        <v>104955</v>
      </c>
      <c r="F65" s="56"/>
      <c r="G65" s="57">
        <v>6046</v>
      </c>
      <c r="H65" s="107">
        <v>25483</v>
      </c>
      <c r="I65" s="57">
        <v>14989</v>
      </c>
      <c r="J65" s="56">
        <v>4940</v>
      </c>
      <c r="K65" s="107">
        <f t="shared" si="0"/>
        <v>51458</v>
      </c>
      <c r="L65" s="56"/>
      <c r="M65" s="57">
        <v>2971</v>
      </c>
      <c r="N65" s="57">
        <v>0</v>
      </c>
      <c r="O65" s="56">
        <v>1080</v>
      </c>
      <c r="P65" s="107">
        <f t="shared" si="1"/>
        <v>4051</v>
      </c>
      <c r="Q65" s="56"/>
      <c r="R65" s="57">
        <v>35370</v>
      </c>
      <c r="S65" s="58">
        <v>3400</v>
      </c>
      <c r="T65" s="58">
        <v>38770</v>
      </c>
    </row>
    <row r="66" spans="1:20">
      <c r="A66" s="54">
        <v>90801</v>
      </c>
      <c r="B66" s="55" t="s">
        <v>1448</v>
      </c>
      <c r="C66" s="106">
        <v>1.3064000000000001E-3</v>
      </c>
      <c r="D66" s="106">
        <v>1.1404E-3</v>
      </c>
      <c r="E66" s="56">
        <v>1995817</v>
      </c>
      <c r="F66" s="56"/>
      <c r="G66" s="57">
        <v>114978</v>
      </c>
      <c r="H66" s="107">
        <v>484586</v>
      </c>
      <c r="I66" s="57">
        <v>285030</v>
      </c>
      <c r="J66" s="56">
        <v>151641</v>
      </c>
      <c r="K66" s="107">
        <f t="shared" si="0"/>
        <v>1036235</v>
      </c>
      <c r="L66" s="56"/>
      <c r="M66" s="57">
        <v>56495</v>
      </c>
      <c r="N66" s="57">
        <v>0</v>
      </c>
      <c r="O66" s="56">
        <v>0</v>
      </c>
      <c r="P66" s="107">
        <f t="shared" si="1"/>
        <v>56495</v>
      </c>
      <c r="Q66" s="56"/>
      <c r="R66" s="57">
        <v>672592</v>
      </c>
      <c r="S66" s="58">
        <v>65370</v>
      </c>
      <c r="T66" s="58">
        <v>737962</v>
      </c>
    </row>
    <row r="67" spans="1:20">
      <c r="A67" s="54">
        <v>90804</v>
      </c>
      <c r="B67" s="55" t="s">
        <v>1449</v>
      </c>
      <c r="C67" s="106">
        <v>6.1999999999999999E-6</v>
      </c>
      <c r="D67" s="106">
        <v>6.0000000000000002E-6</v>
      </c>
      <c r="E67" s="56">
        <v>9472</v>
      </c>
      <c r="F67" s="56"/>
      <c r="G67" s="57">
        <v>546</v>
      </c>
      <c r="H67" s="107">
        <v>2300</v>
      </c>
      <c r="I67" s="57">
        <v>1353</v>
      </c>
      <c r="J67" s="56">
        <v>1462</v>
      </c>
      <c r="K67" s="107">
        <f t="shared" si="0"/>
        <v>5661</v>
      </c>
      <c r="L67" s="56"/>
      <c r="M67" s="57">
        <v>268</v>
      </c>
      <c r="N67" s="57">
        <v>0</v>
      </c>
      <c r="O67" s="56">
        <v>0</v>
      </c>
      <c r="P67" s="107">
        <f t="shared" si="1"/>
        <v>268</v>
      </c>
      <c r="Q67" s="56"/>
      <c r="R67" s="57">
        <v>3192</v>
      </c>
      <c r="S67" s="58">
        <v>893</v>
      </c>
      <c r="T67" s="58">
        <v>4085</v>
      </c>
    </row>
    <row r="68" spans="1:20">
      <c r="A68" s="54">
        <v>90805</v>
      </c>
      <c r="B68" s="55" t="s">
        <v>1450</v>
      </c>
      <c r="C68" s="106">
        <v>5.1900000000000001E-5</v>
      </c>
      <c r="D68" s="106">
        <v>5.5099999999999998E-5</v>
      </c>
      <c r="E68" s="56">
        <v>79289</v>
      </c>
      <c r="F68" s="56"/>
      <c r="G68" s="57">
        <v>4568</v>
      </c>
      <c r="H68" s="107">
        <v>19252</v>
      </c>
      <c r="I68" s="57">
        <v>11324</v>
      </c>
      <c r="J68" s="56">
        <v>22022</v>
      </c>
      <c r="K68" s="107">
        <f t="shared" si="0"/>
        <v>57166</v>
      </c>
      <c r="L68" s="56"/>
      <c r="M68" s="57">
        <v>2244</v>
      </c>
      <c r="N68" s="57">
        <v>0</v>
      </c>
      <c r="O68" s="56">
        <v>0</v>
      </c>
      <c r="P68" s="107">
        <f t="shared" si="1"/>
        <v>2244</v>
      </c>
      <c r="Q68" s="56"/>
      <c r="R68" s="57">
        <v>26720</v>
      </c>
      <c r="S68" s="58">
        <v>9443</v>
      </c>
      <c r="T68" s="58">
        <v>36163</v>
      </c>
    </row>
    <row r="69" spans="1:20">
      <c r="A69" s="54">
        <v>90808</v>
      </c>
      <c r="B69" s="55" t="s">
        <v>1451</v>
      </c>
      <c r="C69" s="106">
        <v>1.131E-4</v>
      </c>
      <c r="D69" s="106">
        <v>1.109E-4</v>
      </c>
      <c r="E69" s="56">
        <v>172785</v>
      </c>
      <c r="F69" s="56"/>
      <c r="G69" s="57">
        <v>9954</v>
      </c>
      <c r="H69" s="107">
        <v>41952</v>
      </c>
      <c r="I69" s="57">
        <v>24676</v>
      </c>
      <c r="J69" s="56">
        <v>5678</v>
      </c>
      <c r="K69" s="107">
        <f t="shared" si="0"/>
        <v>82260</v>
      </c>
      <c r="L69" s="56"/>
      <c r="M69" s="57">
        <v>4891</v>
      </c>
      <c r="N69" s="57">
        <v>0</v>
      </c>
      <c r="O69" s="56">
        <v>2008</v>
      </c>
      <c r="P69" s="107">
        <f t="shared" si="1"/>
        <v>6899</v>
      </c>
      <c r="Q69" s="56"/>
      <c r="R69" s="57">
        <v>58229</v>
      </c>
      <c r="S69" s="58">
        <v>731</v>
      </c>
      <c r="T69" s="58">
        <f>58959+1</f>
        <v>58960</v>
      </c>
    </row>
    <row r="70" spans="1:20">
      <c r="A70" s="54">
        <v>90811</v>
      </c>
      <c r="B70" s="55" t="s">
        <v>1452</v>
      </c>
      <c r="C70" s="106">
        <v>3.3599999999999997E-5</v>
      </c>
      <c r="D70" s="106">
        <v>4.0000000000000003E-5</v>
      </c>
      <c r="E70" s="56">
        <v>51331</v>
      </c>
      <c r="F70" s="56"/>
      <c r="G70" s="57">
        <v>2957</v>
      </c>
      <c r="H70" s="107">
        <v>12463</v>
      </c>
      <c r="I70" s="57">
        <v>7331</v>
      </c>
      <c r="J70" s="56">
        <v>471</v>
      </c>
      <c r="K70" s="107">
        <f t="shared" si="0"/>
        <v>23222</v>
      </c>
      <c r="L70" s="56"/>
      <c r="M70" s="57">
        <v>1453</v>
      </c>
      <c r="N70" s="57">
        <v>0</v>
      </c>
      <c r="O70" s="56">
        <v>8846</v>
      </c>
      <c r="P70" s="107">
        <f t="shared" si="1"/>
        <v>10299</v>
      </c>
      <c r="Q70" s="56"/>
      <c r="R70" s="57">
        <v>17299</v>
      </c>
      <c r="S70" s="58">
        <v>-1986</v>
      </c>
      <c r="T70" s="58">
        <v>15313</v>
      </c>
    </row>
    <row r="71" spans="1:20">
      <c r="A71" s="54">
        <v>90812</v>
      </c>
      <c r="B71" s="55" t="s">
        <v>1453</v>
      </c>
      <c r="C71" s="106">
        <v>2.2900000000000001E-4</v>
      </c>
      <c r="D71" s="106">
        <v>2.13E-4</v>
      </c>
      <c r="E71" s="56">
        <v>349849</v>
      </c>
      <c r="F71" s="56"/>
      <c r="G71" s="57">
        <v>20155</v>
      </c>
      <c r="H71" s="107">
        <v>84944</v>
      </c>
      <c r="I71" s="57">
        <v>49963</v>
      </c>
      <c r="J71" s="56">
        <v>15087</v>
      </c>
      <c r="K71" s="107">
        <f t="shared" ref="K71:K134" si="2">G71+H71+I71+J71</f>
        <v>170149</v>
      </c>
      <c r="L71" s="56"/>
      <c r="M71" s="57">
        <v>9903</v>
      </c>
      <c r="N71" s="57">
        <v>0</v>
      </c>
      <c r="O71" s="56">
        <v>10549</v>
      </c>
      <c r="P71" s="107">
        <f t="shared" ref="P71:P134" si="3">M71+N71+O71</f>
        <v>20452</v>
      </c>
      <c r="Q71" s="56"/>
      <c r="R71" s="57">
        <v>117899</v>
      </c>
      <c r="S71" s="58">
        <v>3117</v>
      </c>
      <c r="T71" s="58">
        <v>121016</v>
      </c>
    </row>
    <row r="72" spans="1:20">
      <c r="A72" s="54">
        <v>90813</v>
      </c>
      <c r="B72" s="55" t="s">
        <v>1454</v>
      </c>
      <c r="C72" s="106">
        <v>5.3000000000000001E-6</v>
      </c>
      <c r="D72" s="106">
        <v>5.4999999999999999E-6</v>
      </c>
      <c r="E72" s="56">
        <v>8097</v>
      </c>
      <c r="F72" s="56"/>
      <c r="G72" s="57">
        <v>466</v>
      </c>
      <c r="H72" s="107">
        <v>1966</v>
      </c>
      <c r="I72" s="57">
        <v>1156</v>
      </c>
      <c r="J72" s="56">
        <v>0</v>
      </c>
      <c r="K72" s="107">
        <f t="shared" si="2"/>
        <v>3588</v>
      </c>
      <c r="L72" s="56"/>
      <c r="M72" s="57">
        <v>229</v>
      </c>
      <c r="N72" s="57">
        <v>0</v>
      </c>
      <c r="O72" s="56">
        <v>1124</v>
      </c>
      <c r="P72" s="107">
        <f t="shared" si="3"/>
        <v>1353</v>
      </c>
      <c r="Q72" s="56"/>
      <c r="R72" s="57">
        <v>2729</v>
      </c>
      <c r="S72" s="58">
        <v>-505</v>
      </c>
      <c r="T72" s="58">
        <f>2223+1</f>
        <v>2224</v>
      </c>
    </row>
    <row r="73" spans="1:20">
      <c r="A73" s="54">
        <v>90861</v>
      </c>
      <c r="B73" s="55" t="s">
        <v>1455</v>
      </c>
      <c r="C73" s="106">
        <v>4.1999999999999996E-6</v>
      </c>
      <c r="D73" s="106">
        <v>4.7999999999999998E-6</v>
      </c>
      <c r="E73" s="56">
        <v>6416</v>
      </c>
      <c r="F73" s="56"/>
      <c r="G73" s="57">
        <v>370</v>
      </c>
      <c r="H73" s="107">
        <v>1558</v>
      </c>
      <c r="I73" s="57">
        <v>916</v>
      </c>
      <c r="J73" s="56">
        <v>3211</v>
      </c>
      <c r="K73" s="107">
        <f t="shared" si="2"/>
        <v>6055</v>
      </c>
      <c r="L73" s="56"/>
      <c r="M73" s="57">
        <v>182</v>
      </c>
      <c r="N73" s="57">
        <v>0</v>
      </c>
      <c r="O73" s="56">
        <v>1117</v>
      </c>
      <c r="P73" s="107">
        <f t="shared" si="3"/>
        <v>1299</v>
      </c>
      <c r="Q73" s="56"/>
      <c r="R73" s="57">
        <v>2162</v>
      </c>
      <c r="S73" s="58">
        <v>191</v>
      </c>
      <c r="T73" s="58">
        <v>2353</v>
      </c>
    </row>
    <row r="74" spans="1:20">
      <c r="A74" s="54">
        <v>90901</v>
      </c>
      <c r="B74" s="55" t="s">
        <v>1456</v>
      </c>
      <c r="C74" s="106">
        <v>2.1814999999999998E-3</v>
      </c>
      <c r="D74" s="106">
        <v>2.1302999999999999E-3</v>
      </c>
      <c r="E74" s="56">
        <v>3332728</v>
      </c>
      <c r="F74" s="56"/>
      <c r="G74" s="57">
        <v>191996</v>
      </c>
      <c r="H74" s="107">
        <v>809191</v>
      </c>
      <c r="I74" s="57">
        <v>475960</v>
      </c>
      <c r="J74" s="56">
        <v>22389</v>
      </c>
      <c r="K74" s="107">
        <f t="shared" si="2"/>
        <v>1499536</v>
      </c>
      <c r="L74" s="56"/>
      <c r="M74" s="57">
        <v>94339</v>
      </c>
      <c r="N74" s="57">
        <v>0</v>
      </c>
      <c r="O74" s="56">
        <v>38005</v>
      </c>
      <c r="P74" s="107">
        <f t="shared" si="3"/>
        <v>132344</v>
      </c>
      <c r="Q74" s="56"/>
      <c r="R74" s="57">
        <v>1123132</v>
      </c>
      <c r="S74" s="58">
        <v>-5969</v>
      </c>
      <c r="T74" s="58">
        <v>1117163</v>
      </c>
    </row>
    <row r="75" spans="1:20">
      <c r="A75" s="54">
        <v>90911</v>
      </c>
      <c r="B75" s="55" t="s">
        <v>1457</v>
      </c>
      <c r="C75" s="106">
        <v>3.9780000000000002E-4</v>
      </c>
      <c r="D75" s="106">
        <v>3.6010000000000003E-4</v>
      </c>
      <c r="E75" s="56">
        <v>607728</v>
      </c>
      <c r="F75" s="56"/>
      <c r="G75" s="57">
        <v>35011</v>
      </c>
      <c r="H75" s="107">
        <v>147557</v>
      </c>
      <c r="I75" s="57">
        <v>86792</v>
      </c>
      <c r="J75" s="56">
        <v>6806</v>
      </c>
      <c r="K75" s="107">
        <f t="shared" si="2"/>
        <v>276166</v>
      </c>
      <c r="L75" s="56"/>
      <c r="M75" s="57">
        <v>17203</v>
      </c>
      <c r="N75" s="57">
        <v>0</v>
      </c>
      <c r="O75" s="56">
        <v>31482</v>
      </c>
      <c r="P75" s="107">
        <f t="shared" si="3"/>
        <v>48685</v>
      </c>
      <c r="Q75" s="56"/>
      <c r="R75" s="57">
        <v>204805</v>
      </c>
      <c r="S75" s="58">
        <v>-18326</v>
      </c>
      <c r="T75" s="58">
        <v>186479</v>
      </c>
    </row>
    <row r="76" spans="1:20">
      <c r="A76" s="54">
        <v>90917</v>
      </c>
      <c r="B76" s="55" t="s">
        <v>1458</v>
      </c>
      <c r="C76" s="106">
        <v>1.4399999999999999E-5</v>
      </c>
      <c r="D76" s="106">
        <v>1.42E-5</v>
      </c>
      <c r="E76" s="56">
        <v>21999</v>
      </c>
      <c r="F76" s="56"/>
      <c r="G76" s="57">
        <v>1267</v>
      </c>
      <c r="H76" s="107">
        <v>5342</v>
      </c>
      <c r="I76" s="57">
        <v>3142</v>
      </c>
      <c r="J76" s="56">
        <v>1461</v>
      </c>
      <c r="K76" s="107">
        <f t="shared" si="2"/>
        <v>11212</v>
      </c>
      <c r="L76" s="56"/>
      <c r="M76" s="57">
        <v>623</v>
      </c>
      <c r="N76" s="57">
        <v>0</v>
      </c>
      <c r="O76" s="56">
        <v>966</v>
      </c>
      <c r="P76" s="107">
        <f t="shared" si="3"/>
        <v>1589</v>
      </c>
      <c r="Q76" s="56"/>
      <c r="R76" s="57">
        <v>7414</v>
      </c>
      <c r="S76" s="58">
        <v>-22</v>
      </c>
      <c r="T76" s="58">
        <v>7392</v>
      </c>
    </row>
    <row r="77" spans="1:20">
      <c r="A77" s="54">
        <v>90918</v>
      </c>
      <c r="B77" s="55" t="s">
        <v>1459</v>
      </c>
      <c r="C77" s="106">
        <v>1.19E-5</v>
      </c>
      <c r="D77" s="106">
        <v>1.24E-5</v>
      </c>
      <c r="E77" s="56">
        <v>18180</v>
      </c>
      <c r="F77" s="56"/>
      <c r="G77" s="57">
        <v>1047</v>
      </c>
      <c r="H77" s="107">
        <v>4414</v>
      </c>
      <c r="I77" s="57">
        <v>2596</v>
      </c>
      <c r="J77" s="56">
        <v>0</v>
      </c>
      <c r="K77" s="107">
        <f t="shared" si="2"/>
        <v>8057</v>
      </c>
      <c r="L77" s="56"/>
      <c r="M77" s="57">
        <v>515</v>
      </c>
      <c r="N77" s="57">
        <v>0</v>
      </c>
      <c r="O77" s="56">
        <v>2553</v>
      </c>
      <c r="P77" s="107">
        <f t="shared" si="3"/>
        <v>3068</v>
      </c>
      <c r="Q77" s="56"/>
      <c r="R77" s="57">
        <v>6127</v>
      </c>
      <c r="S77" s="58">
        <v>-1087</v>
      </c>
      <c r="T77" s="58">
        <f>5039+1</f>
        <v>5040</v>
      </c>
    </row>
    <row r="78" spans="1:20">
      <c r="A78" s="54">
        <v>90921</v>
      </c>
      <c r="B78" s="55" t="s">
        <v>1460</v>
      </c>
      <c r="C78" s="106">
        <v>1.2970000000000001E-4</v>
      </c>
      <c r="D78" s="106">
        <v>8.7399999999999997E-5</v>
      </c>
      <c r="E78" s="56">
        <v>198146</v>
      </c>
      <c r="F78" s="56"/>
      <c r="G78" s="57">
        <v>11415</v>
      </c>
      <c r="H78" s="107">
        <v>48110</v>
      </c>
      <c r="I78" s="57">
        <v>28298</v>
      </c>
      <c r="J78" s="56">
        <v>31212</v>
      </c>
      <c r="K78" s="107">
        <f t="shared" si="2"/>
        <v>119035</v>
      </c>
      <c r="L78" s="56"/>
      <c r="M78" s="57">
        <v>5609</v>
      </c>
      <c r="N78" s="57">
        <v>0</v>
      </c>
      <c r="O78" s="56">
        <v>7007</v>
      </c>
      <c r="P78" s="107">
        <f t="shared" si="3"/>
        <v>12616</v>
      </c>
      <c r="Q78" s="56"/>
      <c r="R78" s="57">
        <v>66775</v>
      </c>
      <c r="S78" s="58">
        <v>5102</v>
      </c>
      <c r="T78" s="58">
        <v>71877</v>
      </c>
    </row>
    <row r="79" spans="1:20">
      <c r="A79" s="54">
        <v>90931</v>
      </c>
      <c r="B79" s="55" t="s">
        <v>1461</v>
      </c>
      <c r="C79" s="106">
        <v>4.07E-5</v>
      </c>
      <c r="D79" s="106">
        <v>5.1900000000000001E-5</v>
      </c>
      <c r="E79" s="56">
        <v>62178</v>
      </c>
      <c r="F79" s="56"/>
      <c r="G79" s="57">
        <v>3582</v>
      </c>
      <c r="H79" s="107">
        <v>15097</v>
      </c>
      <c r="I79" s="57">
        <v>8880</v>
      </c>
      <c r="J79" s="56">
        <v>3743</v>
      </c>
      <c r="K79" s="107">
        <f t="shared" si="2"/>
        <v>31302</v>
      </c>
      <c r="L79" s="56"/>
      <c r="M79" s="57">
        <v>1760</v>
      </c>
      <c r="N79" s="57">
        <v>0</v>
      </c>
      <c r="O79" s="56">
        <v>14137</v>
      </c>
      <c r="P79" s="107">
        <f t="shared" si="3"/>
        <v>15897</v>
      </c>
      <c r="Q79" s="56"/>
      <c r="R79" s="57">
        <v>20954</v>
      </c>
      <c r="S79" s="58">
        <v>-1298</v>
      </c>
      <c r="T79" s="58">
        <v>19656</v>
      </c>
    </row>
    <row r="80" spans="1:20">
      <c r="A80" s="54">
        <v>90941</v>
      </c>
      <c r="B80" s="55" t="s">
        <v>1462</v>
      </c>
      <c r="C80" s="106">
        <v>7.0300000000000001E-5</v>
      </c>
      <c r="D80" s="106">
        <v>9.0799999999999998E-5</v>
      </c>
      <c r="E80" s="56">
        <v>107399</v>
      </c>
      <c r="F80" s="56"/>
      <c r="G80" s="57">
        <v>6187</v>
      </c>
      <c r="H80" s="107">
        <v>26076</v>
      </c>
      <c r="I80" s="57">
        <v>15338</v>
      </c>
      <c r="J80" s="56">
        <v>1686</v>
      </c>
      <c r="K80" s="107">
        <f t="shared" si="2"/>
        <v>49287</v>
      </c>
      <c r="L80" s="56"/>
      <c r="M80" s="57">
        <v>3040</v>
      </c>
      <c r="N80" s="57">
        <v>0</v>
      </c>
      <c r="O80" s="56">
        <v>16031</v>
      </c>
      <c r="P80" s="107">
        <f t="shared" si="3"/>
        <v>19071</v>
      </c>
      <c r="Q80" s="56"/>
      <c r="R80" s="57">
        <v>36194</v>
      </c>
      <c r="S80" s="58">
        <v>-4988</v>
      </c>
      <c r="T80" s="58">
        <f>31205+1</f>
        <v>31206</v>
      </c>
    </row>
    <row r="81" spans="1:20">
      <c r="A81" s="54">
        <v>91001</v>
      </c>
      <c r="B81" s="55" t="s">
        <v>1463</v>
      </c>
      <c r="C81" s="106">
        <v>6.6703999999999999E-3</v>
      </c>
      <c r="D81" s="106">
        <v>6.6189999999999999E-3</v>
      </c>
      <c r="E81" s="56">
        <v>10190523</v>
      </c>
      <c r="F81" s="56"/>
      <c r="G81" s="57">
        <v>587069</v>
      </c>
      <c r="H81" s="107">
        <v>2474271</v>
      </c>
      <c r="I81" s="57">
        <v>1455348</v>
      </c>
      <c r="J81" s="56">
        <v>35831</v>
      </c>
      <c r="K81" s="107">
        <f t="shared" si="2"/>
        <v>4552519</v>
      </c>
      <c r="L81" s="56"/>
      <c r="M81" s="57">
        <v>288461</v>
      </c>
      <c r="N81" s="57">
        <v>0</v>
      </c>
      <c r="O81" s="56">
        <v>269013</v>
      </c>
      <c r="P81" s="107">
        <f t="shared" si="3"/>
        <v>557474</v>
      </c>
      <c r="Q81" s="56"/>
      <c r="R81" s="57">
        <v>3434215</v>
      </c>
      <c r="S81" s="58">
        <v>-50061</v>
      </c>
      <c r="T81" s="58">
        <v>3384154</v>
      </c>
    </row>
    <row r="82" spans="1:20">
      <c r="A82" s="54">
        <v>91002</v>
      </c>
      <c r="B82" s="55" t="s">
        <v>1464</v>
      </c>
      <c r="C82" s="106">
        <v>6.8860000000000004E-4</v>
      </c>
      <c r="D82" s="106">
        <v>5.6360000000000004E-4</v>
      </c>
      <c r="E82" s="56">
        <v>1051990</v>
      </c>
      <c r="F82" s="56"/>
      <c r="G82" s="57">
        <v>60604</v>
      </c>
      <c r="H82" s="107">
        <v>255424</v>
      </c>
      <c r="I82" s="57">
        <v>150239</v>
      </c>
      <c r="J82" s="56">
        <v>39390</v>
      </c>
      <c r="K82" s="107">
        <f t="shared" si="2"/>
        <v>505657</v>
      </c>
      <c r="L82" s="56"/>
      <c r="M82" s="57">
        <v>29779</v>
      </c>
      <c r="N82" s="57">
        <v>0</v>
      </c>
      <c r="O82" s="56">
        <v>48600</v>
      </c>
      <c r="P82" s="107">
        <f t="shared" si="3"/>
        <v>78379</v>
      </c>
      <c r="Q82" s="56"/>
      <c r="R82" s="57">
        <v>354522</v>
      </c>
      <c r="S82" s="58">
        <v>-8849</v>
      </c>
      <c r="T82" s="58">
        <v>345673</v>
      </c>
    </row>
    <row r="83" spans="1:20">
      <c r="A83" s="54">
        <v>91003</v>
      </c>
      <c r="B83" s="55" t="s">
        <v>1465</v>
      </c>
      <c r="C83" s="106">
        <v>5.7260000000000004E-4</v>
      </c>
      <c r="D83" s="106">
        <v>5.6550000000000003E-4</v>
      </c>
      <c r="E83" s="56">
        <v>874774</v>
      </c>
      <c r="F83" s="56"/>
      <c r="G83" s="57">
        <v>50395</v>
      </c>
      <c r="H83" s="107">
        <v>212396</v>
      </c>
      <c r="I83" s="57">
        <v>124930</v>
      </c>
      <c r="J83" s="56">
        <v>27734</v>
      </c>
      <c r="K83" s="107">
        <f t="shared" si="2"/>
        <v>415455</v>
      </c>
      <c r="L83" s="56"/>
      <c r="M83" s="57">
        <v>24762</v>
      </c>
      <c r="N83" s="57">
        <v>0</v>
      </c>
      <c r="O83" s="56">
        <v>28524</v>
      </c>
      <c r="P83" s="107">
        <f t="shared" si="3"/>
        <v>53286</v>
      </c>
      <c r="Q83" s="56"/>
      <c r="R83" s="57">
        <v>294800</v>
      </c>
      <c r="S83" s="58">
        <v>7266</v>
      </c>
      <c r="T83" s="58">
        <v>302066</v>
      </c>
    </row>
    <row r="84" spans="1:20">
      <c r="A84" s="54">
        <v>91004</v>
      </c>
      <c r="B84" s="55" t="s">
        <v>1466</v>
      </c>
      <c r="C84" s="106">
        <v>2.58E-5</v>
      </c>
      <c r="D84" s="106">
        <v>1.7499999999999998E-5</v>
      </c>
      <c r="E84" s="56">
        <v>39415</v>
      </c>
      <c r="F84" s="56"/>
      <c r="G84" s="57">
        <v>2271</v>
      </c>
      <c r="H84" s="107">
        <v>9571</v>
      </c>
      <c r="I84" s="57">
        <v>5629</v>
      </c>
      <c r="J84" s="56">
        <v>12153</v>
      </c>
      <c r="K84" s="107">
        <f t="shared" si="2"/>
        <v>29624</v>
      </c>
      <c r="L84" s="56"/>
      <c r="M84" s="57">
        <v>1116</v>
      </c>
      <c r="N84" s="57">
        <v>0</v>
      </c>
      <c r="O84" s="56">
        <v>108</v>
      </c>
      <c r="P84" s="107">
        <f t="shared" si="3"/>
        <v>1224</v>
      </c>
      <c r="Q84" s="56"/>
      <c r="R84" s="57">
        <v>13283</v>
      </c>
      <c r="S84" s="58">
        <v>4277</v>
      </c>
      <c r="T84" s="58">
        <v>17560</v>
      </c>
    </row>
    <row r="85" spans="1:20">
      <c r="A85" s="54">
        <v>91006</v>
      </c>
      <c r="B85" s="55" t="s">
        <v>1467</v>
      </c>
      <c r="C85" s="106">
        <v>1.0317E-3</v>
      </c>
      <c r="D85" s="106">
        <v>1.0096E-3</v>
      </c>
      <c r="E85" s="56">
        <v>1576152</v>
      </c>
      <c r="F85" s="56"/>
      <c r="G85" s="57">
        <v>90801</v>
      </c>
      <c r="H85" s="107">
        <v>382692</v>
      </c>
      <c r="I85" s="57">
        <v>225096</v>
      </c>
      <c r="J85" s="56">
        <v>18199</v>
      </c>
      <c r="K85" s="107">
        <f t="shared" si="2"/>
        <v>716788</v>
      </c>
      <c r="L85" s="56"/>
      <c r="M85" s="57">
        <v>44616</v>
      </c>
      <c r="N85" s="57">
        <v>0</v>
      </c>
      <c r="O85" s="56">
        <v>22958</v>
      </c>
      <c r="P85" s="107">
        <f t="shared" si="3"/>
        <v>67574</v>
      </c>
      <c r="Q85" s="56"/>
      <c r="R85" s="57">
        <v>531165</v>
      </c>
      <c r="S85" s="58">
        <v>3230</v>
      </c>
      <c r="T85" s="58">
        <v>534395</v>
      </c>
    </row>
    <row r="86" spans="1:20">
      <c r="A86" s="54">
        <v>91007</v>
      </c>
      <c r="B86" s="55" t="s">
        <v>1468</v>
      </c>
      <c r="C86" s="106">
        <v>9.5000000000000005E-6</v>
      </c>
      <c r="D86" s="106">
        <v>1.2500000000000001E-5</v>
      </c>
      <c r="E86" s="56">
        <v>14513</v>
      </c>
      <c r="F86" s="56"/>
      <c r="G86" s="57">
        <v>836</v>
      </c>
      <c r="H86" s="107">
        <v>3524</v>
      </c>
      <c r="I86" s="57">
        <v>2073</v>
      </c>
      <c r="J86" s="56">
        <v>7476</v>
      </c>
      <c r="K86" s="107">
        <f t="shared" si="2"/>
        <v>13909</v>
      </c>
      <c r="L86" s="56"/>
      <c r="M86" s="57">
        <v>411</v>
      </c>
      <c r="N86" s="57">
        <v>0</v>
      </c>
      <c r="O86" s="56">
        <v>507</v>
      </c>
      <c r="P86" s="107">
        <f t="shared" si="3"/>
        <v>918</v>
      </c>
      <c r="Q86" s="56"/>
      <c r="R86" s="57">
        <v>4891</v>
      </c>
      <c r="S86" s="58">
        <v>2150</v>
      </c>
      <c r="T86" s="58">
        <v>7041</v>
      </c>
    </row>
    <row r="87" spans="1:20">
      <c r="A87" s="54">
        <v>91008</v>
      </c>
      <c r="B87" s="55" t="s">
        <v>1469</v>
      </c>
      <c r="C87" s="106">
        <v>1.236E-4</v>
      </c>
      <c r="D87" s="106">
        <v>1.273E-4</v>
      </c>
      <c r="E87" s="56">
        <v>188827</v>
      </c>
      <c r="F87" s="56"/>
      <c r="G87" s="57">
        <v>10878</v>
      </c>
      <c r="H87" s="107">
        <v>45847</v>
      </c>
      <c r="I87" s="57">
        <v>26967</v>
      </c>
      <c r="J87" s="56">
        <v>37042</v>
      </c>
      <c r="K87" s="107">
        <f t="shared" si="2"/>
        <v>120734</v>
      </c>
      <c r="L87" s="56"/>
      <c r="M87" s="57">
        <v>5345</v>
      </c>
      <c r="N87" s="57">
        <v>0</v>
      </c>
      <c r="O87" s="56">
        <v>0</v>
      </c>
      <c r="P87" s="107">
        <f t="shared" si="3"/>
        <v>5345</v>
      </c>
      <c r="Q87" s="56"/>
      <c r="R87" s="57">
        <v>63635</v>
      </c>
      <c r="S87" s="58">
        <v>17548</v>
      </c>
      <c r="T87" s="58">
        <v>81183</v>
      </c>
    </row>
    <row r="88" spans="1:20">
      <c r="A88" s="54">
        <v>91009</v>
      </c>
      <c r="B88" s="55" t="s">
        <v>1470</v>
      </c>
      <c r="C88" s="106">
        <v>1.7499999999999998E-5</v>
      </c>
      <c r="D88" s="106">
        <v>1.8700000000000001E-5</v>
      </c>
      <c r="E88" s="56">
        <v>26735</v>
      </c>
      <c r="F88" s="56"/>
      <c r="G88" s="57">
        <v>1540</v>
      </c>
      <c r="H88" s="107">
        <v>6491</v>
      </c>
      <c r="I88" s="57">
        <v>3818</v>
      </c>
      <c r="J88" s="56">
        <v>4951</v>
      </c>
      <c r="K88" s="107">
        <f t="shared" si="2"/>
        <v>16800</v>
      </c>
      <c r="L88" s="56"/>
      <c r="M88" s="57">
        <v>757</v>
      </c>
      <c r="N88" s="57">
        <v>0</v>
      </c>
      <c r="O88" s="56">
        <v>2458</v>
      </c>
      <c r="P88" s="107">
        <f t="shared" si="3"/>
        <v>3215</v>
      </c>
      <c r="Q88" s="56"/>
      <c r="R88" s="57">
        <v>9010</v>
      </c>
      <c r="S88" s="58">
        <v>187</v>
      </c>
      <c r="T88" s="58">
        <v>9197</v>
      </c>
    </row>
    <row r="89" spans="1:20">
      <c r="A89" s="54">
        <v>91010</v>
      </c>
      <c r="B89" s="55" t="s">
        <v>1471</v>
      </c>
      <c r="C89" s="106">
        <v>7.0099999999999996E-5</v>
      </c>
      <c r="D89" s="106">
        <v>6.8399999999999996E-5</v>
      </c>
      <c r="E89" s="56">
        <v>107093</v>
      </c>
      <c r="F89" s="56"/>
      <c r="G89" s="57">
        <v>6170</v>
      </c>
      <c r="H89" s="107">
        <v>26003</v>
      </c>
      <c r="I89" s="57">
        <v>15294</v>
      </c>
      <c r="J89" s="56">
        <v>7603</v>
      </c>
      <c r="K89" s="107">
        <f t="shared" si="2"/>
        <v>55070</v>
      </c>
      <c r="L89" s="56"/>
      <c r="M89" s="57">
        <v>3031</v>
      </c>
      <c r="N89" s="57">
        <v>0</v>
      </c>
      <c r="O89" s="56">
        <v>296</v>
      </c>
      <c r="P89" s="107">
        <f t="shared" si="3"/>
        <v>3327</v>
      </c>
      <c r="Q89" s="56"/>
      <c r="R89" s="57">
        <v>36091</v>
      </c>
      <c r="S89" s="58">
        <v>4736</v>
      </c>
      <c r="T89" s="58">
        <v>40827</v>
      </c>
    </row>
    <row r="90" spans="1:20">
      <c r="A90" s="54">
        <v>91011</v>
      </c>
      <c r="B90" s="55" t="s">
        <v>1472</v>
      </c>
      <c r="C90" s="106">
        <v>3.5760000000000002E-4</v>
      </c>
      <c r="D90" s="106">
        <v>3.1789999999999998E-4</v>
      </c>
      <c r="E90" s="56">
        <v>546314</v>
      </c>
      <c r="F90" s="56"/>
      <c r="G90" s="57">
        <v>31473</v>
      </c>
      <c r="H90" s="107">
        <v>132645</v>
      </c>
      <c r="I90" s="57">
        <v>78021</v>
      </c>
      <c r="J90" s="56">
        <v>43643</v>
      </c>
      <c r="K90" s="107">
        <f t="shared" si="2"/>
        <v>285782</v>
      </c>
      <c r="L90" s="56"/>
      <c r="M90" s="57">
        <v>15464</v>
      </c>
      <c r="N90" s="57">
        <v>0</v>
      </c>
      <c r="O90" s="56">
        <v>0</v>
      </c>
      <c r="P90" s="107">
        <f t="shared" si="3"/>
        <v>15464</v>
      </c>
      <c r="Q90" s="56"/>
      <c r="R90" s="57">
        <v>184108</v>
      </c>
      <c r="S90" s="58">
        <v>16126</v>
      </c>
      <c r="T90" s="58">
        <v>200234</v>
      </c>
    </row>
    <row r="91" spans="1:20">
      <c r="A91" s="54">
        <v>91012</v>
      </c>
      <c r="B91" s="55" t="s">
        <v>1473</v>
      </c>
      <c r="C91" s="106">
        <v>1.9300000000000002E-5</v>
      </c>
      <c r="D91" s="106">
        <v>1.49E-5</v>
      </c>
      <c r="E91" s="56">
        <v>29485</v>
      </c>
      <c r="F91" s="56"/>
      <c r="G91" s="57">
        <v>1699</v>
      </c>
      <c r="H91" s="107">
        <v>7159</v>
      </c>
      <c r="I91" s="57">
        <v>4211</v>
      </c>
      <c r="J91" s="56">
        <v>5400</v>
      </c>
      <c r="K91" s="107">
        <f t="shared" si="2"/>
        <v>18469</v>
      </c>
      <c r="L91" s="56"/>
      <c r="M91" s="57">
        <v>835</v>
      </c>
      <c r="N91" s="57">
        <v>0</v>
      </c>
      <c r="O91" s="56">
        <v>2458</v>
      </c>
      <c r="P91" s="107">
        <f t="shared" si="3"/>
        <v>3293</v>
      </c>
      <c r="Q91" s="56"/>
      <c r="R91" s="57">
        <v>9936</v>
      </c>
      <c r="S91" s="58">
        <v>-662</v>
      </c>
      <c r="T91" s="58">
        <f>9275-1</f>
        <v>9274</v>
      </c>
    </row>
    <row r="92" spans="1:20">
      <c r="A92" s="54">
        <v>91013</v>
      </c>
      <c r="B92" s="55" t="s">
        <v>1474</v>
      </c>
      <c r="C92" s="106">
        <v>2.34E-5</v>
      </c>
      <c r="D92" s="106">
        <v>2.1800000000000001E-5</v>
      </c>
      <c r="E92" s="56">
        <v>35749</v>
      </c>
      <c r="F92" s="56"/>
      <c r="G92" s="57">
        <v>2059</v>
      </c>
      <c r="H92" s="107">
        <v>8680</v>
      </c>
      <c r="I92" s="57">
        <v>5105</v>
      </c>
      <c r="J92" s="56">
        <v>31764</v>
      </c>
      <c r="K92" s="107">
        <f t="shared" si="2"/>
        <v>47608</v>
      </c>
      <c r="L92" s="56"/>
      <c r="M92" s="57">
        <v>1012</v>
      </c>
      <c r="N92" s="57">
        <v>0</v>
      </c>
      <c r="O92" s="56">
        <v>0</v>
      </c>
      <c r="P92" s="107">
        <f t="shared" si="3"/>
        <v>1012</v>
      </c>
      <c r="Q92" s="56"/>
      <c r="R92" s="57">
        <v>12047</v>
      </c>
      <c r="S92" s="58">
        <v>9518</v>
      </c>
      <c r="T92" s="58">
        <v>21565</v>
      </c>
    </row>
    <row r="93" spans="1:20">
      <c r="A93" s="54">
        <v>91014</v>
      </c>
      <c r="B93" s="55" t="s">
        <v>1475</v>
      </c>
      <c r="C93" s="106">
        <v>2.22E-4</v>
      </c>
      <c r="D93" s="106">
        <v>2.1499999999999999E-4</v>
      </c>
      <c r="E93" s="56">
        <v>339155</v>
      </c>
      <c r="F93" s="56"/>
      <c r="G93" s="57">
        <v>19538</v>
      </c>
      <c r="H93" s="107">
        <v>82347</v>
      </c>
      <c r="I93" s="57">
        <v>48436</v>
      </c>
      <c r="J93" s="56">
        <v>1313</v>
      </c>
      <c r="K93" s="107">
        <f t="shared" si="2"/>
        <v>151634</v>
      </c>
      <c r="L93" s="56"/>
      <c r="M93" s="57">
        <v>9600</v>
      </c>
      <c r="N93" s="57">
        <v>0</v>
      </c>
      <c r="O93" s="56">
        <v>11287</v>
      </c>
      <c r="P93" s="107">
        <f t="shared" si="3"/>
        <v>20887</v>
      </c>
      <c r="Q93" s="56"/>
      <c r="R93" s="57">
        <v>114295</v>
      </c>
      <c r="S93" s="58">
        <v>-6129</v>
      </c>
      <c r="T93" s="58">
        <f>108167-1</f>
        <v>108166</v>
      </c>
    </row>
    <row r="94" spans="1:20">
      <c r="A94" s="54">
        <v>91017</v>
      </c>
      <c r="B94" s="55" t="s">
        <v>1476</v>
      </c>
      <c r="C94" s="106">
        <v>2.4300000000000001E-5</v>
      </c>
      <c r="D94" s="106">
        <v>2.3E-5</v>
      </c>
      <c r="E94" s="56">
        <v>37124</v>
      </c>
      <c r="F94" s="56"/>
      <c r="G94" s="57">
        <v>2139</v>
      </c>
      <c r="H94" s="107">
        <v>9014</v>
      </c>
      <c r="I94" s="57">
        <v>5302</v>
      </c>
      <c r="J94" s="56">
        <v>10242</v>
      </c>
      <c r="K94" s="107">
        <f t="shared" si="2"/>
        <v>26697</v>
      </c>
      <c r="L94" s="56"/>
      <c r="M94" s="57">
        <v>1051</v>
      </c>
      <c r="N94" s="57">
        <v>0</v>
      </c>
      <c r="O94" s="56">
        <v>0</v>
      </c>
      <c r="P94" s="107">
        <f t="shared" si="3"/>
        <v>1051</v>
      </c>
      <c r="Q94" s="56"/>
      <c r="R94" s="57">
        <v>12511</v>
      </c>
      <c r="S94" s="58">
        <v>4025</v>
      </c>
      <c r="T94" s="58">
        <v>16536</v>
      </c>
    </row>
    <row r="95" spans="1:20">
      <c r="A95" s="54">
        <v>91020</v>
      </c>
      <c r="B95" s="55" t="s">
        <v>1477</v>
      </c>
      <c r="C95" s="106">
        <v>2.27E-5</v>
      </c>
      <c r="D95" s="106">
        <v>1.9899999999999999E-5</v>
      </c>
      <c r="E95" s="56">
        <v>34679</v>
      </c>
      <c r="F95" s="56"/>
      <c r="G95" s="57">
        <v>1998</v>
      </c>
      <c r="H95" s="107">
        <v>8420</v>
      </c>
      <c r="I95" s="57">
        <v>4953</v>
      </c>
      <c r="J95" s="56">
        <v>4064</v>
      </c>
      <c r="K95" s="107">
        <f t="shared" si="2"/>
        <v>19435</v>
      </c>
      <c r="L95" s="56"/>
      <c r="M95" s="57">
        <v>982</v>
      </c>
      <c r="N95" s="57">
        <v>0</v>
      </c>
      <c r="O95" s="56">
        <v>376</v>
      </c>
      <c r="P95" s="107">
        <f t="shared" si="3"/>
        <v>1358</v>
      </c>
      <c r="Q95" s="56"/>
      <c r="R95" s="57">
        <v>11687</v>
      </c>
      <c r="S95" s="58">
        <v>1259</v>
      </c>
      <c r="T95" s="58">
        <v>12946</v>
      </c>
    </row>
    <row r="96" spans="1:20">
      <c r="A96" s="54">
        <v>91021</v>
      </c>
      <c r="B96" s="55" t="s">
        <v>1478</v>
      </c>
      <c r="C96" s="106">
        <v>8.6450000000000003E-4</v>
      </c>
      <c r="D96" s="106">
        <v>8.6989999999999995E-4</v>
      </c>
      <c r="E96" s="56">
        <v>1320717</v>
      </c>
      <c r="F96" s="56"/>
      <c r="G96" s="57">
        <v>76086</v>
      </c>
      <c r="H96" s="107">
        <v>320672</v>
      </c>
      <c r="I96" s="57">
        <v>188617</v>
      </c>
      <c r="J96" s="56">
        <v>0</v>
      </c>
      <c r="K96" s="107">
        <f t="shared" si="2"/>
        <v>585375</v>
      </c>
      <c r="L96" s="56"/>
      <c r="M96" s="57">
        <v>37385</v>
      </c>
      <c r="N96" s="57">
        <v>0</v>
      </c>
      <c r="O96" s="56">
        <v>82677</v>
      </c>
      <c r="P96" s="107">
        <f t="shared" si="3"/>
        <v>120062</v>
      </c>
      <c r="Q96" s="56"/>
      <c r="R96" s="57">
        <v>445083</v>
      </c>
      <c r="S96" s="58">
        <v>-48679</v>
      </c>
      <c r="T96" s="58">
        <v>396404</v>
      </c>
    </row>
    <row r="97" spans="1:20">
      <c r="A97" s="54">
        <v>91024</v>
      </c>
      <c r="B97" s="55" t="s">
        <v>1479</v>
      </c>
      <c r="C97" s="106">
        <v>7.2999999999999999E-5</v>
      </c>
      <c r="D97" s="106">
        <v>6.6299999999999999E-5</v>
      </c>
      <c r="E97" s="56">
        <v>111524</v>
      </c>
      <c r="F97" s="56"/>
      <c r="G97" s="57">
        <v>6425</v>
      </c>
      <c r="H97" s="107">
        <v>27078</v>
      </c>
      <c r="I97" s="57">
        <v>15927</v>
      </c>
      <c r="J97" s="56">
        <v>24081</v>
      </c>
      <c r="K97" s="107">
        <f t="shared" si="2"/>
        <v>73511</v>
      </c>
      <c r="L97" s="56"/>
      <c r="M97" s="57">
        <v>3157</v>
      </c>
      <c r="N97" s="57">
        <v>0</v>
      </c>
      <c r="O97" s="56">
        <v>0</v>
      </c>
      <c r="P97" s="107">
        <f t="shared" si="3"/>
        <v>3157</v>
      </c>
      <c r="Q97" s="56"/>
      <c r="R97" s="57">
        <v>37584</v>
      </c>
      <c r="S97" s="58">
        <v>10843</v>
      </c>
      <c r="T97" s="58">
        <f>48426+1</f>
        <v>48427</v>
      </c>
    </row>
    <row r="98" spans="1:20">
      <c r="A98" s="54">
        <v>91026</v>
      </c>
      <c r="B98" s="55" t="s">
        <v>111</v>
      </c>
      <c r="C98" s="106">
        <v>4.18E-5</v>
      </c>
      <c r="D98" s="106">
        <v>6.0900000000000003E-5</v>
      </c>
      <c r="E98" s="56">
        <v>63859</v>
      </c>
      <c r="F98" s="56"/>
      <c r="G98" s="57">
        <v>3679</v>
      </c>
      <c r="H98" s="107">
        <v>15505</v>
      </c>
      <c r="I98" s="57">
        <v>9120</v>
      </c>
      <c r="J98" s="56">
        <v>34468</v>
      </c>
      <c r="K98" s="107">
        <f t="shared" si="2"/>
        <v>62772</v>
      </c>
      <c r="L98" s="56"/>
      <c r="M98" s="57">
        <v>1808</v>
      </c>
      <c r="N98" s="57">
        <v>0</v>
      </c>
      <c r="O98" s="56">
        <v>3103</v>
      </c>
      <c r="P98" s="107">
        <f t="shared" si="3"/>
        <v>4911</v>
      </c>
      <c r="Q98" s="56"/>
      <c r="R98" s="57">
        <v>21520</v>
      </c>
      <c r="S98" s="58">
        <v>11546</v>
      </c>
      <c r="T98" s="58">
        <v>33066</v>
      </c>
    </row>
    <row r="99" spans="1:20">
      <c r="A99" s="54">
        <v>91027</v>
      </c>
      <c r="B99" s="55" t="s">
        <v>1480</v>
      </c>
      <c r="C99" s="106">
        <v>1.4E-5</v>
      </c>
      <c r="D99" s="106">
        <v>1.6099999999999998E-5</v>
      </c>
      <c r="E99" s="56">
        <v>21388</v>
      </c>
      <c r="F99" s="56"/>
      <c r="G99" s="57">
        <v>1232</v>
      </c>
      <c r="H99" s="107">
        <v>5193</v>
      </c>
      <c r="I99" s="57">
        <v>3055</v>
      </c>
      <c r="J99" s="56">
        <v>16343</v>
      </c>
      <c r="K99" s="107">
        <f t="shared" si="2"/>
        <v>25823</v>
      </c>
      <c r="L99" s="56"/>
      <c r="M99" s="57">
        <v>605</v>
      </c>
      <c r="N99" s="57">
        <v>0</v>
      </c>
      <c r="O99" s="56">
        <v>0</v>
      </c>
      <c r="P99" s="107">
        <f t="shared" si="3"/>
        <v>605</v>
      </c>
      <c r="Q99" s="56"/>
      <c r="R99" s="57">
        <v>7208</v>
      </c>
      <c r="S99" s="58">
        <v>6601</v>
      </c>
      <c r="T99" s="58">
        <f>13808+1</f>
        <v>13809</v>
      </c>
    </row>
    <row r="100" spans="1:20">
      <c r="A100" s="54">
        <v>91032</v>
      </c>
      <c r="B100" s="55" t="s">
        <v>1481</v>
      </c>
      <c r="C100" s="106">
        <v>1.8E-5</v>
      </c>
      <c r="D100" s="106">
        <v>1.8600000000000001E-5</v>
      </c>
      <c r="E100" s="56">
        <v>27499</v>
      </c>
      <c r="F100" s="56"/>
      <c r="G100" s="57">
        <v>1584</v>
      </c>
      <c r="H100" s="107">
        <v>6677</v>
      </c>
      <c r="I100" s="57">
        <v>3927</v>
      </c>
      <c r="J100" s="56">
        <v>14996</v>
      </c>
      <c r="K100" s="107">
        <f t="shared" si="2"/>
        <v>27184</v>
      </c>
      <c r="L100" s="56"/>
      <c r="M100" s="57">
        <v>778</v>
      </c>
      <c r="N100" s="57">
        <v>0</v>
      </c>
      <c r="O100" s="56">
        <v>0</v>
      </c>
      <c r="P100" s="107">
        <f t="shared" si="3"/>
        <v>778</v>
      </c>
      <c r="Q100" s="56"/>
      <c r="R100" s="57">
        <v>9267</v>
      </c>
      <c r="S100" s="58">
        <v>6458</v>
      </c>
      <c r="T100" s="58">
        <v>15725</v>
      </c>
    </row>
    <row r="101" spans="1:20">
      <c r="A101" s="54">
        <v>91041</v>
      </c>
      <c r="B101" s="55" t="s">
        <v>1482</v>
      </c>
      <c r="C101" s="106">
        <v>4.0400000000000001E-4</v>
      </c>
      <c r="D101" s="106">
        <v>4.3609999999999998E-4</v>
      </c>
      <c r="E101" s="56">
        <v>617200</v>
      </c>
      <c r="F101" s="56"/>
      <c r="G101" s="57">
        <v>35556</v>
      </c>
      <c r="H101" s="107">
        <v>149857</v>
      </c>
      <c r="I101" s="57">
        <v>88145</v>
      </c>
      <c r="J101" s="56">
        <v>0</v>
      </c>
      <c r="K101" s="107">
        <f t="shared" si="2"/>
        <v>273558</v>
      </c>
      <c r="L101" s="56"/>
      <c r="M101" s="57">
        <v>17471</v>
      </c>
      <c r="N101" s="57">
        <v>0</v>
      </c>
      <c r="O101" s="56">
        <v>109443</v>
      </c>
      <c r="P101" s="107">
        <f t="shared" si="3"/>
        <v>126914</v>
      </c>
      <c r="Q101" s="56"/>
      <c r="R101" s="57">
        <v>207997</v>
      </c>
      <c r="S101" s="58">
        <v>-39088</v>
      </c>
      <c r="T101" s="58">
        <v>168909</v>
      </c>
    </row>
    <row r="102" spans="1:20">
      <c r="A102" s="54">
        <v>91042</v>
      </c>
      <c r="B102" s="55" t="s">
        <v>1483</v>
      </c>
      <c r="C102" s="106">
        <v>2.3360000000000001E-4</v>
      </c>
      <c r="D102" s="106">
        <v>2.062E-4</v>
      </c>
      <c r="E102" s="56">
        <v>356876</v>
      </c>
      <c r="F102" s="56"/>
      <c r="G102" s="57">
        <v>20559</v>
      </c>
      <c r="H102" s="107">
        <v>86650</v>
      </c>
      <c r="I102" s="57">
        <v>50967</v>
      </c>
      <c r="J102" s="56">
        <v>12354</v>
      </c>
      <c r="K102" s="107">
        <f t="shared" si="2"/>
        <v>170530</v>
      </c>
      <c r="L102" s="56"/>
      <c r="M102" s="57">
        <v>10102</v>
      </c>
      <c r="N102" s="57">
        <v>0</v>
      </c>
      <c r="O102" s="56">
        <v>6985</v>
      </c>
      <c r="P102" s="107">
        <f t="shared" si="3"/>
        <v>17087</v>
      </c>
      <c r="Q102" s="56"/>
      <c r="R102" s="57">
        <v>120268</v>
      </c>
      <c r="S102" s="58">
        <v>717</v>
      </c>
      <c r="T102" s="58">
        <f>120984+1</f>
        <v>120985</v>
      </c>
    </row>
    <row r="103" spans="1:20">
      <c r="A103" s="54">
        <v>91047</v>
      </c>
      <c r="B103" s="55" t="s">
        <v>1484</v>
      </c>
      <c r="C103" s="106">
        <v>1.31E-5</v>
      </c>
      <c r="D103" s="106">
        <v>1.3200000000000001E-5</v>
      </c>
      <c r="E103" s="56">
        <v>20013</v>
      </c>
      <c r="F103" s="56"/>
      <c r="G103" s="57">
        <v>1153</v>
      </c>
      <c r="H103" s="107">
        <v>4859</v>
      </c>
      <c r="I103" s="57">
        <v>2858</v>
      </c>
      <c r="J103" s="56">
        <v>20507</v>
      </c>
      <c r="K103" s="107">
        <f t="shared" si="2"/>
        <v>29377</v>
      </c>
      <c r="L103" s="56"/>
      <c r="M103" s="57">
        <v>567</v>
      </c>
      <c r="N103" s="57">
        <v>0</v>
      </c>
      <c r="O103" s="56">
        <v>0</v>
      </c>
      <c r="P103" s="107">
        <f t="shared" si="3"/>
        <v>567</v>
      </c>
      <c r="Q103" s="56"/>
      <c r="R103" s="57">
        <v>6744</v>
      </c>
      <c r="S103" s="58">
        <v>7559</v>
      </c>
      <c r="T103" s="58">
        <v>14303</v>
      </c>
    </row>
    <row r="104" spans="1:20">
      <c r="A104" s="54">
        <v>91051</v>
      </c>
      <c r="B104" s="55" t="s">
        <v>1485</v>
      </c>
      <c r="C104" s="106">
        <v>6.6400000000000001E-5</v>
      </c>
      <c r="D104" s="106">
        <v>7.6600000000000005E-5</v>
      </c>
      <c r="E104" s="56">
        <v>101441</v>
      </c>
      <c r="F104" s="56"/>
      <c r="G104" s="57">
        <v>5844</v>
      </c>
      <c r="H104" s="107">
        <v>24630</v>
      </c>
      <c r="I104" s="57">
        <v>14487</v>
      </c>
      <c r="J104" s="56">
        <v>1619</v>
      </c>
      <c r="K104" s="107">
        <f t="shared" si="2"/>
        <v>46580</v>
      </c>
      <c r="L104" s="56"/>
      <c r="M104" s="57">
        <v>2871</v>
      </c>
      <c r="N104" s="57">
        <v>0</v>
      </c>
      <c r="O104" s="56">
        <v>8430</v>
      </c>
      <c r="P104" s="107">
        <f t="shared" si="3"/>
        <v>11301</v>
      </c>
      <c r="Q104" s="56"/>
      <c r="R104" s="57">
        <v>34186</v>
      </c>
      <c r="S104" s="58">
        <v>-1576</v>
      </c>
      <c r="T104" s="58">
        <f>32609+1</f>
        <v>32610</v>
      </c>
    </row>
    <row r="105" spans="1:20">
      <c r="A105" s="54">
        <v>91057</v>
      </c>
      <c r="B105" s="55" t="s">
        <v>1486</v>
      </c>
      <c r="C105" s="106">
        <v>1.4399999999999999E-5</v>
      </c>
      <c r="D105" s="106">
        <v>1.5E-5</v>
      </c>
      <c r="E105" s="56">
        <v>21999</v>
      </c>
      <c r="F105" s="56"/>
      <c r="G105" s="57">
        <v>1267</v>
      </c>
      <c r="H105" s="107">
        <v>5342</v>
      </c>
      <c r="I105" s="57">
        <v>3142</v>
      </c>
      <c r="J105" s="56">
        <v>5805</v>
      </c>
      <c r="K105" s="107">
        <f t="shared" si="2"/>
        <v>15556</v>
      </c>
      <c r="L105" s="56"/>
      <c r="M105" s="57">
        <v>623</v>
      </c>
      <c r="N105" s="57">
        <v>0</v>
      </c>
      <c r="O105" s="56">
        <v>0</v>
      </c>
      <c r="P105" s="107">
        <f t="shared" si="3"/>
        <v>623</v>
      </c>
      <c r="Q105" s="56"/>
      <c r="R105" s="57">
        <v>7414</v>
      </c>
      <c r="S105" s="58">
        <v>2191</v>
      </c>
      <c r="T105" s="58">
        <v>9605</v>
      </c>
    </row>
    <row r="106" spans="1:20">
      <c r="A106" s="54">
        <v>91061</v>
      </c>
      <c r="B106" s="55" t="s">
        <v>1487</v>
      </c>
      <c r="C106" s="106">
        <v>4.104E-4</v>
      </c>
      <c r="D106" s="106">
        <v>3.7730000000000001E-4</v>
      </c>
      <c r="E106" s="56">
        <v>626978</v>
      </c>
      <c r="F106" s="56"/>
      <c r="G106" s="57">
        <v>36120</v>
      </c>
      <c r="H106" s="107">
        <v>152231</v>
      </c>
      <c r="I106" s="57">
        <v>89541</v>
      </c>
      <c r="J106" s="56">
        <v>19267</v>
      </c>
      <c r="K106" s="107">
        <f t="shared" si="2"/>
        <v>297159</v>
      </c>
      <c r="L106" s="56"/>
      <c r="M106" s="57">
        <v>17748</v>
      </c>
      <c r="N106" s="57">
        <v>0</v>
      </c>
      <c r="O106" s="56">
        <v>27800</v>
      </c>
      <c r="P106" s="107">
        <f t="shared" si="3"/>
        <v>45548</v>
      </c>
      <c r="Q106" s="56"/>
      <c r="R106" s="57">
        <v>211292</v>
      </c>
      <c r="S106" s="58">
        <v>-13384</v>
      </c>
      <c r="T106" s="58">
        <v>197908</v>
      </c>
    </row>
    <row r="107" spans="1:20">
      <c r="A107" s="54">
        <v>91067</v>
      </c>
      <c r="B107" s="55" t="s">
        <v>1488</v>
      </c>
      <c r="C107" s="106">
        <v>1.5699999999999999E-5</v>
      </c>
      <c r="D107" s="106">
        <v>1.8499999999999999E-5</v>
      </c>
      <c r="E107" s="56">
        <v>23985</v>
      </c>
      <c r="F107" s="56"/>
      <c r="G107" s="57">
        <v>1382</v>
      </c>
      <c r="H107" s="107">
        <v>5824</v>
      </c>
      <c r="I107" s="57">
        <v>3425</v>
      </c>
      <c r="J107" s="56">
        <v>2413</v>
      </c>
      <c r="K107" s="107">
        <f t="shared" si="2"/>
        <v>13044</v>
      </c>
      <c r="L107" s="56"/>
      <c r="M107" s="57">
        <v>679</v>
      </c>
      <c r="N107" s="57">
        <v>0</v>
      </c>
      <c r="O107" s="56">
        <v>406</v>
      </c>
      <c r="P107" s="107">
        <f t="shared" si="3"/>
        <v>1085</v>
      </c>
      <c r="Q107" s="56"/>
      <c r="R107" s="57">
        <v>8083</v>
      </c>
      <c r="S107" s="58">
        <v>1156</v>
      </c>
      <c r="T107" s="58">
        <v>9239</v>
      </c>
    </row>
    <row r="108" spans="1:20">
      <c r="A108" s="54">
        <v>91071</v>
      </c>
      <c r="B108" s="55" t="s">
        <v>1489</v>
      </c>
      <c r="C108" s="106">
        <v>2.2770000000000001E-4</v>
      </c>
      <c r="D108" s="106">
        <v>2.4379999999999999E-4</v>
      </c>
      <c r="E108" s="56">
        <v>347863</v>
      </c>
      <c r="F108" s="56"/>
      <c r="G108" s="57">
        <v>20040</v>
      </c>
      <c r="H108" s="107">
        <v>84462</v>
      </c>
      <c r="I108" s="57">
        <v>49680</v>
      </c>
      <c r="J108" s="56">
        <v>8372</v>
      </c>
      <c r="K108" s="107">
        <f t="shared" si="2"/>
        <v>162554</v>
      </c>
      <c r="L108" s="56"/>
      <c r="M108" s="57">
        <v>9847</v>
      </c>
      <c r="N108" s="57">
        <v>0</v>
      </c>
      <c r="O108" s="56">
        <v>22478</v>
      </c>
      <c r="P108" s="107">
        <f t="shared" si="3"/>
        <v>32325</v>
      </c>
      <c r="Q108" s="56"/>
      <c r="R108" s="57">
        <v>117230</v>
      </c>
      <c r="S108" s="58">
        <v>2353</v>
      </c>
      <c r="T108" s="58">
        <v>119583</v>
      </c>
    </row>
    <row r="109" spans="1:20">
      <c r="A109" s="54">
        <v>91077</v>
      </c>
      <c r="B109" s="55" t="s">
        <v>1490</v>
      </c>
      <c r="C109" s="106">
        <v>3.5999999999999998E-6</v>
      </c>
      <c r="D109" s="106">
        <v>3.9999999999999998E-6</v>
      </c>
      <c r="E109" s="56">
        <v>5500</v>
      </c>
      <c r="F109" s="56"/>
      <c r="G109" s="57">
        <v>317</v>
      </c>
      <c r="H109" s="107">
        <v>1336</v>
      </c>
      <c r="I109" s="57">
        <v>785</v>
      </c>
      <c r="J109" s="56">
        <v>1826</v>
      </c>
      <c r="K109" s="107">
        <f t="shared" si="2"/>
        <v>4264</v>
      </c>
      <c r="L109" s="56"/>
      <c r="M109" s="57">
        <v>156</v>
      </c>
      <c r="N109" s="57">
        <v>0</v>
      </c>
      <c r="O109" s="56">
        <v>51</v>
      </c>
      <c r="P109" s="107">
        <f t="shared" si="3"/>
        <v>207</v>
      </c>
      <c r="Q109" s="56"/>
      <c r="R109" s="57">
        <v>1853</v>
      </c>
      <c r="S109" s="58">
        <v>551</v>
      </c>
      <c r="T109" s="58">
        <f>2405-1</f>
        <v>2404</v>
      </c>
    </row>
    <row r="110" spans="1:20">
      <c r="A110" s="54">
        <v>91081</v>
      </c>
      <c r="B110" s="55" t="s">
        <v>1491</v>
      </c>
      <c r="C110" s="106">
        <v>3.6240000000000003E-4</v>
      </c>
      <c r="D110" s="106">
        <v>3.6499999999999998E-4</v>
      </c>
      <c r="E110" s="56">
        <v>553647</v>
      </c>
      <c r="F110" s="56"/>
      <c r="G110" s="57">
        <v>31895</v>
      </c>
      <c r="H110" s="107">
        <v>134426</v>
      </c>
      <c r="I110" s="57">
        <v>79068</v>
      </c>
      <c r="J110" s="56">
        <v>1618</v>
      </c>
      <c r="K110" s="107">
        <f t="shared" si="2"/>
        <v>247007</v>
      </c>
      <c r="L110" s="56"/>
      <c r="M110" s="57">
        <v>15672</v>
      </c>
      <c r="N110" s="57">
        <v>0</v>
      </c>
      <c r="O110" s="56">
        <v>13549</v>
      </c>
      <c r="P110" s="107">
        <f t="shared" si="3"/>
        <v>29221</v>
      </c>
      <c r="Q110" s="56"/>
      <c r="R110" s="57">
        <v>186579</v>
      </c>
      <c r="S110" s="58">
        <v>-13101</v>
      </c>
      <c r="T110" s="58">
        <v>173478</v>
      </c>
    </row>
    <row r="111" spans="1:20">
      <c r="A111" s="54">
        <v>91091</v>
      </c>
      <c r="B111" s="55" t="s">
        <v>1492</v>
      </c>
      <c r="C111" s="106">
        <v>5.3790000000000001E-4</v>
      </c>
      <c r="D111" s="106">
        <v>5.6380000000000004E-4</v>
      </c>
      <c r="E111" s="56">
        <v>821762</v>
      </c>
      <c r="F111" s="56"/>
      <c r="G111" s="57">
        <v>47341</v>
      </c>
      <c r="H111" s="107">
        <v>199525</v>
      </c>
      <c r="I111" s="57">
        <v>117359</v>
      </c>
      <c r="J111" s="56">
        <v>0</v>
      </c>
      <c r="K111" s="107">
        <f t="shared" si="2"/>
        <v>364225</v>
      </c>
      <c r="L111" s="56"/>
      <c r="M111" s="57">
        <v>23261</v>
      </c>
      <c r="N111" s="57">
        <v>0</v>
      </c>
      <c r="O111" s="56">
        <v>66212</v>
      </c>
      <c r="P111" s="107">
        <f t="shared" si="3"/>
        <v>89473</v>
      </c>
      <c r="Q111" s="56"/>
      <c r="R111" s="57">
        <v>276935</v>
      </c>
      <c r="S111" s="58">
        <v>-30835</v>
      </c>
      <c r="T111" s="58">
        <f>246099+1</f>
        <v>246100</v>
      </c>
    </row>
    <row r="112" spans="1:20">
      <c r="A112" s="54">
        <v>91101</v>
      </c>
      <c r="B112" s="55" t="s">
        <v>1493</v>
      </c>
      <c r="C112" s="106">
        <v>1.35581E-2</v>
      </c>
      <c r="D112" s="106">
        <v>1.36685E-2</v>
      </c>
      <c r="E112" s="56">
        <v>20713021</v>
      </c>
      <c r="F112" s="56"/>
      <c r="G112" s="57">
        <v>1193262</v>
      </c>
      <c r="H112" s="107">
        <v>5029146</v>
      </c>
      <c r="I112" s="57">
        <v>2958106</v>
      </c>
      <c r="J112" s="56">
        <v>471609</v>
      </c>
      <c r="K112" s="107">
        <f t="shared" si="2"/>
        <v>9652123</v>
      </c>
      <c r="L112" s="56"/>
      <c r="M112" s="57">
        <v>586320</v>
      </c>
      <c r="N112" s="57">
        <v>0</v>
      </c>
      <c r="O112" s="56">
        <v>587664</v>
      </c>
      <c r="P112" s="107">
        <f t="shared" si="3"/>
        <v>1173984</v>
      </c>
      <c r="Q112" s="56"/>
      <c r="R112" s="57">
        <v>6980306</v>
      </c>
      <c r="S112" s="58">
        <v>147859</v>
      </c>
      <c r="T112" s="58">
        <v>7128165</v>
      </c>
    </row>
    <row r="113" spans="1:20">
      <c r="A113" s="54">
        <v>91102</v>
      </c>
      <c r="B113" s="55" t="s">
        <v>1494</v>
      </c>
      <c r="C113" s="106">
        <v>3.2919999999999998E-4</v>
      </c>
      <c r="D113" s="106">
        <v>3.034E-4</v>
      </c>
      <c r="E113" s="56">
        <v>502926</v>
      </c>
      <c r="F113" s="56"/>
      <c r="G113" s="57">
        <v>28973</v>
      </c>
      <c r="H113" s="107">
        <v>122111</v>
      </c>
      <c r="I113" s="57">
        <v>71825</v>
      </c>
      <c r="J113" s="56">
        <v>35240</v>
      </c>
      <c r="K113" s="107">
        <f t="shared" si="2"/>
        <v>258149</v>
      </c>
      <c r="L113" s="56"/>
      <c r="M113" s="57">
        <v>14236</v>
      </c>
      <c r="N113" s="57">
        <v>0</v>
      </c>
      <c r="O113" s="56">
        <v>33978</v>
      </c>
      <c r="P113" s="107">
        <f t="shared" si="3"/>
        <v>48214</v>
      </c>
      <c r="Q113" s="56"/>
      <c r="R113" s="57">
        <v>169487</v>
      </c>
      <c r="S113" s="58">
        <v>-8323</v>
      </c>
      <c r="T113" s="58">
        <f>161163+1</f>
        <v>161164</v>
      </c>
    </row>
    <row r="114" spans="1:20">
      <c r="A114" s="54">
        <v>91104</v>
      </c>
      <c r="B114" s="55" t="s">
        <v>1495</v>
      </c>
      <c r="C114" s="106">
        <v>7.9000000000000006E-6</v>
      </c>
      <c r="D114" s="106">
        <v>8.1999999999999994E-6</v>
      </c>
      <c r="E114" s="56">
        <v>12069</v>
      </c>
      <c r="F114" s="56"/>
      <c r="G114" s="57">
        <v>695</v>
      </c>
      <c r="H114" s="107">
        <v>2930</v>
      </c>
      <c r="I114" s="57">
        <v>1724</v>
      </c>
      <c r="J114" s="56">
        <v>2115</v>
      </c>
      <c r="K114" s="107">
        <f t="shared" si="2"/>
        <v>7464</v>
      </c>
      <c r="L114" s="56"/>
      <c r="M114" s="57">
        <v>342</v>
      </c>
      <c r="N114" s="57">
        <v>0</v>
      </c>
      <c r="O114" s="56">
        <v>39</v>
      </c>
      <c r="P114" s="107">
        <f t="shared" si="3"/>
        <v>381</v>
      </c>
      <c r="Q114" s="56"/>
      <c r="R114" s="57">
        <v>4067</v>
      </c>
      <c r="S114" s="58">
        <v>589</v>
      </c>
      <c r="T114" s="58">
        <v>4656</v>
      </c>
    </row>
    <row r="115" spans="1:20">
      <c r="A115" s="54">
        <v>91107</v>
      </c>
      <c r="B115" s="55" t="s">
        <v>1496</v>
      </c>
      <c r="C115" s="106">
        <v>7.08E-5</v>
      </c>
      <c r="D115" s="106">
        <v>6.7899999999999997E-5</v>
      </c>
      <c r="E115" s="56">
        <v>108163</v>
      </c>
      <c r="F115" s="56"/>
      <c r="G115" s="57">
        <v>6231</v>
      </c>
      <c r="H115" s="107">
        <v>26263</v>
      </c>
      <c r="I115" s="57">
        <v>15447</v>
      </c>
      <c r="J115" s="56">
        <v>13143</v>
      </c>
      <c r="K115" s="107">
        <f t="shared" si="2"/>
        <v>61084</v>
      </c>
      <c r="L115" s="56"/>
      <c r="M115" s="57">
        <v>3062</v>
      </c>
      <c r="N115" s="57">
        <v>0</v>
      </c>
      <c r="O115" s="56">
        <v>0</v>
      </c>
      <c r="P115" s="107">
        <f t="shared" si="3"/>
        <v>3062</v>
      </c>
      <c r="Q115" s="56"/>
      <c r="R115" s="57">
        <v>36451</v>
      </c>
      <c r="S115" s="58">
        <v>5162</v>
      </c>
      <c r="T115" s="58">
        <v>41613</v>
      </c>
    </row>
    <row r="116" spans="1:20">
      <c r="A116" s="54">
        <v>91108</v>
      </c>
      <c r="B116" s="55" t="s">
        <v>1497</v>
      </c>
      <c r="C116" s="106">
        <v>1.2413999999999999E-3</v>
      </c>
      <c r="D116" s="106">
        <v>1.2622E-3</v>
      </c>
      <c r="E116" s="56">
        <v>1896515</v>
      </c>
      <c r="F116" s="56"/>
      <c r="G116" s="57">
        <v>109257</v>
      </c>
      <c r="H116" s="107">
        <v>460476</v>
      </c>
      <c r="I116" s="57">
        <v>270849</v>
      </c>
      <c r="J116" s="56">
        <v>74887</v>
      </c>
      <c r="K116" s="107">
        <f t="shared" si="2"/>
        <v>915469</v>
      </c>
      <c r="L116" s="56"/>
      <c r="M116" s="57">
        <v>53684</v>
      </c>
      <c r="N116" s="57">
        <v>0</v>
      </c>
      <c r="O116" s="56">
        <v>0</v>
      </c>
      <c r="P116" s="107">
        <f t="shared" si="3"/>
        <v>53684</v>
      </c>
      <c r="Q116" s="56"/>
      <c r="R116" s="57">
        <v>639127</v>
      </c>
      <c r="S116" s="58">
        <v>34876</v>
      </c>
      <c r="T116" s="58">
        <v>674003</v>
      </c>
    </row>
    <row r="117" spans="1:20">
      <c r="A117" s="54">
        <v>91109</v>
      </c>
      <c r="B117" s="55" t="s">
        <v>1498</v>
      </c>
      <c r="C117" s="106">
        <v>9.9599999999999995E-5</v>
      </c>
      <c r="D117" s="106">
        <v>9.2100000000000003E-5</v>
      </c>
      <c r="E117" s="56">
        <v>152161</v>
      </c>
      <c r="F117" s="56"/>
      <c r="G117" s="57">
        <v>8766</v>
      </c>
      <c r="H117" s="107">
        <v>36945</v>
      </c>
      <c r="I117" s="57">
        <v>21731</v>
      </c>
      <c r="J117" s="56">
        <v>5921</v>
      </c>
      <c r="K117" s="107">
        <f t="shared" si="2"/>
        <v>73363</v>
      </c>
      <c r="L117" s="56"/>
      <c r="M117" s="57">
        <v>4307</v>
      </c>
      <c r="N117" s="57">
        <v>0</v>
      </c>
      <c r="O117" s="56">
        <v>920</v>
      </c>
      <c r="P117" s="107">
        <f t="shared" si="3"/>
        <v>5227</v>
      </c>
      <c r="Q117" s="56"/>
      <c r="R117" s="57">
        <v>51278</v>
      </c>
      <c r="S117" s="58">
        <v>1215</v>
      </c>
      <c r="T117" s="58">
        <v>52493</v>
      </c>
    </row>
    <row r="118" spans="1:20">
      <c r="A118" s="54">
        <v>91111</v>
      </c>
      <c r="B118" s="55" t="s">
        <v>1499</v>
      </c>
      <c r="C118" s="106">
        <v>2.2719999999999999E-4</v>
      </c>
      <c r="D118" s="106">
        <v>2.2359999999999999E-4</v>
      </c>
      <c r="E118" s="56">
        <v>347099</v>
      </c>
      <c r="F118" s="56"/>
      <c r="G118" s="57">
        <v>19996</v>
      </c>
      <c r="H118" s="107">
        <v>84276</v>
      </c>
      <c r="I118" s="57">
        <v>49570</v>
      </c>
      <c r="J118" s="56">
        <v>25492</v>
      </c>
      <c r="K118" s="107">
        <f t="shared" si="2"/>
        <v>179334</v>
      </c>
      <c r="L118" s="56"/>
      <c r="M118" s="57">
        <v>9825</v>
      </c>
      <c r="N118" s="57">
        <v>0</v>
      </c>
      <c r="O118" s="56">
        <v>0</v>
      </c>
      <c r="P118" s="107">
        <f t="shared" si="3"/>
        <v>9825</v>
      </c>
      <c r="Q118" s="56"/>
      <c r="R118" s="57">
        <v>116973</v>
      </c>
      <c r="S118" s="58">
        <v>10793</v>
      </c>
      <c r="T118" s="58">
        <v>127766</v>
      </c>
    </row>
    <row r="119" spans="1:20">
      <c r="A119" s="54">
        <v>91119</v>
      </c>
      <c r="B119" s="55" t="s">
        <v>131</v>
      </c>
      <c r="C119" s="106">
        <v>0</v>
      </c>
      <c r="D119" s="106">
        <v>0</v>
      </c>
      <c r="E119" s="56">
        <v>0</v>
      </c>
      <c r="F119" s="56"/>
      <c r="G119" s="57">
        <v>0</v>
      </c>
      <c r="H119" s="107">
        <v>0</v>
      </c>
      <c r="I119" s="57">
        <v>0</v>
      </c>
      <c r="J119" s="56">
        <v>0</v>
      </c>
      <c r="K119" s="107">
        <f t="shared" si="2"/>
        <v>0</v>
      </c>
      <c r="L119" s="56"/>
      <c r="M119" s="57">
        <v>0</v>
      </c>
      <c r="N119" s="57">
        <v>0</v>
      </c>
      <c r="O119" s="56">
        <v>321091</v>
      </c>
      <c r="P119" s="107">
        <f t="shared" si="3"/>
        <v>321091</v>
      </c>
      <c r="Q119" s="56"/>
      <c r="R119" s="57">
        <v>0</v>
      </c>
      <c r="S119" s="58">
        <v>-324334</v>
      </c>
      <c r="T119" s="58">
        <v>-324334</v>
      </c>
    </row>
    <row r="120" spans="1:20">
      <c r="A120" s="54">
        <v>91120</v>
      </c>
      <c r="B120" s="55" t="s">
        <v>1500</v>
      </c>
      <c r="C120" s="106">
        <v>1.3019999999999999E-4</v>
      </c>
      <c r="D120" s="106">
        <v>1.184E-4</v>
      </c>
      <c r="E120" s="56">
        <v>198910</v>
      </c>
      <c r="F120" s="56"/>
      <c r="G120" s="57">
        <v>11459</v>
      </c>
      <c r="H120" s="107">
        <v>48295</v>
      </c>
      <c r="I120" s="57">
        <v>28407</v>
      </c>
      <c r="J120" s="56">
        <v>0</v>
      </c>
      <c r="K120" s="107">
        <f t="shared" si="2"/>
        <v>88161</v>
      </c>
      <c r="L120" s="56"/>
      <c r="M120" s="57">
        <v>5630</v>
      </c>
      <c r="N120" s="57">
        <v>0</v>
      </c>
      <c r="O120" s="56">
        <v>21939</v>
      </c>
      <c r="P120" s="107">
        <f t="shared" si="3"/>
        <v>27569</v>
      </c>
      <c r="Q120" s="56"/>
      <c r="R120" s="57">
        <v>67033</v>
      </c>
      <c r="S120" s="58">
        <v>-12131</v>
      </c>
      <c r="T120" s="58">
        <v>54902</v>
      </c>
    </row>
    <row r="121" spans="1:20">
      <c r="A121" s="54">
        <v>91121</v>
      </c>
      <c r="B121" s="55" t="s">
        <v>1501</v>
      </c>
      <c r="C121" s="106">
        <v>9.9927999999999996E-3</v>
      </c>
      <c r="D121" s="106">
        <v>9.7842999999999992E-3</v>
      </c>
      <c r="E121" s="56">
        <v>15266230</v>
      </c>
      <c r="F121" s="56"/>
      <c r="G121" s="57">
        <v>879476</v>
      </c>
      <c r="H121" s="107">
        <v>3706660</v>
      </c>
      <c r="I121" s="57">
        <v>2180229</v>
      </c>
      <c r="J121" s="56">
        <v>0</v>
      </c>
      <c r="K121" s="107">
        <f t="shared" si="2"/>
        <v>6766365</v>
      </c>
      <c r="L121" s="56"/>
      <c r="M121" s="57">
        <v>432139</v>
      </c>
      <c r="N121" s="57">
        <v>0</v>
      </c>
      <c r="O121" s="56">
        <v>650994</v>
      </c>
      <c r="P121" s="107">
        <f t="shared" si="3"/>
        <v>1083133</v>
      </c>
      <c r="Q121" s="56"/>
      <c r="R121" s="57">
        <v>5144733</v>
      </c>
      <c r="S121" s="58">
        <v>-324255</v>
      </c>
      <c r="T121" s="58">
        <f>4820479-1</f>
        <v>4820478</v>
      </c>
    </row>
    <row r="122" spans="1:20">
      <c r="A122" s="54">
        <v>91127</v>
      </c>
      <c r="B122" s="55" t="s">
        <v>1502</v>
      </c>
      <c r="C122" s="106">
        <v>2.6879999999999997E-4</v>
      </c>
      <c r="D122" s="106">
        <v>2.8229999999999998E-4</v>
      </c>
      <c r="E122" s="56">
        <v>410652</v>
      </c>
      <c r="F122" s="56"/>
      <c r="G122" s="57">
        <v>23657</v>
      </c>
      <c r="H122" s="107">
        <v>99706</v>
      </c>
      <c r="I122" s="57">
        <v>58647</v>
      </c>
      <c r="J122" s="56">
        <v>46863</v>
      </c>
      <c r="K122" s="107">
        <f t="shared" si="2"/>
        <v>228873</v>
      </c>
      <c r="L122" s="56"/>
      <c r="M122" s="57">
        <v>11624</v>
      </c>
      <c r="N122" s="57">
        <v>0</v>
      </c>
      <c r="O122" s="56">
        <v>0</v>
      </c>
      <c r="P122" s="107">
        <f t="shared" si="3"/>
        <v>11624</v>
      </c>
      <c r="Q122" s="56"/>
      <c r="R122" s="57">
        <v>138390</v>
      </c>
      <c r="S122" s="58">
        <v>25061</v>
      </c>
      <c r="T122" s="58">
        <v>163451</v>
      </c>
    </row>
    <row r="123" spans="1:20">
      <c r="A123" s="54">
        <v>91128</v>
      </c>
      <c r="B123" s="55" t="s">
        <v>1503</v>
      </c>
      <c r="C123" s="106">
        <v>5.2380000000000005E-4</v>
      </c>
      <c r="D123" s="106">
        <v>5.0929999999999997E-4</v>
      </c>
      <c r="E123" s="56">
        <v>800221</v>
      </c>
      <c r="F123" s="56"/>
      <c r="G123" s="57">
        <v>46100</v>
      </c>
      <c r="H123" s="107">
        <v>194295</v>
      </c>
      <c r="I123" s="57">
        <v>114283</v>
      </c>
      <c r="J123" s="56">
        <v>15169</v>
      </c>
      <c r="K123" s="107">
        <f t="shared" si="2"/>
        <v>369847</v>
      </c>
      <c r="L123" s="56"/>
      <c r="M123" s="57">
        <v>22652</v>
      </c>
      <c r="N123" s="57">
        <v>0</v>
      </c>
      <c r="O123" s="56">
        <v>6263</v>
      </c>
      <c r="P123" s="107">
        <f t="shared" si="3"/>
        <v>28915</v>
      </c>
      <c r="Q123" s="56"/>
      <c r="R123" s="57">
        <v>269675</v>
      </c>
      <c r="S123" s="58">
        <v>-679</v>
      </c>
      <c r="T123" s="58">
        <v>268996</v>
      </c>
    </row>
    <row r="124" spans="1:20">
      <c r="A124" s="54">
        <v>91138</v>
      </c>
      <c r="B124" s="55" t="s">
        <v>1504</v>
      </c>
      <c r="C124" s="106">
        <v>6.2629999999999999E-4</v>
      </c>
      <c r="D124" s="106">
        <v>6.2350000000000003E-4</v>
      </c>
      <c r="E124" s="56">
        <v>956813</v>
      </c>
      <c r="F124" s="56"/>
      <c r="G124" s="57">
        <v>55121</v>
      </c>
      <c r="H124" s="107">
        <v>232316</v>
      </c>
      <c r="I124" s="57">
        <v>136646</v>
      </c>
      <c r="J124" s="56">
        <v>0</v>
      </c>
      <c r="K124" s="107">
        <f t="shared" si="2"/>
        <v>424083</v>
      </c>
      <c r="L124" s="56"/>
      <c r="M124" s="57">
        <v>27084</v>
      </c>
      <c r="N124" s="57">
        <v>0</v>
      </c>
      <c r="O124" s="56">
        <v>127984</v>
      </c>
      <c r="P124" s="107">
        <f t="shared" si="3"/>
        <v>155068</v>
      </c>
      <c r="Q124" s="56"/>
      <c r="R124" s="57">
        <v>322447</v>
      </c>
      <c r="S124" s="58">
        <v>-48531</v>
      </c>
      <c r="T124" s="58">
        <v>273916</v>
      </c>
    </row>
    <row r="125" spans="1:20">
      <c r="A125" s="54">
        <v>91141</v>
      </c>
      <c r="B125" s="55" t="s">
        <v>1505</v>
      </c>
      <c r="C125" s="106">
        <v>5.7569999999999995E-4</v>
      </c>
      <c r="D125" s="106">
        <v>5.5679999999999998E-4</v>
      </c>
      <c r="E125" s="56">
        <v>879510</v>
      </c>
      <c r="F125" s="56"/>
      <c r="G125" s="57">
        <v>50668</v>
      </c>
      <c r="H125" s="107">
        <v>213546</v>
      </c>
      <c r="I125" s="57">
        <v>125606</v>
      </c>
      <c r="J125" s="56">
        <v>0</v>
      </c>
      <c r="K125" s="107">
        <f t="shared" si="2"/>
        <v>389820</v>
      </c>
      <c r="L125" s="56"/>
      <c r="M125" s="57">
        <v>24896</v>
      </c>
      <c r="N125" s="57">
        <v>0</v>
      </c>
      <c r="O125" s="56">
        <v>80393</v>
      </c>
      <c r="P125" s="107">
        <f t="shared" si="3"/>
        <v>105289</v>
      </c>
      <c r="Q125" s="56"/>
      <c r="R125" s="57">
        <v>296396</v>
      </c>
      <c r="S125" s="58">
        <v>-38126</v>
      </c>
      <c r="T125" s="58">
        <v>258270</v>
      </c>
    </row>
    <row r="126" spans="1:20">
      <c r="A126" s="54">
        <v>91147</v>
      </c>
      <c r="B126" s="55" t="s">
        <v>1506</v>
      </c>
      <c r="C126" s="106">
        <v>2.6699999999999998E-5</v>
      </c>
      <c r="D126" s="106">
        <v>2.4199999999999999E-5</v>
      </c>
      <c r="E126" s="56">
        <v>40790</v>
      </c>
      <c r="F126" s="56"/>
      <c r="G126" s="57">
        <v>2350</v>
      </c>
      <c r="H126" s="107">
        <v>9904</v>
      </c>
      <c r="I126" s="57">
        <v>5825</v>
      </c>
      <c r="J126" s="56">
        <v>8489</v>
      </c>
      <c r="K126" s="107">
        <f t="shared" si="2"/>
        <v>26568</v>
      </c>
      <c r="L126" s="56"/>
      <c r="M126" s="57">
        <v>1155</v>
      </c>
      <c r="N126" s="57">
        <v>0</v>
      </c>
      <c r="O126" s="56">
        <v>0</v>
      </c>
      <c r="P126" s="107">
        <f t="shared" si="3"/>
        <v>1155</v>
      </c>
      <c r="Q126" s="56"/>
      <c r="R126" s="57">
        <v>13746</v>
      </c>
      <c r="S126" s="58">
        <v>4333</v>
      </c>
      <c r="T126" s="58">
        <f>18080-1</f>
        <v>18079</v>
      </c>
    </row>
    <row r="127" spans="1:20">
      <c r="A127" s="54">
        <v>91151</v>
      </c>
      <c r="B127" s="55" t="s">
        <v>1507</v>
      </c>
      <c r="C127" s="106">
        <v>6.3409999999999996E-4</v>
      </c>
      <c r="D127" s="106">
        <v>6.1180000000000002E-4</v>
      </c>
      <c r="E127" s="56">
        <v>968729</v>
      </c>
      <c r="F127" s="56"/>
      <c r="G127" s="57">
        <v>55808</v>
      </c>
      <c r="H127" s="107">
        <v>235208</v>
      </c>
      <c r="I127" s="57">
        <v>138348</v>
      </c>
      <c r="J127" s="56">
        <v>6907</v>
      </c>
      <c r="K127" s="107">
        <f t="shared" si="2"/>
        <v>436271</v>
      </c>
      <c r="L127" s="56"/>
      <c r="M127" s="57">
        <v>27422</v>
      </c>
      <c r="N127" s="57">
        <v>0</v>
      </c>
      <c r="O127" s="56">
        <v>49311</v>
      </c>
      <c r="P127" s="107">
        <f t="shared" si="3"/>
        <v>76733</v>
      </c>
      <c r="Q127" s="56"/>
      <c r="R127" s="57">
        <v>326463</v>
      </c>
      <c r="S127" s="58">
        <v>-15290</v>
      </c>
      <c r="T127" s="58">
        <f>311172+1</f>
        <v>311173</v>
      </c>
    </row>
    <row r="128" spans="1:20">
      <c r="A128" s="54">
        <v>91154</v>
      </c>
      <c r="B128" s="55" t="s">
        <v>1508</v>
      </c>
      <c r="C128" s="106">
        <v>2.6299999999999999E-5</v>
      </c>
      <c r="D128" s="106">
        <v>1.9599999999999999E-5</v>
      </c>
      <c r="E128" s="56">
        <v>40179</v>
      </c>
      <c r="F128" s="56"/>
      <c r="G128" s="57">
        <v>2315</v>
      </c>
      <c r="H128" s="107">
        <v>9756</v>
      </c>
      <c r="I128" s="57">
        <v>5738</v>
      </c>
      <c r="J128" s="56">
        <v>7326</v>
      </c>
      <c r="K128" s="107">
        <f t="shared" si="2"/>
        <v>25135</v>
      </c>
      <c r="L128" s="56"/>
      <c r="M128" s="57">
        <v>1137</v>
      </c>
      <c r="N128" s="57">
        <v>0</v>
      </c>
      <c r="O128" s="56">
        <v>0</v>
      </c>
      <c r="P128" s="107">
        <f t="shared" si="3"/>
        <v>1137</v>
      </c>
      <c r="Q128" s="56"/>
      <c r="R128" s="57">
        <v>13540</v>
      </c>
      <c r="S128" s="58">
        <v>2962</v>
      </c>
      <c r="T128" s="58">
        <f>16503-1</f>
        <v>16502</v>
      </c>
    </row>
    <row r="129" spans="1:20">
      <c r="A129" s="54">
        <v>91161</v>
      </c>
      <c r="B129" s="55" t="s">
        <v>1509</v>
      </c>
      <c r="C129" s="106">
        <v>9.2600000000000001E-5</v>
      </c>
      <c r="D129" s="106">
        <v>9.4599999999999996E-5</v>
      </c>
      <c r="E129" s="56">
        <v>141467</v>
      </c>
      <c r="F129" s="56"/>
      <c r="G129" s="57">
        <v>8150</v>
      </c>
      <c r="H129" s="107">
        <v>34348</v>
      </c>
      <c r="I129" s="57">
        <v>20203</v>
      </c>
      <c r="J129" s="56">
        <v>5327</v>
      </c>
      <c r="K129" s="107">
        <f t="shared" si="2"/>
        <v>68028</v>
      </c>
      <c r="L129" s="56"/>
      <c r="M129" s="57">
        <v>4004</v>
      </c>
      <c r="N129" s="57">
        <v>0</v>
      </c>
      <c r="O129" s="56">
        <v>3079</v>
      </c>
      <c r="P129" s="107">
        <f t="shared" si="3"/>
        <v>7083</v>
      </c>
      <c r="Q129" s="56"/>
      <c r="R129" s="57">
        <v>47675</v>
      </c>
      <c r="S129" s="58">
        <v>935</v>
      </c>
      <c r="T129" s="58">
        <v>48610</v>
      </c>
    </row>
    <row r="130" spans="1:20">
      <c r="A130" s="54">
        <v>91171</v>
      </c>
      <c r="B130" s="55" t="s">
        <v>1510</v>
      </c>
      <c r="C130" s="106">
        <v>1.95E-4</v>
      </c>
      <c r="D130" s="106">
        <v>2.5589999999999999E-4</v>
      </c>
      <c r="E130" s="56">
        <v>297906</v>
      </c>
      <c r="F130" s="56"/>
      <c r="G130" s="57">
        <v>17162</v>
      </c>
      <c r="H130" s="107">
        <v>72331</v>
      </c>
      <c r="I130" s="57">
        <v>42545</v>
      </c>
      <c r="J130" s="56">
        <v>0</v>
      </c>
      <c r="K130" s="107">
        <f t="shared" si="2"/>
        <v>132038</v>
      </c>
      <c r="L130" s="56"/>
      <c r="M130" s="57">
        <v>8433</v>
      </c>
      <c r="N130" s="57">
        <v>0</v>
      </c>
      <c r="O130" s="56">
        <v>58020</v>
      </c>
      <c r="P130" s="107">
        <f t="shared" si="3"/>
        <v>66453</v>
      </c>
      <c r="Q130" s="56"/>
      <c r="R130" s="57">
        <v>100395</v>
      </c>
      <c r="S130" s="58">
        <v>-21400</v>
      </c>
      <c r="T130" s="58">
        <f>78994+1</f>
        <v>78995</v>
      </c>
    </row>
    <row r="131" spans="1:20">
      <c r="A131" s="54">
        <v>91201</v>
      </c>
      <c r="B131" s="55" t="s">
        <v>1511</v>
      </c>
      <c r="C131" s="106">
        <v>2.2878E-3</v>
      </c>
      <c r="D131" s="106">
        <v>2.3127999999999998E-3</v>
      </c>
      <c r="E131" s="56">
        <v>3495125</v>
      </c>
      <c r="F131" s="56"/>
      <c r="G131" s="57">
        <v>201352</v>
      </c>
      <c r="H131" s="107">
        <v>848620</v>
      </c>
      <c r="I131" s="57">
        <v>499152</v>
      </c>
      <c r="J131" s="56">
        <v>40348</v>
      </c>
      <c r="K131" s="107">
        <f t="shared" si="2"/>
        <v>1589472</v>
      </c>
      <c r="L131" s="56"/>
      <c r="M131" s="57">
        <v>98936</v>
      </c>
      <c r="N131" s="57">
        <v>0</v>
      </c>
      <c r="O131" s="56">
        <v>96428</v>
      </c>
      <c r="P131" s="107">
        <f t="shared" si="3"/>
        <v>195364</v>
      </c>
      <c r="Q131" s="56"/>
      <c r="R131" s="57">
        <v>1177860</v>
      </c>
      <c r="S131" s="58">
        <v>-568</v>
      </c>
      <c r="T131" s="58">
        <v>1177292</v>
      </c>
    </row>
    <row r="132" spans="1:20">
      <c r="A132" s="54">
        <v>91202</v>
      </c>
      <c r="B132" s="55" t="s">
        <v>1512</v>
      </c>
      <c r="C132" s="106">
        <v>1.9330000000000001E-4</v>
      </c>
      <c r="D132" s="106">
        <v>1.897E-4</v>
      </c>
      <c r="E132" s="56">
        <v>295309</v>
      </c>
      <c r="F132" s="56"/>
      <c r="G132" s="57">
        <v>17013</v>
      </c>
      <c r="H132" s="107">
        <v>71701</v>
      </c>
      <c r="I132" s="57">
        <v>42174</v>
      </c>
      <c r="J132" s="56">
        <v>27893</v>
      </c>
      <c r="K132" s="107">
        <f t="shared" si="2"/>
        <v>158781</v>
      </c>
      <c r="L132" s="56"/>
      <c r="M132" s="57">
        <v>8359</v>
      </c>
      <c r="N132" s="57">
        <v>0</v>
      </c>
      <c r="O132" s="56">
        <v>0</v>
      </c>
      <c r="P132" s="107">
        <f t="shared" si="3"/>
        <v>8359</v>
      </c>
      <c r="Q132" s="56"/>
      <c r="R132" s="57">
        <v>99519</v>
      </c>
      <c r="S132" s="58">
        <v>12367</v>
      </c>
      <c r="T132" s="58">
        <v>111886</v>
      </c>
    </row>
    <row r="133" spans="1:20">
      <c r="A133" s="54">
        <v>91203</v>
      </c>
      <c r="B133" s="55" t="s">
        <v>1513</v>
      </c>
      <c r="C133" s="106">
        <v>2.1939999999999999E-4</v>
      </c>
      <c r="D133" s="106">
        <v>2.4479999999999999E-4</v>
      </c>
      <c r="E133" s="56">
        <v>335182</v>
      </c>
      <c r="F133" s="56"/>
      <c r="G133" s="57">
        <v>19310</v>
      </c>
      <c r="H133" s="107">
        <v>81383</v>
      </c>
      <c r="I133" s="57">
        <v>47869</v>
      </c>
      <c r="J133" s="56">
        <v>25236</v>
      </c>
      <c r="K133" s="107">
        <f t="shared" si="2"/>
        <v>173798</v>
      </c>
      <c r="L133" s="56"/>
      <c r="M133" s="57">
        <v>9488</v>
      </c>
      <c r="N133" s="57">
        <v>0</v>
      </c>
      <c r="O133" s="56">
        <v>0</v>
      </c>
      <c r="P133" s="107">
        <f t="shared" si="3"/>
        <v>9488</v>
      </c>
      <c r="Q133" s="56"/>
      <c r="R133" s="57">
        <v>112957</v>
      </c>
      <c r="S133" s="58">
        <v>12508</v>
      </c>
      <c r="T133" s="58">
        <f>125464+1</f>
        <v>125465</v>
      </c>
    </row>
    <row r="134" spans="1:20">
      <c r="A134" s="54">
        <v>91206</v>
      </c>
      <c r="B134" s="55" t="s">
        <v>1514</v>
      </c>
      <c r="C134" s="106">
        <v>8.6450000000000003E-4</v>
      </c>
      <c r="D134" s="106">
        <v>8.2129999999999996E-4</v>
      </c>
      <c r="E134" s="56">
        <v>1320717</v>
      </c>
      <c r="F134" s="56"/>
      <c r="G134" s="57">
        <v>76086</v>
      </c>
      <c r="H134" s="107">
        <v>320672</v>
      </c>
      <c r="I134" s="57">
        <v>188617</v>
      </c>
      <c r="J134" s="56">
        <v>32943</v>
      </c>
      <c r="K134" s="107">
        <f t="shared" si="2"/>
        <v>618318</v>
      </c>
      <c r="L134" s="56"/>
      <c r="M134" s="57">
        <v>37385</v>
      </c>
      <c r="N134" s="57">
        <v>0</v>
      </c>
      <c r="O134" s="56">
        <v>1131</v>
      </c>
      <c r="P134" s="107">
        <f t="shared" si="3"/>
        <v>38516</v>
      </c>
      <c r="Q134" s="56"/>
      <c r="R134" s="57">
        <v>445083</v>
      </c>
      <c r="S134" s="58">
        <v>15708</v>
      </c>
      <c r="T134" s="58">
        <v>460791</v>
      </c>
    </row>
    <row r="135" spans="1:20">
      <c r="A135" s="54">
        <v>91208</v>
      </c>
      <c r="B135" s="55" t="s">
        <v>1515</v>
      </c>
      <c r="C135" s="106">
        <v>1.42E-5</v>
      </c>
      <c r="D135" s="106">
        <v>1.3699999999999999E-5</v>
      </c>
      <c r="E135" s="56">
        <v>21694</v>
      </c>
      <c r="F135" s="56"/>
      <c r="G135" s="57">
        <v>1250</v>
      </c>
      <c r="H135" s="107">
        <v>5267</v>
      </c>
      <c r="I135" s="57">
        <v>3098</v>
      </c>
      <c r="J135" s="56">
        <v>3961</v>
      </c>
      <c r="K135" s="107">
        <f t="shared" ref="K135:K198" si="4">G135+H135+I135+J135</f>
        <v>13576</v>
      </c>
      <c r="L135" s="56"/>
      <c r="M135" s="57">
        <v>614</v>
      </c>
      <c r="N135" s="57">
        <v>0</v>
      </c>
      <c r="O135" s="56">
        <v>0</v>
      </c>
      <c r="P135" s="107">
        <f t="shared" ref="P135:P198" si="5">M135+N135+O135</f>
        <v>614</v>
      </c>
      <c r="Q135" s="56"/>
      <c r="R135" s="57">
        <v>7311</v>
      </c>
      <c r="S135" s="58">
        <v>3460</v>
      </c>
      <c r="T135" s="58">
        <v>10771</v>
      </c>
    </row>
    <row r="136" spans="1:20">
      <c r="A136" s="54">
        <v>91211</v>
      </c>
      <c r="B136" s="55" t="s">
        <v>1516</v>
      </c>
      <c r="C136" s="106">
        <v>4.5530000000000001E-4</v>
      </c>
      <c r="D136" s="106">
        <v>4.6789999999999999E-4</v>
      </c>
      <c r="E136" s="56">
        <v>695572</v>
      </c>
      <c r="F136" s="56"/>
      <c r="G136" s="57">
        <v>40071</v>
      </c>
      <c r="H136" s="107">
        <v>168886</v>
      </c>
      <c r="I136" s="57">
        <v>99337</v>
      </c>
      <c r="J136" s="56">
        <v>6745</v>
      </c>
      <c r="K136" s="107">
        <f t="shared" si="4"/>
        <v>315039</v>
      </c>
      <c r="L136" s="56"/>
      <c r="M136" s="57">
        <v>19689</v>
      </c>
      <c r="N136" s="57">
        <v>0</v>
      </c>
      <c r="O136" s="56">
        <v>3315</v>
      </c>
      <c r="P136" s="107">
        <f t="shared" si="5"/>
        <v>23004</v>
      </c>
      <c r="Q136" s="56"/>
      <c r="R136" s="57">
        <v>234408</v>
      </c>
      <c r="S136" s="58">
        <v>1355</v>
      </c>
      <c r="T136" s="58">
        <v>235763</v>
      </c>
    </row>
    <row r="137" spans="1:20">
      <c r="A137" s="54">
        <v>91213</v>
      </c>
      <c r="B137" s="55" t="s">
        <v>1517</v>
      </c>
      <c r="C137" s="106">
        <v>3.2499999999999997E-5</v>
      </c>
      <c r="D137" s="106">
        <v>3.57E-5</v>
      </c>
      <c r="E137" s="56">
        <v>49651</v>
      </c>
      <c r="F137" s="56"/>
      <c r="G137" s="57">
        <v>2860</v>
      </c>
      <c r="H137" s="107">
        <v>12056</v>
      </c>
      <c r="I137" s="57">
        <v>7091</v>
      </c>
      <c r="J137" s="56">
        <v>0</v>
      </c>
      <c r="K137" s="107">
        <f t="shared" si="4"/>
        <v>22007</v>
      </c>
      <c r="L137" s="56"/>
      <c r="M137" s="57">
        <v>1405</v>
      </c>
      <c r="N137" s="57">
        <v>0</v>
      </c>
      <c r="O137" s="56">
        <v>7680</v>
      </c>
      <c r="P137" s="107">
        <f t="shared" si="5"/>
        <v>9085</v>
      </c>
      <c r="Q137" s="56"/>
      <c r="R137" s="57">
        <v>16732</v>
      </c>
      <c r="S137" s="58">
        <v>-2660</v>
      </c>
      <c r="T137" s="58">
        <v>14072</v>
      </c>
    </row>
    <row r="138" spans="1:20">
      <c r="A138" s="54">
        <v>91214</v>
      </c>
      <c r="B138" s="55" t="s">
        <v>1518</v>
      </c>
      <c r="C138" s="106">
        <v>2.9300000000000001E-5</v>
      </c>
      <c r="D138" s="106">
        <v>2.8200000000000001E-5</v>
      </c>
      <c r="E138" s="56">
        <v>44762</v>
      </c>
      <c r="F138" s="56"/>
      <c r="G138" s="57">
        <v>2579</v>
      </c>
      <c r="H138" s="107">
        <v>10868</v>
      </c>
      <c r="I138" s="57">
        <v>6393</v>
      </c>
      <c r="J138" s="56">
        <v>1300</v>
      </c>
      <c r="K138" s="107">
        <f t="shared" si="4"/>
        <v>21140</v>
      </c>
      <c r="L138" s="56"/>
      <c r="M138" s="57">
        <v>1267</v>
      </c>
      <c r="N138" s="57">
        <v>0</v>
      </c>
      <c r="O138" s="56">
        <v>3669</v>
      </c>
      <c r="P138" s="107">
        <f t="shared" si="5"/>
        <v>4936</v>
      </c>
      <c r="Q138" s="56"/>
      <c r="R138" s="57">
        <v>15085</v>
      </c>
      <c r="S138" s="58">
        <v>-283</v>
      </c>
      <c r="T138" s="58">
        <v>14802</v>
      </c>
    </row>
    <row r="139" spans="1:20">
      <c r="A139" s="54">
        <v>91217</v>
      </c>
      <c r="B139" s="55" t="s">
        <v>1519</v>
      </c>
      <c r="C139" s="106">
        <v>2.8799999999999999E-5</v>
      </c>
      <c r="D139" s="106">
        <v>2.6699999999999998E-5</v>
      </c>
      <c r="E139" s="56">
        <v>43998</v>
      </c>
      <c r="F139" s="56"/>
      <c r="G139" s="57">
        <v>2535</v>
      </c>
      <c r="H139" s="107">
        <v>10683</v>
      </c>
      <c r="I139" s="57">
        <v>6284</v>
      </c>
      <c r="J139" s="56">
        <v>10784</v>
      </c>
      <c r="K139" s="107">
        <f t="shared" si="4"/>
        <v>30286</v>
      </c>
      <c r="L139" s="56"/>
      <c r="M139" s="57">
        <v>1245</v>
      </c>
      <c r="N139" s="57">
        <v>0</v>
      </c>
      <c r="O139" s="56">
        <v>0</v>
      </c>
      <c r="P139" s="107">
        <f t="shared" si="5"/>
        <v>1245</v>
      </c>
      <c r="Q139" s="56"/>
      <c r="R139" s="57">
        <v>14828</v>
      </c>
      <c r="S139" s="58">
        <v>4311</v>
      </c>
      <c r="T139" s="58">
        <v>19139</v>
      </c>
    </row>
    <row r="140" spans="1:20">
      <c r="A140" s="54">
        <v>91221</v>
      </c>
      <c r="B140" s="55" t="s">
        <v>1520</v>
      </c>
      <c r="C140" s="106">
        <v>1.3359999999999999E-4</v>
      </c>
      <c r="D140" s="106">
        <v>1.294E-4</v>
      </c>
      <c r="E140" s="56">
        <v>204104</v>
      </c>
      <c r="F140" s="56"/>
      <c r="G140" s="57">
        <v>11758</v>
      </c>
      <c r="H140" s="107">
        <v>49557</v>
      </c>
      <c r="I140" s="57">
        <v>29149</v>
      </c>
      <c r="J140" s="56">
        <v>5038</v>
      </c>
      <c r="K140" s="107">
        <f t="shared" si="4"/>
        <v>95502</v>
      </c>
      <c r="L140" s="56"/>
      <c r="M140" s="57">
        <v>5778</v>
      </c>
      <c r="N140" s="57">
        <v>0</v>
      </c>
      <c r="O140" s="56">
        <v>7113</v>
      </c>
      <c r="P140" s="107">
        <f t="shared" si="5"/>
        <v>12891</v>
      </c>
      <c r="Q140" s="56"/>
      <c r="R140" s="57">
        <v>68783</v>
      </c>
      <c r="S140" s="58">
        <v>1397</v>
      </c>
      <c r="T140" s="58">
        <v>70180</v>
      </c>
    </row>
    <row r="141" spans="1:20">
      <c r="A141" s="54">
        <v>91231</v>
      </c>
      <c r="B141" s="55" t="s">
        <v>1521</v>
      </c>
      <c r="C141" s="106">
        <v>1.8856000000000001E-3</v>
      </c>
      <c r="D141" s="106">
        <v>1.9957E-3</v>
      </c>
      <c r="E141" s="56">
        <v>2880674</v>
      </c>
      <c r="F141" s="56"/>
      <c r="G141" s="57">
        <v>165954</v>
      </c>
      <c r="H141" s="107">
        <v>699431</v>
      </c>
      <c r="I141" s="57">
        <v>411400</v>
      </c>
      <c r="J141" s="56">
        <v>10587</v>
      </c>
      <c r="K141" s="107">
        <f t="shared" si="4"/>
        <v>1287372</v>
      </c>
      <c r="L141" s="56"/>
      <c r="M141" s="57">
        <v>81543</v>
      </c>
      <c r="N141" s="57">
        <v>0</v>
      </c>
      <c r="O141" s="56">
        <v>132995</v>
      </c>
      <c r="P141" s="107">
        <f t="shared" si="5"/>
        <v>214538</v>
      </c>
      <c r="Q141" s="56"/>
      <c r="R141" s="57">
        <v>970790</v>
      </c>
      <c r="S141" s="58">
        <v>-32073</v>
      </c>
      <c r="T141" s="58">
        <v>938717</v>
      </c>
    </row>
    <row r="142" spans="1:20">
      <c r="A142" s="54">
        <v>91233</v>
      </c>
      <c r="B142" s="55" t="s">
        <v>1522</v>
      </c>
      <c r="C142" s="106">
        <v>5.8100000000000003E-5</v>
      </c>
      <c r="D142" s="106">
        <v>4.5599999999999997E-5</v>
      </c>
      <c r="E142" s="56">
        <v>88761</v>
      </c>
      <c r="F142" s="56"/>
      <c r="G142" s="57">
        <v>5113</v>
      </c>
      <c r="H142" s="107">
        <v>21551</v>
      </c>
      <c r="I142" s="57">
        <v>12676</v>
      </c>
      <c r="J142" s="56">
        <v>9544</v>
      </c>
      <c r="K142" s="107">
        <f t="shared" si="4"/>
        <v>48884</v>
      </c>
      <c r="L142" s="56"/>
      <c r="M142" s="57">
        <v>2513</v>
      </c>
      <c r="N142" s="57">
        <v>0</v>
      </c>
      <c r="O142" s="56">
        <v>117</v>
      </c>
      <c r="P142" s="107">
        <f t="shared" si="5"/>
        <v>2630</v>
      </c>
      <c r="Q142" s="56"/>
      <c r="R142" s="57">
        <v>29912</v>
      </c>
      <c r="S142" s="58">
        <v>4289</v>
      </c>
      <c r="T142" s="58">
        <f>34202-1</f>
        <v>34201</v>
      </c>
    </row>
    <row r="143" spans="1:20">
      <c r="A143" s="54">
        <v>91241</v>
      </c>
      <c r="B143" s="55" t="s">
        <v>1523</v>
      </c>
      <c r="C143" s="106">
        <v>3.5500000000000002E-5</v>
      </c>
      <c r="D143" s="106">
        <v>3.68E-5</v>
      </c>
      <c r="E143" s="56">
        <v>54234</v>
      </c>
      <c r="F143" s="56"/>
      <c r="G143" s="57">
        <v>3124</v>
      </c>
      <c r="H143" s="107">
        <v>13168</v>
      </c>
      <c r="I143" s="57">
        <v>7745</v>
      </c>
      <c r="J143" s="56">
        <v>0</v>
      </c>
      <c r="K143" s="107">
        <f t="shared" si="4"/>
        <v>24037</v>
      </c>
      <c r="L143" s="56"/>
      <c r="M143" s="57">
        <v>1535</v>
      </c>
      <c r="N143" s="57">
        <v>0</v>
      </c>
      <c r="O143" s="56">
        <v>4391</v>
      </c>
      <c r="P143" s="107">
        <f t="shared" si="5"/>
        <v>5926</v>
      </c>
      <c r="Q143" s="56"/>
      <c r="R143" s="57">
        <v>18277</v>
      </c>
      <c r="S143" s="58">
        <v>-2564</v>
      </c>
      <c r="T143" s="58">
        <v>15713</v>
      </c>
    </row>
    <row r="144" spans="1:20">
      <c r="A144" s="54">
        <v>91251</v>
      </c>
      <c r="B144" s="55" t="s">
        <v>1524</v>
      </c>
      <c r="C144" s="106">
        <v>1.9899999999999999E-5</v>
      </c>
      <c r="D144" s="106">
        <v>2.65E-5</v>
      </c>
      <c r="E144" s="56">
        <v>30402</v>
      </c>
      <c r="F144" s="56"/>
      <c r="G144" s="57">
        <v>1751</v>
      </c>
      <c r="H144" s="107">
        <v>7381</v>
      </c>
      <c r="I144" s="57">
        <v>4342</v>
      </c>
      <c r="J144" s="56">
        <v>2341</v>
      </c>
      <c r="K144" s="107">
        <f t="shared" si="4"/>
        <v>15815</v>
      </c>
      <c r="L144" s="56"/>
      <c r="M144" s="57">
        <v>861</v>
      </c>
      <c r="N144" s="57">
        <v>0</v>
      </c>
      <c r="O144" s="56">
        <v>3540</v>
      </c>
      <c r="P144" s="107">
        <f t="shared" si="5"/>
        <v>4401</v>
      </c>
      <c r="Q144" s="56"/>
      <c r="R144" s="57">
        <v>10245</v>
      </c>
      <c r="S144" s="58">
        <v>1340</v>
      </c>
      <c r="T144" s="58">
        <f>11586-1</f>
        <v>11585</v>
      </c>
    </row>
    <row r="145" spans="1:20">
      <c r="A145" s="54">
        <v>91261</v>
      </c>
      <c r="B145" s="55" t="s">
        <v>1525</v>
      </c>
      <c r="C145" s="106">
        <v>1.03E-5</v>
      </c>
      <c r="D145" s="106">
        <v>9.5000000000000005E-6</v>
      </c>
      <c r="E145" s="56">
        <v>15736</v>
      </c>
      <c r="F145" s="56"/>
      <c r="G145" s="57">
        <v>907</v>
      </c>
      <c r="H145" s="107">
        <v>3821</v>
      </c>
      <c r="I145" s="57">
        <v>2247</v>
      </c>
      <c r="J145" s="56">
        <v>1784</v>
      </c>
      <c r="K145" s="107">
        <f t="shared" si="4"/>
        <v>8759</v>
      </c>
      <c r="L145" s="56"/>
      <c r="M145" s="57">
        <v>445</v>
      </c>
      <c r="N145" s="57">
        <v>0</v>
      </c>
      <c r="O145" s="56">
        <v>0</v>
      </c>
      <c r="P145" s="107">
        <f t="shared" si="5"/>
        <v>445</v>
      </c>
      <c r="Q145" s="56"/>
      <c r="R145" s="57">
        <v>5303</v>
      </c>
      <c r="S145" s="58">
        <v>850</v>
      </c>
      <c r="T145" s="58">
        <v>6153</v>
      </c>
    </row>
    <row r="146" spans="1:20">
      <c r="A146" s="54">
        <v>91301</v>
      </c>
      <c r="B146" s="55" t="s">
        <v>1526</v>
      </c>
      <c r="C146" s="106">
        <v>7.6985999999999999E-3</v>
      </c>
      <c r="D146" s="106">
        <v>7.7765000000000004E-3</v>
      </c>
      <c r="E146" s="56">
        <v>11761328</v>
      </c>
      <c r="F146" s="56"/>
      <c r="G146" s="57">
        <v>677561</v>
      </c>
      <c r="H146" s="107">
        <v>2855665</v>
      </c>
      <c r="I146" s="57">
        <v>1679681</v>
      </c>
      <c r="J146" s="56">
        <v>19915</v>
      </c>
      <c r="K146" s="107">
        <f t="shared" si="4"/>
        <v>5232822</v>
      </c>
      <c r="L146" s="56"/>
      <c r="M146" s="57">
        <v>332926</v>
      </c>
      <c r="N146" s="57">
        <v>0</v>
      </c>
      <c r="O146" s="56">
        <v>249856</v>
      </c>
      <c r="P146" s="107">
        <f t="shared" si="5"/>
        <v>582782</v>
      </c>
      <c r="Q146" s="56"/>
      <c r="R146" s="57">
        <v>3963578</v>
      </c>
      <c r="S146" s="58">
        <v>-98741</v>
      </c>
      <c r="T146" s="58">
        <v>3864837</v>
      </c>
    </row>
    <row r="147" spans="1:20">
      <c r="A147" s="59">
        <v>91302</v>
      </c>
      <c r="B147" s="55" t="s">
        <v>1527</v>
      </c>
      <c r="C147" s="106">
        <v>6.0300000000000002E-4</v>
      </c>
      <c r="D147" s="106">
        <v>5.9190000000000002E-4</v>
      </c>
      <c r="E147" s="56">
        <v>921217</v>
      </c>
      <c r="F147" s="56"/>
      <c r="G147" s="57">
        <v>53071</v>
      </c>
      <c r="H147" s="107">
        <v>223673</v>
      </c>
      <c r="I147" s="57">
        <v>131563</v>
      </c>
      <c r="J147" s="56">
        <v>32897</v>
      </c>
      <c r="K147" s="107">
        <f t="shared" si="4"/>
        <v>441204</v>
      </c>
      <c r="L147" s="56"/>
      <c r="M147" s="57">
        <v>26077</v>
      </c>
      <c r="N147" s="57">
        <v>0</v>
      </c>
      <c r="O147" s="56">
        <v>6670</v>
      </c>
      <c r="P147" s="107">
        <f t="shared" si="5"/>
        <v>32747</v>
      </c>
      <c r="Q147" s="56"/>
      <c r="R147" s="57">
        <v>310451</v>
      </c>
      <c r="S147" s="58">
        <v>18435</v>
      </c>
      <c r="T147" s="58">
        <v>328886</v>
      </c>
    </row>
    <row r="148" spans="1:20">
      <c r="A148" s="59">
        <v>91306</v>
      </c>
      <c r="B148" s="55" t="s">
        <v>1528</v>
      </c>
      <c r="C148" s="106">
        <v>1.6412E-3</v>
      </c>
      <c r="D148" s="106">
        <v>1.6676E-3</v>
      </c>
      <c r="E148" s="56">
        <v>2507299</v>
      </c>
      <c r="F148" s="56"/>
      <c r="G148" s="57">
        <v>144444</v>
      </c>
      <c r="H148" s="107">
        <v>608776</v>
      </c>
      <c r="I148" s="57">
        <v>358077</v>
      </c>
      <c r="J148" s="56">
        <v>113707</v>
      </c>
      <c r="K148" s="107">
        <f t="shared" si="4"/>
        <v>1225004</v>
      </c>
      <c r="L148" s="56"/>
      <c r="M148" s="57">
        <v>70974</v>
      </c>
      <c r="N148" s="57">
        <v>0</v>
      </c>
      <c r="O148" s="56">
        <v>7101</v>
      </c>
      <c r="P148" s="107">
        <f t="shared" si="5"/>
        <v>78075</v>
      </c>
      <c r="Q148" s="56"/>
      <c r="R148" s="57">
        <v>844962</v>
      </c>
      <c r="S148" s="58">
        <v>59215</v>
      </c>
      <c r="T148" s="58">
        <v>904177</v>
      </c>
    </row>
    <row r="149" spans="1:20">
      <c r="A149" s="59">
        <v>91308</v>
      </c>
      <c r="B149" s="55" t="s">
        <v>1529</v>
      </c>
      <c r="C149" s="106">
        <v>1.8009999999999999E-4</v>
      </c>
      <c r="D149" s="106">
        <v>2.05E-4</v>
      </c>
      <c r="E149" s="56">
        <v>275143</v>
      </c>
      <c r="F149" s="56"/>
      <c r="G149" s="57">
        <v>15851</v>
      </c>
      <c r="H149" s="107">
        <v>66805</v>
      </c>
      <c r="I149" s="57">
        <v>39294</v>
      </c>
      <c r="J149" s="56">
        <v>2442</v>
      </c>
      <c r="K149" s="107">
        <f t="shared" si="4"/>
        <v>124392</v>
      </c>
      <c r="L149" s="56"/>
      <c r="M149" s="57">
        <v>7788</v>
      </c>
      <c r="N149" s="57">
        <v>0</v>
      </c>
      <c r="O149" s="56">
        <v>21144</v>
      </c>
      <c r="P149" s="107">
        <f t="shared" si="5"/>
        <v>28932</v>
      </c>
      <c r="Q149" s="56"/>
      <c r="R149" s="57">
        <v>92723</v>
      </c>
      <c r="S149" s="58">
        <v>-3684</v>
      </c>
      <c r="T149" s="58">
        <f>89040-1</f>
        <v>89039</v>
      </c>
    </row>
    <row r="150" spans="1:20">
      <c r="A150" s="54">
        <v>91311</v>
      </c>
      <c r="B150" s="55" t="s">
        <v>1530</v>
      </c>
      <c r="C150" s="106">
        <v>7.6685E-3</v>
      </c>
      <c r="D150" s="106">
        <v>7.6649999999999999E-3</v>
      </c>
      <c r="E150" s="56">
        <v>11715344</v>
      </c>
      <c r="F150" s="56"/>
      <c r="G150" s="57">
        <v>674912</v>
      </c>
      <c r="H150" s="107">
        <v>2844500</v>
      </c>
      <c r="I150" s="57">
        <v>1673113</v>
      </c>
      <c r="J150" s="56">
        <v>78345</v>
      </c>
      <c r="K150" s="107">
        <f t="shared" si="4"/>
        <v>5270870</v>
      </c>
      <c r="L150" s="56"/>
      <c r="M150" s="57">
        <v>331624</v>
      </c>
      <c r="N150" s="57">
        <v>0</v>
      </c>
      <c r="O150" s="56">
        <v>516736</v>
      </c>
      <c r="P150" s="107">
        <f t="shared" si="5"/>
        <v>848360</v>
      </c>
      <c r="Q150" s="56"/>
      <c r="R150" s="57">
        <v>3948081</v>
      </c>
      <c r="S150" s="58">
        <v>-187514</v>
      </c>
      <c r="T150" s="58">
        <v>3760567</v>
      </c>
    </row>
    <row r="151" spans="1:20">
      <c r="A151" s="54">
        <v>91317</v>
      </c>
      <c r="B151" s="55" t="s">
        <v>1531</v>
      </c>
      <c r="C151" s="106">
        <v>1.016E-4</v>
      </c>
      <c r="D151" s="106">
        <v>9.0500000000000004E-5</v>
      </c>
      <c r="E151" s="56">
        <v>155217</v>
      </c>
      <c r="F151" s="56"/>
      <c r="G151" s="57">
        <v>8942</v>
      </c>
      <c r="H151" s="107">
        <v>37687</v>
      </c>
      <c r="I151" s="57">
        <v>22167</v>
      </c>
      <c r="J151" s="56">
        <v>13159</v>
      </c>
      <c r="K151" s="107">
        <f t="shared" si="4"/>
        <v>81955</v>
      </c>
      <c r="L151" s="56"/>
      <c r="M151" s="57">
        <v>4394</v>
      </c>
      <c r="N151" s="57">
        <v>0</v>
      </c>
      <c r="O151" s="56">
        <v>1760</v>
      </c>
      <c r="P151" s="107">
        <f t="shared" si="5"/>
        <v>6154</v>
      </c>
      <c r="Q151" s="56"/>
      <c r="R151" s="57">
        <v>52308</v>
      </c>
      <c r="S151" s="58">
        <v>2823</v>
      </c>
      <c r="T151" s="58">
        <f>55132-1</f>
        <v>55131</v>
      </c>
    </row>
    <row r="152" spans="1:20">
      <c r="A152" s="54">
        <v>91321</v>
      </c>
      <c r="B152" s="55" t="s">
        <v>1532</v>
      </c>
      <c r="C152" s="106">
        <v>4.2799999999999997E-5</v>
      </c>
      <c r="D152" s="106">
        <v>4.1999999999999998E-5</v>
      </c>
      <c r="E152" s="56">
        <v>65387</v>
      </c>
      <c r="F152" s="56"/>
      <c r="G152" s="57">
        <v>3767</v>
      </c>
      <c r="H152" s="107">
        <v>15876</v>
      </c>
      <c r="I152" s="57">
        <v>9338</v>
      </c>
      <c r="J152" s="56">
        <v>18992</v>
      </c>
      <c r="K152" s="107">
        <f t="shared" si="4"/>
        <v>47973</v>
      </c>
      <c r="L152" s="56"/>
      <c r="M152" s="57">
        <v>1851</v>
      </c>
      <c r="N152" s="57">
        <v>0</v>
      </c>
      <c r="O152" s="56">
        <v>3760</v>
      </c>
      <c r="P152" s="107">
        <f t="shared" si="5"/>
        <v>5611</v>
      </c>
      <c r="Q152" s="56"/>
      <c r="R152" s="57">
        <v>22035</v>
      </c>
      <c r="S152" s="58">
        <v>3437</v>
      </c>
      <c r="T152" s="58">
        <v>25472</v>
      </c>
    </row>
    <row r="153" spans="1:20">
      <c r="A153" s="54">
        <v>91327</v>
      </c>
      <c r="B153" s="55" t="s">
        <v>1533</v>
      </c>
      <c r="C153" s="106">
        <v>8.1999999999999994E-6</v>
      </c>
      <c r="D153" s="106">
        <v>1.03E-5</v>
      </c>
      <c r="E153" s="56">
        <v>12527</v>
      </c>
      <c r="F153" s="56"/>
      <c r="G153" s="57">
        <v>722</v>
      </c>
      <c r="H153" s="107">
        <v>3042</v>
      </c>
      <c r="I153" s="57">
        <v>1789</v>
      </c>
      <c r="J153" s="56">
        <v>36</v>
      </c>
      <c r="K153" s="107">
        <f t="shared" si="4"/>
        <v>5589</v>
      </c>
      <c r="L153" s="56"/>
      <c r="M153" s="57">
        <v>355</v>
      </c>
      <c r="N153" s="57">
        <v>0</v>
      </c>
      <c r="O153" s="56">
        <v>1563</v>
      </c>
      <c r="P153" s="107">
        <f t="shared" si="5"/>
        <v>1918</v>
      </c>
      <c r="Q153" s="56"/>
      <c r="R153" s="57">
        <v>4222</v>
      </c>
      <c r="S153" s="58">
        <v>-481</v>
      </c>
      <c r="T153" s="58">
        <v>3741</v>
      </c>
    </row>
    <row r="154" spans="1:20">
      <c r="A154" s="54">
        <v>91331</v>
      </c>
      <c r="B154" s="55" t="s">
        <v>1534</v>
      </c>
      <c r="C154" s="106">
        <v>3.0033E-3</v>
      </c>
      <c r="D154" s="106">
        <v>2.8509999999999998E-3</v>
      </c>
      <c r="E154" s="56">
        <v>4588210</v>
      </c>
      <c r="F154" s="56"/>
      <c r="G154" s="57">
        <v>264323</v>
      </c>
      <c r="H154" s="107">
        <v>1114023</v>
      </c>
      <c r="I154" s="57">
        <v>655260</v>
      </c>
      <c r="J154" s="56">
        <v>0</v>
      </c>
      <c r="K154" s="107">
        <f t="shared" si="4"/>
        <v>2033606</v>
      </c>
      <c r="L154" s="56"/>
      <c r="M154" s="57">
        <v>129878</v>
      </c>
      <c r="N154" s="57">
        <v>0</v>
      </c>
      <c r="O154" s="56">
        <v>342951</v>
      </c>
      <c r="P154" s="107">
        <f t="shared" si="5"/>
        <v>472829</v>
      </c>
      <c r="Q154" s="56"/>
      <c r="R154" s="57">
        <v>1546231</v>
      </c>
      <c r="S154" s="58">
        <v>-176510</v>
      </c>
      <c r="T154" s="58">
        <v>1369721</v>
      </c>
    </row>
    <row r="155" spans="1:20">
      <c r="A155" s="54">
        <v>91341</v>
      </c>
      <c r="B155" s="55" t="s">
        <v>1535</v>
      </c>
      <c r="C155" s="106">
        <v>2.51E-5</v>
      </c>
      <c r="D155" s="106">
        <v>1.4399999999999999E-5</v>
      </c>
      <c r="E155" s="56">
        <v>38346</v>
      </c>
      <c r="F155" s="56"/>
      <c r="G155" s="57">
        <v>2209</v>
      </c>
      <c r="H155" s="107">
        <v>9311</v>
      </c>
      <c r="I155" s="57">
        <v>5476</v>
      </c>
      <c r="J155" s="56">
        <v>5566</v>
      </c>
      <c r="K155" s="107">
        <f t="shared" si="4"/>
        <v>22562</v>
      </c>
      <c r="L155" s="56"/>
      <c r="M155" s="57">
        <v>1085</v>
      </c>
      <c r="N155" s="57">
        <v>0</v>
      </c>
      <c r="O155" s="56">
        <v>1759</v>
      </c>
      <c r="P155" s="107">
        <f t="shared" si="5"/>
        <v>2844</v>
      </c>
      <c r="Q155" s="56"/>
      <c r="R155" s="57">
        <v>12923</v>
      </c>
      <c r="S155" s="58">
        <v>939</v>
      </c>
      <c r="T155" s="58">
        <f>13861+1</f>
        <v>13862</v>
      </c>
    </row>
    <row r="156" spans="1:20">
      <c r="A156" s="54">
        <v>91401</v>
      </c>
      <c r="B156" s="55" t="s">
        <v>1536</v>
      </c>
      <c r="C156" s="106">
        <v>3.5885000000000001E-3</v>
      </c>
      <c r="D156" s="106">
        <v>3.6841E-3</v>
      </c>
      <c r="E156" s="56">
        <v>5482234</v>
      </c>
      <c r="F156" s="56"/>
      <c r="G156" s="57">
        <v>315827</v>
      </c>
      <c r="H156" s="107">
        <v>1331093</v>
      </c>
      <c r="I156" s="57">
        <v>782939</v>
      </c>
      <c r="J156" s="56">
        <v>17446</v>
      </c>
      <c r="K156" s="107">
        <f t="shared" si="4"/>
        <v>2447305</v>
      </c>
      <c r="L156" s="56"/>
      <c r="M156" s="57">
        <v>155185</v>
      </c>
      <c r="N156" s="57">
        <v>0</v>
      </c>
      <c r="O156" s="56">
        <v>142927</v>
      </c>
      <c r="P156" s="107">
        <f t="shared" si="5"/>
        <v>298112</v>
      </c>
      <c r="Q156" s="56"/>
      <c r="R156" s="57">
        <v>1847518</v>
      </c>
      <c r="S156" s="58">
        <v>-23160</v>
      </c>
      <c r="T156" s="58">
        <v>1824358</v>
      </c>
    </row>
    <row r="157" spans="1:20">
      <c r="A157" s="54">
        <v>91411</v>
      </c>
      <c r="B157" s="55" t="s">
        <v>1537</v>
      </c>
      <c r="C157" s="106">
        <v>3.7829999999999998E-4</v>
      </c>
      <c r="D157" s="106">
        <v>3.5379999999999998E-4</v>
      </c>
      <c r="E157" s="56">
        <v>577938</v>
      </c>
      <c r="F157" s="56"/>
      <c r="G157" s="57">
        <v>33295</v>
      </c>
      <c r="H157" s="107">
        <v>140324</v>
      </c>
      <c r="I157" s="57">
        <v>82537</v>
      </c>
      <c r="J157" s="56">
        <v>28581</v>
      </c>
      <c r="K157" s="107">
        <f t="shared" si="4"/>
        <v>284737</v>
      </c>
      <c r="L157" s="56"/>
      <c r="M157" s="57">
        <v>16360</v>
      </c>
      <c r="N157" s="57">
        <v>0</v>
      </c>
      <c r="O157" s="56">
        <v>1394</v>
      </c>
      <c r="P157" s="107">
        <f t="shared" si="5"/>
        <v>17754</v>
      </c>
      <c r="Q157" s="56"/>
      <c r="R157" s="57">
        <v>194765</v>
      </c>
      <c r="S157" s="58">
        <v>7766</v>
      </c>
      <c r="T157" s="58">
        <v>202531</v>
      </c>
    </row>
    <row r="158" spans="1:20">
      <c r="A158" s="54">
        <v>91417</v>
      </c>
      <c r="B158" s="55" t="s">
        <v>1538</v>
      </c>
      <c r="C158" s="106">
        <v>9.3000000000000007E-6</v>
      </c>
      <c r="D158" s="106">
        <v>9.9000000000000001E-6</v>
      </c>
      <c r="E158" s="56">
        <v>14208</v>
      </c>
      <c r="F158" s="56"/>
      <c r="G158" s="57">
        <v>819</v>
      </c>
      <c r="H158" s="107">
        <v>3450</v>
      </c>
      <c r="I158" s="57">
        <v>2029</v>
      </c>
      <c r="J158" s="56">
        <v>2388</v>
      </c>
      <c r="K158" s="107">
        <f t="shared" si="4"/>
        <v>8686</v>
      </c>
      <c r="L158" s="56"/>
      <c r="M158" s="57">
        <v>402</v>
      </c>
      <c r="N158" s="57">
        <v>0</v>
      </c>
      <c r="O158" s="56">
        <v>0</v>
      </c>
      <c r="P158" s="107">
        <f t="shared" si="5"/>
        <v>402</v>
      </c>
      <c r="Q158" s="56"/>
      <c r="R158" s="57">
        <v>4788</v>
      </c>
      <c r="S158" s="58">
        <v>1814</v>
      </c>
      <c r="T158" s="58">
        <v>6602</v>
      </c>
    </row>
    <row r="159" spans="1:20">
      <c r="A159" s="54">
        <v>91421</v>
      </c>
      <c r="B159" s="55" t="s">
        <v>1539</v>
      </c>
      <c r="C159" s="106">
        <v>6.9499999999999995E-5</v>
      </c>
      <c r="D159" s="106">
        <v>7.0400000000000004E-5</v>
      </c>
      <c r="E159" s="56">
        <v>106177</v>
      </c>
      <c r="F159" s="56"/>
      <c r="G159" s="57">
        <v>6117</v>
      </c>
      <c r="H159" s="107">
        <v>25779</v>
      </c>
      <c r="I159" s="57">
        <v>15164</v>
      </c>
      <c r="J159" s="56">
        <v>4339</v>
      </c>
      <c r="K159" s="107">
        <f t="shared" si="4"/>
        <v>51399</v>
      </c>
      <c r="L159" s="56"/>
      <c r="M159" s="57">
        <v>3006</v>
      </c>
      <c r="N159" s="57">
        <v>0</v>
      </c>
      <c r="O159" s="56">
        <v>3143</v>
      </c>
      <c r="P159" s="107">
        <f t="shared" si="5"/>
        <v>6149</v>
      </c>
      <c r="Q159" s="56"/>
      <c r="R159" s="57">
        <v>35782</v>
      </c>
      <c r="S159" s="58">
        <v>365</v>
      </c>
      <c r="T159" s="58">
        <v>36147</v>
      </c>
    </row>
    <row r="160" spans="1:20">
      <c r="A160" s="54">
        <v>91423</v>
      </c>
      <c r="B160" s="55" t="s">
        <v>1540</v>
      </c>
      <c r="C160" s="106">
        <v>5.38E-5</v>
      </c>
      <c r="D160" s="106">
        <v>3.8699999999999999E-5</v>
      </c>
      <c r="E160" s="56">
        <v>82191</v>
      </c>
      <c r="F160" s="56"/>
      <c r="G160" s="57">
        <v>4735</v>
      </c>
      <c r="H160" s="107">
        <v>19956</v>
      </c>
      <c r="I160" s="57">
        <v>11738</v>
      </c>
      <c r="J160" s="56">
        <v>13454</v>
      </c>
      <c r="K160" s="107">
        <f t="shared" si="4"/>
        <v>49883</v>
      </c>
      <c r="L160" s="56"/>
      <c r="M160" s="57">
        <v>2327</v>
      </c>
      <c r="N160" s="57">
        <v>0</v>
      </c>
      <c r="O160" s="56">
        <v>2026</v>
      </c>
      <c r="P160" s="107">
        <f t="shared" si="5"/>
        <v>4353</v>
      </c>
      <c r="Q160" s="56"/>
      <c r="R160" s="57">
        <v>27699</v>
      </c>
      <c r="S160" s="58">
        <v>3208</v>
      </c>
      <c r="T160" s="58">
        <f>30906+1</f>
        <v>30907</v>
      </c>
    </row>
    <row r="161" spans="1:20">
      <c r="A161" s="54">
        <v>91431</v>
      </c>
      <c r="B161" s="55" t="s">
        <v>1541</v>
      </c>
      <c r="C161" s="106">
        <v>1.562E-4</v>
      </c>
      <c r="D161" s="106">
        <v>1.417E-4</v>
      </c>
      <c r="E161" s="56">
        <v>238630</v>
      </c>
      <c r="F161" s="56"/>
      <c r="G161" s="57">
        <v>13747</v>
      </c>
      <c r="H161" s="107">
        <v>57939</v>
      </c>
      <c r="I161" s="57">
        <v>34080</v>
      </c>
      <c r="J161" s="56">
        <v>17694</v>
      </c>
      <c r="K161" s="107">
        <f t="shared" si="4"/>
        <v>123460</v>
      </c>
      <c r="L161" s="56"/>
      <c r="M161" s="57">
        <v>6755</v>
      </c>
      <c r="N161" s="57">
        <v>0</v>
      </c>
      <c r="O161" s="56">
        <v>1767</v>
      </c>
      <c r="P161" s="107">
        <f t="shared" si="5"/>
        <v>8522</v>
      </c>
      <c r="Q161" s="56"/>
      <c r="R161" s="57">
        <v>80419</v>
      </c>
      <c r="S161" s="58">
        <v>4026</v>
      </c>
      <c r="T161" s="58">
        <v>84445</v>
      </c>
    </row>
    <row r="162" spans="1:20">
      <c r="A162" s="54">
        <v>91441</v>
      </c>
      <c r="B162" s="55" t="s">
        <v>1542</v>
      </c>
      <c r="C162" s="106">
        <v>9.5140000000000003E-4</v>
      </c>
      <c r="D162" s="106">
        <v>7.3800000000000005E-4</v>
      </c>
      <c r="E162" s="56">
        <v>1453476</v>
      </c>
      <c r="F162" s="56"/>
      <c r="G162" s="57">
        <v>83734</v>
      </c>
      <c r="H162" s="107">
        <v>352905</v>
      </c>
      <c r="I162" s="57">
        <v>207576</v>
      </c>
      <c r="J162" s="56">
        <v>46954</v>
      </c>
      <c r="K162" s="107">
        <f t="shared" si="4"/>
        <v>691169</v>
      </c>
      <c r="L162" s="56"/>
      <c r="M162" s="57">
        <v>41143</v>
      </c>
      <c r="N162" s="57">
        <v>0</v>
      </c>
      <c r="O162" s="56">
        <v>103301</v>
      </c>
      <c r="P162" s="107">
        <f t="shared" si="5"/>
        <v>144444</v>
      </c>
      <c r="Q162" s="56"/>
      <c r="R162" s="57">
        <v>489823</v>
      </c>
      <c r="S162" s="58">
        <v>-39929</v>
      </c>
      <c r="T162" s="58">
        <v>449894</v>
      </c>
    </row>
    <row r="163" spans="1:20">
      <c r="A163" s="54">
        <v>91451</v>
      </c>
      <c r="B163" s="55" t="s">
        <v>1543</v>
      </c>
      <c r="C163" s="106">
        <v>1.4760000000000001E-3</v>
      </c>
      <c r="D163" s="106">
        <v>1.5629000000000001E-3</v>
      </c>
      <c r="E163" s="56">
        <v>2254919</v>
      </c>
      <c r="F163" s="56"/>
      <c r="G163" s="57">
        <v>129904</v>
      </c>
      <c r="H163" s="107">
        <v>547497</v>
      </c>
      <c r="I163" s="57">
        <v>322034</v>
      </c>
      <c r="J163" s="56">
        <v>0</v>
      </c>
      <c r="K163" s="107">
        <f t="shared" si="4"/>
        <v>999435</v>
      </c>
      <c r="L163" s="56"/>
      <c r="M163" s="57">
        <v>63830</v>
      </c>
      <c r="N163" s="57">
        <v>0</v>
      </c>
      <c r="O163" s="56">
        <v>199933</v>
      </c>
      <c r="P163" s="107">
        <f t="shared" si="5"/>
        <v>263763</v>
      </c>
      <c r="Q163" s="56"/>
      <c r="R163" s="57">
        <v>759910</v>
      </c>
      <c r="S163" s="58">
        <v>-85072</v>
      </c>
      <c r="T163" s="58">
        <v>674838</v>
      </c>
    </row>
    <row r="164" spans="1:20">
      <c r="A164" s="54">
        <v>91457</v>
      </c>
      <c r="B164" s="55" t="s">
        <v>1544</v>
      </c>
      <c r="C164" s="106">
        <v>2.23E-5</v>
      </c>
      <c r="D164" s="106">
        <v>2.58E-5</v>
      </c>
      <c r="E164" s="56">
        <v>34068</v>
      </c>
      <c r="F164" s="56"/>
      <c r="G164" s="57">
        <v>1963</v>
      </c>
      <c r="H164" s="107">
        <v>8272</v>
      </c>
      <c r="I164" s="57">
        <v>4865</v>
      </c>
      <c r="J164" s="56">
        <v>30858</v>
      </c>
      <c r="K164" s="107">
        <f t="shared" si="4"/>
        <v>45958</v>
      </c>
      <c r="L164" s="56"/>
      <c r="M164" s="57">
        <v>964</v>
      </c>
      <c r="N164" s="57">
        <v>0</v>
      </c>
      <c r="O164" s="56">
        <v>0</v>
      </c>
      <c r="P164" s="107">
        <f t="shared" si="5"/>
        <v>964</v>
      </c>
      <c r="Q164" s="56"/>
      <c r="R164" s="57">
        <v>11481</v>
      </c>
      <c r="S164" s="58">
        <v>10929</v>
      </c>
      <c r="T164" s="58">
        <v>22410</v>
      </c>
    </row>
    <row r="165" spans="1:20">
      <c r="A165" s="54">
        <v>91461</v>
      </c>
      <c r="B165" s="55" t="s">
        <v>1545</v>
      </c>
      <c r="C165" s="106">
        <v>9.3999999999999998E-6</v>
      </c>
      <c r="D165" s="106">
        <v>8.6999999999999997E-6</v>
      </c>
      <c r="E165" s="56">
        <v>14361</v>
      </c>
      <c r="F165" s="56"/>
      <c r="G165" s="57">
        <v>827</v>
      </c>
      <c r="H165" s="107">
        <v>3487</v>
      </c>
      <c r="I165" s="57">
        <v>2051</v>
      </c>
      <c r="J165" s="56">
        <v>2052</v>
      </c>
      <c r="K165" s="107">
        <f t="shared" si="4"/>
        <v>8417</v>
      </c>
      <c r="L165" s="56"/>
      <c r="M165" s="57">
        <v>407</v>
      </c>
      <c r="N165" s="57">
        <v>0</v>
      </c>
      <c r="O165" s="56">
        <v>637</v>
      </c>
      <c r="P165" s="107">
        <f t="shared" si="5"/>
        <v>1044</v>
      </c>
      <c r="Q165" s="56"/>
      <c r="R165" s="57">
        <v>4840</v>
      </c>
      <c r="S165" s="58">
        <v>945</v>
      </c>
      <c r="T165" s="58">
        <f>5784+1</f>
        <v>5785</v>
      </c>
    </row>
    <row r="166" spans="1:20">
      <c r="A166" s="54">
        <v>91501</v>
      </c>
      <c r="B166" s="55" t="s">
        <v>1546</v>
      </c>
      <c r="C166" s="106">
        <v>4.9700000000000005E-4</v>
      </c>
      <c r="D166" s="106">
        <v>5.1099999999999995E-4</v>
      </c>
      <c r="E166" s="56">
        <v>759278</v>
      </c>
      <c r="F166" s="56"/>
      <c r="G166" s="57">
        <v>43741</v>
      </c>
      <c r="H166" s="107">
        <v>184353</v>
      </c>
      <c r="I166" s="57">
        <v>108435</v>
      </c>
      <c r="J166" s="56">
        <v>24430</v>
      </c>
      <c r="K166" s="107">
        <f t="shared" si="4"/>
        <v>360959</v>
      </c>
      <c r="L166" s="56"/>
      <c r="M166" s="57">
        <v>21493</v>
      </c>
      <c r="N166" s="57">
        <v>0</v>
      </c>
      <c r="O166" s="56">
        <v>6922</v>
      </c>
      <c r="P166" s="107">
        <f t="shared" si="5"/>
        <v>28415</v>
      </c>
      <c r="Q166" s="56"/>
      <c r="R166" s="57">
        <v>255877</v>
      </c>
      <c r="S166" s="58">
        <v>15592</v>
      </c>
      <c r="T166" s="58">
        <v>271469</v>
      </c>
    </row>
    <row r="167" spans="1:20">
      <c r="A167" s="54">
        <v>91504</v>
      </c>
      <c r="B167" s="55" t="s">
        <v>1547</v>
      </c>
      <c r="C167" s="106">
        <v>9.7000000000000003E-6</v>
      </c>
      <c r="D167" s="106">
        <v>1.0200000000000001E-5</v>
      </c>
      <c r="E167" s="56">
        <v>14819</v>
      </c>
      <c r="F167" s="56"/>
      <c r="G167" s="57">
        <v>854</v>
      </c>
      <c r="H167" s="107">
        <v>3599</v>
      </c>
      <c r="I167" s="57">
        <v>2116</v>
      </c>
      <c r="J167" s="56">
        <v>5620</v>
      </c>
      <c r="K167" s="107">
        <f t="shared" si="4"/>
        <v>12189</v>
      </c>
      <c r="L167" s="56"/>
      <c r="M167" s="57">
        <v>419</v>
      </c>
      <c r="N167" s="57">
        <v>0</v>
      </c>
      <c r="O167" s="56">
        <v>0</v>
      </c>
      <c r="P167" s="107">
        <f t="shared" si="5"/>
        <v>419</v>
      </c>
      <c r="Q167" s="56"/>
      <c r="R167" s="57">
        <v>4994</v>
      </c>
      <c r="S167" s="58">
        <v>2602</v>
      </c>
      <c r="T167" s="58">
        <v>7596</v>
      </c>
    </row>
    <row r="168" spans="1:20">
      <c r="A168" s="54">
        <v>91601</v>
      </c>
      <c r="B168" s="55" t="s">
        <v>1548</v>
      </c>
      <c r="C168" s="106">
        <v>2.8040000000000001E-3</v>
      </c>
      <c r="D168" s="106">
        <v>2.9077999999999999E-3</v>
      </c>
      <c r="E168" s="56">
        <v>4283735</v>
      </c>
      <c r="F168" s="56"/>
      <c r="G168" s="57">
        <v>246783</v>
      </c>
      <c r="H168" s="107">
        <v>1040096</v>
      </c>
      <c r="I168" s="57">
        <v>611777</v>
      </c>
      <c r="J168" s="56">
        <v>168530</v>
      </c>
      <c r="K168" s="107">
        <f t="shared" si="4"/>
        <v>2067186</v>
      </c>
      <c r="L168" s="56"/>
      <c r="M168" s="57">
        <v>121259</v>
      </c>
      <c r="N168" s="57">
        <v>0</v>
      </c>
      <c r="O168" s="56">
        <v>40367</v>
      </c>
      <c r="P168" s="107">
        <f t="shared" si="5"/>
        <v>161626</v>
      </c>
      <c r="Q168" s="56"/>
      <c r="R168" s="57">
        <v>1443623</v>
      </c>
      <c r="S168" s="58">
        <v>76132</v>
      </c>
      <c r="T168" s="58">
        <v>1519755</v>
      </c>
    </row>
    <row r="169" spans="1:20">
      <c r="A169" s="54">
        <v>91604</v>
      </c>
      <c r="B169" s="55" t="s">
        <v>1549</v>
      </c>
      <c r="C169" s="106">
        <v>8.8499999999999996E-5</v>
      </c>
      <c r="D169" s="106">
        <v>8.6799999999999996E-5</v>
      </c>
      <c r="E169" s="56">
        <v>135203</v>
      </c>
      <c r="F169" s="56"/>
      <c r="G169" s="57">
        <v>7789</v>
      </c>
      <c r="H169" s="107">
        <v>32827</v>
      </c>
      <c r="I169" s="57">
        <v>19309</v>
      </c>
      <c r="J169" s="56">
        <v>20977</v>
      </c>
      <c r="K169" s="107">
        <f t="shared" si="4"/>
        <v>80902</v>
      </c>
      <c r="L169" s="56"/>
      <c r="M169" s="57">
        <v>3827</v>
      </c>
      <c r="N169" s="57">
        <v>0</v>
      </c>
      <c r="O169" s="56">
        <v>0</v>
      </c>
      <c r="P169" s="107">
        <f t="shared" si="5"/>
        <v>3827</v>
      </c>
      <c r="Q169" s="56"/>
      <c r="R169" s="57">
        <v>45564</v>
      </c>
      <c r="S169" s="58">
        <v>7680</v>
      </c>
      <c r="T169" s="58">
        <v>53244</v>
      </c>
    </row>
    <row r="170" spans="1:20">
      <c r="A170" s="54">
        <v>91608</v>
      </c>
      <c r="B170" s="55" t="s">
        <v>1550</v>
      </c>
      <c r="C170" s="106">
        <v>1.5349999999999999E-4</v>
      </c>
      <c r="D170" s="106">
        <v>1.208E-4</v>
      </c>
      <c r="E170" s="56">
        <v>234505</v>
      </c>
      <c r="F170" s="56"/>
      <c r="G170" s="57">
        <v>13510</v>
      </c>
      <c r="H170" s="107">
        <v>56938</v>
      </c>
      <c r="I170" s="57">
        <v>33491</v>
      </c>
      <c r="J170" s="56">
        <v>2430</v>
      </c>
      <c r="K170" s="107">
        <f t="shared" si="4"/>
        <v>106369</v>
      </c>
      <c r="L170" s="56"/>
      <c r="M170" s="57">
        <v>6638</v>
      </c>
      <c r="N170" s="57">
        <v>0</v>
      </c>
      <c r="O170" s="56">
        <v>28763</v>
      </c>
      <c r="P170" s="107">
        <f t="shared" si="5"/>
        <v>35401</v>
      </c>
      <c r="Q170" s="56"/>
      <c r="R170" s="57">
        <v>79029</v>
      </c>
      <c r="S170" s="58">
        <v>-12888</v>
      </c>
      <c r="T170" s="58">
        <f>66140+1</f>
        <v>66141</v>
      </c>
    </row>
    <row r="171" spans="1:20">
      <c r="A171" s="54">
        <v>91611</v>
      </c>
      <c r="B171" s="55" t="s">
        <v>1551</v>
      </c>
      <c r="C171" s="106">
        <v>1.4708E-3</v>
      </c>
      <c r="D171" s="106">
        <v>1.4345E-3</v>
      </c>
      <c r="E171" s="56">
        <v>2246975</v>
      </c>
      <c r="F171" s="56"/>
      <c r="G171" s="57">
        <v>129447</v>
      </c>
      <c r="H171" s="107">
        <v>545569</v>
      </c>
      <c r="I171" s="57">
        <v>320899</v>
      </c>
      <c r="J171" s="56">
        <v>19333</v>
      </c>
      <c r="K171" s="107">
        <f t="shared" si="4"/>
        <v>1015248</v>
      </c>
      <c r="L171" s="56"/>
      <c r="M171" s="57">
        <v>63605</v>
      </c>
      <c r="N171" s="57">
        <v>0</v>
      </c>
      <c r="O171" s="56">
        <v>53335</v>
      </c>
      <c r="P171" s="107">
        <f t="shared" si="5"/>
        <v>116940</v>
      </c>
      <c r="Q171" s="56"/>
      <c r="R171" s="57">
        <v>757233</v>
      </c>
      <c r="S171" s="58">
        <v>2483</v>
      </c>
      <c r="T171" s="58">
        <f>759715+1</f>
        <v>759716</v>
      </c>
    </row>
    <row r="172" spans="1:20">
      <c r="A172" s="54">
        <v>91621</v>
      </c>
      <c r="B172" s="55" t="s">
        <v>1552</v>
      </c>
      <c r="C172" s="106">
        <v>2.7050000000000002E-4</v>
      </c>
      <c r="D172" s="106">
        <v>2.5240000000000001E-4</v>
      </c>
      <c r="E172" s="56">
        <v>413249</v>
      </c>
      <c r="F172" s="56"/>
      <c r="G172" s="57">
        <v>23807</v>
      </c>
      <c r="H172" s="107">
        <v>100337</v>
      </c>
      <c r="I172" s="57">
        <v>59018</v>
      </c>
      <c r="J172" s="56">
        <v>13260</v>
      </c>
      <c r="K172" s="107">
        <f t="shared" si="4"/>
        <v>196422</v>
      </c>
      <c r="L172" s="56"/>
      <c r="M172" s="57">
        <v>11698</v>
      </c>
      <c r="N172" s="57">
        <v>0</v>
      </c>
      <c r="O172" s="56">
        <v>14620</v>
      </c>
      <c r="P172" s="107">
        <f t="shared" si="5"/>
        <v>26318</v>
      </c>
      <c r="Q172" s="56"/>
      <c r="R172" s="57">
        <v>139265</v>
      </c>
      <c r="S172" s="58">
        <v>-4185</v>
      </c>
      <c r="T172" s="58">
        <v>135080</v>
      </c>
    </row>
    <row r="173" spans="1:20">
      <c r="A173" s="54">
        <v>91631</v>
      </c>
      <c r="B173" s="55" t="s">
        <v>1553</v>
      </c>
      <c r="C173" s="106">
        <v>5.2249999999999996E-4</v>
      </c>
      <c r="D173" s="106">
        <v>5.3870000000000003E-4</v>
      </c>
      <c r="E173" s="56">
        <v>798235</v>
      </c>
      <c r="F173" s="56"/>
      <c r="G173" s="57">
        <v>45986</v>
      </c>
      <c r="H173" s="107">
        <v>193812</v>
      </c>
      <c r="I173" s="57">
        <v>113999</v>
      </c>
      <c r="J173" s="56">
        <v>0</v>
      </c>
      <c r="K173" s="107">
        <f t="shared" si="4"/>
        <v>353797</v>
      </c>
      <c r="L173" s="56"/>
      <c r="M173" s="57">
        <v>22596</v>
      </c>
      <c r="N173" s="57">
        <v>0</v>
      </c>
      <c r="O173" s="56">
        <v>52272</v>
      </c>
      <c r="P173" s="107">
        <f t="shared" si="5"/>
        <v>74868</v>
      </c>
      <c r="Q173" s="56"/>
      <c r="R173" s="57">
        <v>269006</v>
      </c>
      <c r="S173" s="58">
        <v>-16747</v>
      </c>
      <c r="T173" s="58">
        <v>252259</v>
      </c>
    </row>
    <row r="174" spans="1:20">
      <c r="A174" s="54">
        <v>91633</v>
      </c>
      <c r="B174" s="55" t="s">
        <v>1554</v>
      </c>
      <c r="C174" s="106">
        <v>2.51E-5</v>
      </c>
      <c r="D174" s="106">
        <v>2.3799999999999999E-5</v>
      </c>
      <c r="E174" s="56">
        <v>38346</v>
      </c>
      <c r="F174" s="56"/>
      <c r="G174" s="57">
        <v>2209</v>
      </c>
      <c r="H174" s="107">
        <v>9311</v>
      </c>
      <c r="I174" s="57">
        <v>5476</v>
      </c>
      <c r="J174" s="56">
        <v>1513</v>
      </c>
      <c r="K174" s="107">
        <f t="shared" si="4"/>
        <v>18509</v>
      </c>
      <c r="L174" s="56"/>
      <c r="M174" s="57">
        <v>1085</v>
      </c>
      <c r="N174" s="57">
        <v>0</v>
      </c>
      <c r="O174" s="56">
        <v>3215</v>
      </c>
      <c r="P174" s="107">
        <f t="shared" si="5"/>
        <v>4300</v>
      </c>
      <c r="Q174" s="56"/>
      <c r="R174" s="57">
        <v>12923</v>
      </c>
      <c r="S174" s="58">
        <v>-1367</v>
      </c>
      <c r="T174" s="58">
        <f>11555+1</f>
        <v>11556</v>
      </c>
    </row>
    <row r="175" spans="1:20">
      <c r="A175" s="54">
        <v>91641</v>
      </c>
      <c r="B175" s="55" t="s">
        <v>1555</v>
      </c>
      <c r="C175" s="106">
        <v>3.1139999999999998E-4</v>
      </c>
      <c r="D175" s="106">
        <v>2.742E-4</v>
      </c>
      <c r="E175" s="56">
        <v>475733</v>
      </c>
      <c r="F175" s="56"/>
      <c r="G175" s="57">
        <v>27407</v>
      </c>
      <c r="H175" s="107">
        <v>115509</v>
      </c>
      <c r="I175" s="57">
        <v>67941</v>
      </c>
      <c r="J175" s="56">
        <v>0</v>
      </c>
      <c r="K175" s="107">
        <f t="shared" si="4"/>
        <v>210857</v>
      </c>
      <c r="L175" s="56"/>
      <c r="M175" s="57">
        <v>13466</v>
      </c>
      <c r="N175" s="57">
        <v>0</v>
      </c>
      <c r="O175" s="56">
        <v>55139</v>
      </c>
      <c r="P175" s="107">
        <f t="shared" si="5"/>
        <v>68605</v>
      </c>
      <c r="Q175" s="56"/>
      <c r="R175" s="57">
        <v>160322</v>
      </c>
      <c r="S175" s="58">
        <v>-25877</v>
      </c>
      <c r="T175" s="58">
        <v>134445</v>
      </c>
    </row>
    <row r="176" spans="1:20">
      <c r="A176" s="54">
        <v>91651</v>
      </c>
      <c r="B176" s="55" t="s">
        <v>1556</v>
      </c>
      <c r="C176" s="106">
        <v>4.4440000000000001E-4</v>
      </c>
      <c r="D176" s="106">
        <v>4.6099999999999998E-4</v>
      </c>
      <c r="E176" s="56">
        <v>678920</v>
      </c>
      <c r="F176" s="56"/>
      <c r="G176" s="57">
        <v>39112</v>
      </c>
      <c r="H176" s="107">
        <v>164843</v>
      </c>
      <c r="I176" s="57">
        <v>96959</v>
      </c>
      <c r="J176" s="56">
        <v>0</v>
      </c>
      <c r="K176" s="107">
        <f t="shared" si="4"/>
        <v>300914</v>
      </c>
      <c r="L176" s="56"/>
      <c r="M176" s="57">
        <v>19218</v>
      </c>
      <c r="N176" s="57">
        <v>0</v>
      </c>
      <c r="O176" s="56">
        <v>30696</v>
      </c>
      <c r="P176" s="107">
        <f t="shared" si="5"/>
        <v>49914</v>
      </c>
      <c r="Q176" s="56"/>
      <c r="R176" s="57">
        <v>228797</v>
      </c>
      <c r="S176" s="58">
        <v>-12407</v>
      </c>
      <c r="T176" s="58">
        <v>216390</v>
      </c>
    </row>
    <row r="177" spans="1:20">
      <c r="A177" s="54">
        <v>91661</v>
      </c>
      <c r="B177" s="55" t="s">
        <v>1557</v>
      </c>
      <c r="C177" s="106">
        <v>1.673E-4</v>
      </c>
      <c r="D177" s="106">
        <v>1.6750000000000001E-4</v>
      </c>
      <c r="E177" s="56">
        <v>255588</v>
      </c>
      <c r="F177" s="56"/>
      <c r="G177" s="57">
        <v>14724</v>
      </c>
      <c r="H177" s="107">
        <v>62057</v>
      </c>
      <c r="I177" s="57">
        <v>36502</v>
      </c>
      <c r="J177" s="56">
        <v>0</v>
      </c>
      <c r="K177" s="107">
        <f t="shared" si="4"/>
        <v>113283</v>
      </c>
      <c r="L177" s="56"/>
      <c r="M177" s="57">
        <v>7235</v>
      </c>
      <c r="N177" s="57">
        <v>0</v>
      </c>
      <c r="O177" s="56">
        <v>45519</v>
      </c>
      <c r="P177" s="107">
        <f t="shared" si="5"/>
        <v>52754</v>
      </c>
      <c r="Q177" s="56"/>
      <c r="R177" s="57">
        <v>86133</v>
      </c>
      <c r="S177" s="58">
        <v>-16188</v>
      </c>
      <c r="T177" s="58">
        <v>69945</v>
      </c>
    </row>
    <row r="178" spans="1:20">
      <c r="A178" s="54">
        <v>91671</v>
      </c>
      <c r="B178" s="55" t="s">
        <v>1558</v>
      </c>
      <c r="C178" s="106">
        <v>9.6700000000000006E-5</v>
      </c>
      <c r="D178" s="106">
        <v>9.7600000000000001E-5</v>
      </c>
      <c r="E178" s="56">
        <v>147731</v>
      </c>
      <c r="F178" s="56"/>
      <c r="G178" s="57">
        <v>8511</v>
      </c>
      <c r="H178" s="107">
        <v>35869</v>
      </c>
      <c r="I178" s="57">
        <v>21098</v>
      </c>
      <c r="J178" s="56">
        <v>11497</v>
      </c>
      <c r="K178" s="107">
        <f t="shared" si="4"/>
        <v>76975</v>
      </c>
      <c r="L178" s="56"/>
      <c r="M178" s="57">
        <v>4182</v>
      </c>
      <c r="N178" s="57">
        <v>0</v>
      </c>
      <c r="O178" s="56">
        <v>1197</v>
      </c>
      <c r="P178" s="107">
        <f t="shared" si="5"/>
        <v>5379</v>
      </c>
      <c r="Q178" s="56"/>
      <c r="R178" s="57">
        <v>49785</v>
      </c>
      <c r="S178" s="58">
        <v>5725</v>
      </c>
      <c r="T178" s="58">
        <v>55510</v>
      </c>
    </row>
    <row r="179" spans="1:20">
      <c r="A179" s="54">
        <v>91681</v>
      </c>
      <c r="B179" s="55" t="s">
        <v>1559</v>
      </c>
      <c r="C179" s="106">
        <v>4.728E-4</v>
      </c>
      <c r="D179" s="106">
        <v>4.7130000000000002E-4</v>
      </c>
      <c r="E179" s="56">
        <v>722307</v>
      </c>
      <c r="F179" s="56"/>
      <c r="G179" s="57">
        <v>41612</v>
      </c>
      <c r="H179" s="107">
        <v>175378</v>
      </c>
      <c r="I179" s="57">
        <v>103156</v>
      </c>
      <c r="J179" s="56">
        <v>274278</v>
      </c>
      <c r="K179" s="107">
        <f t="shared" si="4"/>
        <v>594424</v>
      </c>
      <c r="L179" s="56"/>
      <c r="M179" s="57">
        <v>20446</v>
      </c>
      <c r="N179" s="57">
        <v>0</v>
      </c>
      <c r="O179" s="56">
        <v>4516</v>
      </c>
      <c r="P179" s="107">
        <f t="shared" si="5"/>
        <v>24962</v>
      </c>
      <c r="Q179" s="56"/>
      <c r="R179" s="57">
        <v>243418</v>
      </c>
      <c r="S179" s="58">
        <v>89641</v>
      </c>
      <c r="T179" s="58">
        <v>333059</v>
      </c>
    </row>
    <row r="180" spans="1:20">
      <c r="A180" s="54">
        <v>91691</v>
      </c>
      <c r="B180" s="55" t="s">
        <v>1560</v>
      </c>
      <c r="C180" s="106">
        <v>2.3200000000000001E-5</v>
      </c>
      <c r="D180" s="106">
        <v>2.4199999999999999E-5</v>
      </c>
      <c r="E180" s="56">
        <v>35443</v>
      </c>
      <c r="F180" s="56"/>
      <c r="G180" s="57">
        <v>2042</v>
      </c>
      <c r="H180" s="107">
        <v>8605</v>
      </c>
      <c r="I180" s="57">
        <v>5062</v>
      </c>
      <c r="J180" s="56">
        <v>1782</v>
      </c>
      <c r="K180" s="107">
        <f t="shared" si="4"/>
        <v>17491</v>
      </c>
      <c r="L180" s="56"/>
      <c r="M180" s="57">
        <v>1003</v>
      </c>
      <c r="N180" s="57">
        <v>0</v>
      </c>
      <c r="O180" s="56">
        <v>1533</v>
      </c>
      <c r="P180" s="107">
        <f t="shared" si="5"/>
        <v>2536</v>
      </c>
      <c r="Q180" s="56"/>
      <c r="R180" s="57">
        <v>11944</v>
      </c>
      <c r="S180" s="58">
        <v>129</v>
      </c>
      <c r="T180" s="58">
        <f>12074-1</f>
        <v>12073</v>
      </c>
    </row>
    <row r="181" spans="1:20">
      <c r="A181" s="54">
        <v>91701</v>
      </c>
      <c r="B181" s="55" t="s">
        <v>1561</v>
      </c>
      <c r="C181" s="106">
        <v>1.2451999999999999E-3</v>
      </c>
      <c r="D181" s="106">
        <v>1.0897000000000001E-3</v>
      </c>
      <c r="E181" s="56">
        <v>1902321</v>
      </c>
      <c r="F181" s="56"/>
      <c r="G181" s="57">
        <v>109591</v>
      </c>
      <c r="H181" s="107">
        <v>461886</v>
      </c>
      <c r="I181" s="57">
        <v>271678</v>
      </c>
      <c r="J181" s="56">
        <v>95964</v>
      </c>
      <c r="K181" s="107">
        <f t="shared" si="4"/>
        <v>939119</v>
      </c>
      <c r="L181" s="56"/>
      <c r="M181" s="57">
        <v>53849</v>
      </c>
      <c r="N181" s="57">
        <v>0</v>
      </c>
      <c r="O181" s="56">
        <v>6949</v>
      </c>
      <c r="P181" s="107">
        <f t="shared" si="5"/>
        <v>60798</v>
      </c>
      <c r="Q181" s="56"/>
      <c r="R181" s="57">
        <v>641084</v>
      </c>
      <c r="S181" s="58">
        <v>18725</v>
      </c>
      <c r="T181" s="58">
        <v>659809</v>
      </c>
    </row>
    <row r="182" spans="1:20">
      <c r="A182" s="54">
        <v>91704</v>
      </c>
      <c r="B182" s="55" t="s">
        <v>1562</v>
      </c>
      <c r="C182" s="106">
        <v>1.73E-5</v>
      </c>
      <c r="D182" s="106">
        <v>1.6699999999999999E-5</v>
      </c>
      <c r="E182" s="56">
        <v>26430</v>
      </c>
      <c r="F182" s="56"/>
      <c r="G182" s="57">
        <v>1523</v>
      </c>
      <c r="H182" s="107">
        <v>6417</v>
      </c>
      <c r="I182" s="57">
        <v>3775</v>
      </c>
      <c r="J182" s="56">
        <v>1084</v>
      </c>
      <c r="K182" s="107">
        <f t="shared" si="4"/>
        <v>12799</v>
      </c>
      <c r="L182" s="56"/>
      <c r="M182" s="57">
        <v>748</v>
      </c>
      <c r="N182" s="57">
        <v>0</v>
      </c>
      <c r="O182" s="56">
        <v>0</v>
      </c>
      <c r="P182" s="107">
        <f t="shared" si="5"/>
        <v>748</v>
      </c>
      <c r="Q182" s="56"/>
      <c r="R182" s="57">
        <v>8907</v>
      </c>
      <c r="S182" s="58">
        <v>641</v>
      </c>
      <c r="T182" s="58">
        <v>9548</v>
      </c>
    </row>
    <row r="183" spans="1:20">
      <c r="A183" s="54">
        <v>91706</v>
      </c>
      <c r="B183" s="55" t="s">
        <v>1563</v>
      </c>
      <c r="C183" s="106">
        <v>2.4340000000000001E-4</v>
      </c>
      <c r="D183" s="106">
        <v>2.4279999999999999E-4</v>
      </c>
      <c r="E183" s="56">
        <v>371848</v>
      </c>
      <c r="F183" s="56"/>
      <c r="G183" s="57">
        <v>21422</v>
      </c>
      <c r="H183" s="107">
        <v>90285</v>
      </c>
      <c r="I183" s="57">
        <v>53105</v>
      </c>
      <c r="J183" s="56">
        <v>9101</v>
      </c>
      <c r="K183" s="107">
        <f t="shared" si="4"/>
        <v>173913</v>
      </c>
      <c r="L183" s="56"/>
      <c r="M183" s="57">
        <v>10526</v>
      </c>
      <c r="N183" s="57">
        <v>0</v>
      </c>
      <c r="O183" s="56">
        <v>8271</v>
      </c>
      <c r="P183" s="107">
        <f t="shared" si="5"/>
        <v>18797</v>
      </c>
      <c r="Q183" s="56"/>
      <c r="R183" s="57">
        <v>125313</v>
      </c>
      <c r="S183" s="58">
        <v>-4120</v>
      </c>
      <c r="T183" s="58">
        <v>121193</v>
      </c>
    </row>
    <row r="184" spans="1:20">
      <c r="A184" s="54">
        <v>91719</v>
      </c>
      <c r="B184" s="55" t="s">
        <v>1564</v>
      </c>
      <c r="C184" s="106">
        <v>4.9700000000000002E-5</v>
      </c>
      <c r="D184" s="106">
        <v>4.9299999999999999E-5</v>
      </c>
      <c r="E184" s="56">
        <v>75928</v>
      </c>
      <c r="F184" s="56"/>
      <c r="G184" s="57">
        <v>4374</v>
      </c>
      <c r="H184" s="107">
        <v>18435</v>
      </c>
      <c r="I184" s="57">
        <v>10844</v>
      </c>
      <c r="J184" s="56">
        <v>4395</v>
      </c>
      <c r="K184" s="107">
        <f t="shared" si="4"/>
        <v>38048</v>
      </c>
      <c r="L184" s="56"/>
      <c r="M184" s="57">
        <v>2149</v>
      </c>
      <c r="N184" s="57">
        <v>0</v>
      </c>
      <c r="O184" s="56">
        <v>4419</v>
      </c>
      <c r="P184" s="107">
        <f t="shared" si="5"/>
        <v>6568</v>
      </c>
      <c r="Q184" s="56"/>
      <c r="R184" s="57">
        <v>25588</v>
      </c>
      <c r="S184" s="58">
        <v>37</v>
      </c>
      <c r="T184" s="58">
        <v>25625</v>
      </c>
    </row>
    <row r="185" spans="1:20">
      <c r="A185" s="54">
        <v>91801</v>
      </c>
      <c r="B185" s="55" t="s">
        <v>1565</v>
      </c>
      <c r="C185" s="106">
        <v>8.0961000000000002E-3</v>
      </c>
      <c r="D185" s="106">
        <v>8.3853999999999995E-3</v>
      </c>
      <c r="E185" s="56">
        <v>12368598</v>
      </c>
      <c r="F185" s="56"/>
      <c r="G185" s="57">
        <v>712546</v>
      </c>
      <c r="H185" s="107">
        <v>3003111</v>
      </c>
      <c r="I185" s="57">
        <v>1766407</v>
      </c>
      <c r="J185" s="56">
        <v>0</v>
      </c>
      <c r="K185" s="107">
        <f t="shared" si="4"/>
        <v>5482064</v>
      </c>
      <c r="L185" s="56"/>
      <c r="M185" s="57">
        <v>350116</v>
      </c>
      <c r="N185" s="57">
        <v>0</v>
      </c>
      <c r="O185" s="56">
        <v>242225</v>
      </c>
      <c r="P185" s="107">
        <f t="shared" si="5"/>
        <v>592341</v>
      </c>
      <c r="Q185" s="56"/>
      <c r="R185" s="57">
        <v>4168229</v>
      </c>
      <c r="S185" s="58">
        <v>-87031</v>
      </c>
      <c r="T185" s="58">
        <f>4081197+1</f>
        <v>4081198</v>
      </c>
    </row>
    <row r="186" spans="1:20">
      <c r="A186" s="54">
        <v>91804</v>
      </c>
      <c r="B186" s="55" t="s">
        <v>1566</v>
      </c>
      <c r="C186" s="106">
        <v>1.3439999999999999E-4</v>
      </c>
      <c r="D186" s="106">
        <v>1.462E-4</v>
      </c>
      <c r="E186" s="56">
        <v>205326</v>
      </c>
      <c r="F186" s="56"/>
      <c r="G186" s="57">
        <v>11829</v>
      </c>
      <c r="H186" s="107">
        <v>49854</v>
      </c>
      <c r="I186" s="57">
        <v>29323</v>
      </c>
      <c r="J186" s="56">
        <v>55699</v>
      </c>
      <c r="K186" s="107">
        <f t="shared" si="4"/>
        <v>146705</v>
      </c>
      <c r="L186" s="56"/>
      <c r="M186" s="57">
        <v>5812</v>
      </c>
      <c r="N186" s="57">
        <v>0</v>
      </c>
      <c r="O186" s="56">
        <v>0</v>
      </c>
      <c r="P186" s="107">
        <f t="shared" si="5"/>
        <v>5812</v>
      </c>
      <c r="Q186" s="56"/>
      <c r="R186" s="57">
        <v>69195</v>
      </c>
      <c r="S186" s="58">
        <v>23621</v>
      </c>
      <c r="T186" s="58">
        <v>92816</v>
      </c>
    </row>
    <row r="187" spans="1:20">
      <c r="A187" s="54">
        <v>91811</v>
      </c>
      <c r="B187" s="55" t="s">
        <v>1567</v>
      </c>
      <c r="C187" s="106">
        <v>4.5555999999999999E-3</v>
      </c>
      <c r="D187" s="106">
        <v>4.6454000000000001E-3</v>
      </c>
      <c r="E187" s="56">
        <v>6959695</v>
      </c>
      <c r="F187" s="56"/>
      <c r="G187" s="57">
        <v>400943</v>
      </c>
      <c r="H187" s="107">
        <v>1689822</v>
      </c>
      <c r="I187" s="57">
        <v>993941</v>
      </c>
      <c r="J187" s="56">
        <v>0</v>
      </c>
      <c r="K187" s="107">
        <f t="shared" si="4"/>
        <v>3084706</v>
      </c>
      <c r="L187" s="56"/>
      <c r="M187" s="57">
        <v>197007</v>
      </c>
      <c r="N187" s="57">
        <v>0</v>
      </c>
      <c r="O187" s="56">
        <v>519421</v>
      </c>
      <c r="P187" s="107">
        <f t="shared" si="5"/>
        <v>716428</v>
      </c>
      <c r="Q187" s="56"/>
      <c r="R187" s="57">
        <v>2345423</v>
      </c>
      <c r="S187" s="58">
        <v>-197590</v>
      </c>
      <c r="T187" s="58">
        <v>2147833</v>
      </c>
    </row>
    <row r="188" spans="1:20">
      <c r="A188" s="54">
        <v>91812</v>
      </c>
      <c r="B188" s="55" t="s">
        <v>1568</v>
      </c>
      <c r="C188" s="106">
        <v>5.0800000000000002E-5</v>
      </c>
      <c r="D188" s="106">
        <v>5.8199999999999998E-5</v>
      </c>
      <c r="E188" s="56">
        <v>77608</v>
      </c>
      <c r="F188" s="56"/>
      <c r="G188" s="57">
        <v>4471</v>
      </c>
      <c r="H188" s="107">
        <v>18843</v>
      </c>
      <c r="I188" s="57">
        <v>11084</v>
      </c>
      <c r="J188" s="56">
        <v>11326</v>
      </c>
      <c r="K188" s="107">
        <f t="shared" si="4"/>
        <v>45724</v>
      </c>
      <c r="L188" s="56"/>
      <c r="M188" s="57">
        <v>2197</v>
      </c>
      <c r="N188" s="57">
        <v>0</v>
      </c>
      <c r="O188" s="56">
        <v>2710</v>
      </c>
      <c r="P188" s="107">
        <f t="shared" si="5"/>
        <v>4907</v>
      </c>
      <c r="Q188" s="56"/>
      <c r="R188" s="57">
        <v>26154</v>
      </c>
      <c r="S188" s="58">
        <v>4584</v>
      </c>
      <c r="T188" s="58">
        <v>30738</v>
      </c>
    </row>
    <row r="189" spans="1:20">
      <c r="A189" s="54">
        <v>91813</v>
      </c>
      <c r="B189" s="55" t="s">
        <v>1569</v>
      </c>
      <c r="C189" s="106">
        <v>8.6100000000000006E-5</v>
      </c>
      <c r="D189" s="106">
        <v>1.083E-4</v>
      </c>
      <c r="E189" s="56">
        <v>131537</v>
      </c>
      <c r="F189" s="56"/>
      <c r="G189" s="57">
        <v>7578</v>
      </c>
      <c r="H189" s="107">
        <v>31938</v>
      </c>
      <c r="I189" s="57">
        <v>18785</v>
      </c>
      <c r="J189" s="56">
        <v>10986</v>
      </c>
      <c r="K189" s="107">
        <f t="shared" si="4"/>
        <v>69287</v>
      </c>
      <c r="L189" s="56"/>
      <c r="M189" s="57">
        <v>3723</v>
      </c>
      <c r="N189" s="57">
        <v>0</v>
      </c>
      <c r="O189" s="56">
        <v>13565</v>
      </c>
      <c r="P189" s="107">
        <f t="shared" si="5"/>
        <v>17288</v>
      </c>
      <c r="Q189" s="56"/>
      <c r="R189" s="57">
        <v>44328</v>
      </c>
      <c r="S189" s="58">
        <v>-155</v>
      </c>
      <c r="T189" s="58">
        <v>44173</v>
      </c>
    </row>
    <row r="190" spans="1:20">
      <c r="A190" s="54">
        <v>91818</v>
      </c>
      <c r="B190" s="55" t="s">
        <v>1570</v>
      </c>
      <c r="C190" s="106">
        <v>4.0079999999999998E-4</v>
      </c>
      <c r="D190" s="106">
        <v>3.8559999999999999E-4</v>
      </c>
      <c r="E190" s="56">
        <v>612311</v>
      </c>
      <c r="F190" s="56"/>
      <c r="G190" s="57">
        <v>35275</v>
      </c>
      <c r="H190" s="107">
        <v>148670</v>
      </c>
      <c r="I190" s="57">
        <v>87447</v>
      </c>
      <c r="J190" s="56">
        <v>469231</v>
      </c>
      <c r="K190" s="107">
        <f t="shared" si="4"/>
        <v>740623</v>
      </c>
      <c r="L190" s="56"/>
      <c r="M190" s="57">
        <v>17333</v>
      </c>
      <c r="N190" s="57">
        <v>0</v>
      </c>
      <c r="O190" s="56">
        <v>5024</v>
      </c>
      <c r="P190" s="107">
        <f t="shared" si="5"/>
        <v>22357</v>
      </c>
      <c r="Q190" s="56"/>
      <c r="R190" s="57">
        <v>206349</v>
      </c>
      <c r="S190" s="58">
        <v>155106</v>
      </c>
      <c r="T190" s="58">
        <f>361456-1</f>
        <v>361455</v>
      </c>
    </row>
    <row r="191" spans="1:20">
      <c r="A191" s="54">
        <v>91819</v>
      </c>
      <c r="B191" s="55" t="s">
        <v>1571</v>
      </c>
      <c r="C191" s="106">
        <v>2.8489999999999999E-4</v>
      </c>
      <c r="D191" s="106">
        <v>2.8200000000000002E-4</v>
      </c>
      <c r="E191" s="56">
        <v>435248</v>
      </c>
      <c r="F191" s="56"/>
      <c r="G191" s="57">
        <v>25074</v>
      </c>
      <c r="H191" s="107">
        <v>105678</v>
      </c>
      <c r="I191" s="57">
        <v>62159</v>
      </c>
      <c r="J191" s="56">
        <v>15073</v>
      </c>
      <c r="K191" s="107">
        <f t="shared" si="4"/>
        <v>207984</v>
      </c>
      <c r="L191" s="56"/>
      <c r="M191" s="57">
        <v>12321</v>
      </c>
      <c r="N191" s="57">
        <v>0</v>
      </c>
      <c r="O191" s="56">
        <v>8276</v>
      </c>
      <c r="P191" s="107">
        <f t="shared" si="5"/>
        <v>20597</v>
      </c>
      <c r="Q191" s="56"/>
      <c r="R191" s="57">
        <v>146679</v>
      </c>
      <c r="S191" s="58">
        <v>5278</v>
      </c>
      <c r="T191" s="58">
        <v>151957</v>
      </c>
    </row>
    <row r="192" spans="1:20">
      <c r="A192" s="54">
        <v>91821</v>
      </c>
      <c r="B192" s="55" t="s">
        <v>1572</v>
      </c>
      <c r="C192" s="106">
        <v>1.7330000000000001E-4</v>
      </c>
      <c r="D192" s="106">
        <v>1.63E-4</v>
      </c>
      <c r="E192" s="56">
        <v>264754</v>
      </c>
      <c r="F192" s="56"/>
      <c r="G192" s="57">
        <v>15252</v>
      </c>
      <c r="H192" s="107">
        <v>64283</v>
      </c>
      <c r="I192" s="57">
        <v>37811</v>
      </c>
      <c r="J192" s="56">
        <v>2434</v>
      </c>
      <c r="K192" s="107">
        <f t="shared" si="4"/>
        <v>119780</v>
      </c>
      <c r="L192" s="56"/>
      <c r="M192" s="57">
        <v>7494</v>
      </c>
      <c r="N192" s="57">
        <v>0</v>
      </c>
      <c r="O192" s="56">
        <v>1112</v>
      </c>
      <c r="P192" s="107">
        <f t="shared" si="5"/>
        <v>8606</v>
      </c>
      <c r="Q192" s="56"/>
      <c r="R192" s="57">
        <v>89222</v>
      </c>
      <c r="S192" s="58">
        <v>1572</v>
      </c>
      <c r="T192" s="58">
        <f>90795-1</f>
        <v>90794</v>
      </c>
    </row>
    <row r="193" spans="1:20">
      <c r="A193" s="54">
        <v>91831</v>
      </c>
      <c r="B193" s="55" t="s">
        <v>1573</v>
      </c>
      <c r="C193" s="106">
        <v>3.366E-4</v>
      </c>
      <c r="D193" s="106">
        <v>3.414E-4</v>
      </c>
      <c r="E193" s="56">
        <v>514232</v>
      </c>
      <c r="F193" s="56"/>
      <c r="G193" s="57">
        <v>29625</v>
      </c>
      <c r="H193" s="107">
        <v>124856</v>
      </c>
      <c r="I193" s="57">
        <v>73439</v>
      </c>
      <c r="J193" s="56">
        <v>7847</v>
      </c>
      <c r="K193" s="107">
        <f t="shared" si="4"/>
        <v>235767</v>
      </c>
      <c r="L193" s="56"/>
      <c r="M193" s="57">
        <v>14556</v>
      </c>
      <c r="N193" s="57">
        <v>0</v>
      </c>
      <c r="O193" s="56">
        <v>13475</v>
      </c>
      <c r="P193" s="107">
        <f t="shared" si="5"/>
        <v>28031</v>
      </c>
      <c r="Q193" s="56"/>
      <c r="R193" s="57">
        <v>173296</v>
      </c>
      <c r="S193" s="58">
        <v>520</v>
      </c>
      <c r="T193" s="58">
        <v>173816</v>
      </c>
    </row>
    <row r="194" spans="1:20">
      <c r="A194" s="54">
        <v>91841</v>
      </c>
      <c r="B194" s="55" t="s">
        <v>1574</v>
      </c>
      <c r="C194" s="106">
        <v>2.5339999999999998E-4</v>
      </c>
      <c r="D194" s="106">
        <v>2.63E-4</v>
      </c>
      <c r="E194" s="56">
        <v>387125</v>
      </c>
      <c r="F194" s="56"/>
      <c r="G194" s="57">
        <v>22302</v>
      </c>
      <c r="H194" s="107">
        <v>93994</v>
      </c>
      <c r="I194" s="57">
        <v>55287</v>
      </c>
      <c r="J194" s="56">
        <v>1681</v>
      </c>
      <c r="K194" s="107">
        <f t="shared" si="4"/>
        <v>173264</v>
      </c>
      <c r="L194" s="56"/>
      <c r="M194" s="57">
        <v>10958</v>
      </c>
      <c r="N194" s="57">
        <v>0</v>
      </c>
      <c r="O194" s="56">
        <v>14711</v>
      </c>
      <c r="P194" s="107">
        <f t="shared" si="5"/>
        <v>25669</v>
      </c>
      <c r="Q194" s="56"/>
      <c r="R194" s="57">
        <v>130461</v>
      </c>
      <c r="S194" s="58">
        <v>-9727</v>
      </c>
      <c r="T194" s="58">
        <v>120734</v>
      </c>
    </row>
    <row r="195" spans="1:20">
      <c r="A195" s="54">
        <v>91851</v>
      </c>
      <c r="B195" s="55" t="s">
        <v>1575</v>
      </c>
      <c r="C195" s="106">
        <v>7.4910000000000005E-4</v>
      </c>
      <c r="D195" s="106">
        <v>7.2059999999999995E-4</v>
      </c>
      <c r="E195" s="56">
        <v>1144417</v>
      </c>
      <c r="F195" s="56"/>
      <c r="G195" s="57">
        <v>65929</v>
      </c>
      <c r="H195" s="107">
        <v>277866</v>
      </c>
      <c r="I195" s="57">
        <v>163439</v>
      </c>
      <c r="J195" s="56">
        <v>9030</v>
      </c>
      <c r="K195" s="107">
        <f t="shared" si="4"/>
        <v>516264</v>
      </c>
      <c r="L195" s="56"/>
      <c r="M195" s="57">
        <v>32395</v>
      </c>
      <c r="N195" s="57">
        <v>0</v>
      </c>
      <c r="O195" s="56">
        <v>44287</v>
      </c>
      <c r="P195" s="107">
        <f t="shared" si="5"/>
        <v>76682</v>
      </c>
      <c r="Q195" s="56"/>
      <c r="R195" s="57">
        <v>385670</v>
      </c>
      <c r="S195" s="58">
        <v>-13424</v>
      </c>
      <c r="T195" s="58">
        <v>372246</v>
      </c>
    </row>
    <row r="196" spans="1:20">
      <c r="A196" s="54">
        <v>91861</v>
      </c>
      <c r="B196" s="55" t="s">
        <v>1576</v>
      </c>
      <c r="C196" s="106">
        <v>1.9700000000000001E-5</v>
      </c>
      <c r="D196" s="106">
        <v>1.9899999999999999E-5</v>
      </c>
      <c r="E196" s="56">
        <v>30096</v>
      </c>
      <c r="F196" s="56"/>
      <c r="G196" s="57">
        <v>1734</v>
      </c>
      <c r="H196" s="107">
        <v>7308</v>
      </c>
      <c r="I196" s="57">
        <v>4298</v>
      </c>
      <c r="J196" s="56">
        <v>2050</v>
      </c>
      <c r="K196" s="107">
        <f t="shared" si="4"/>
        <v>15390</v>
      </c>
      <c r="L196" s="56"/>
      <c r="M196" s="57">
        <v>852</v>
      </c>
      <c r="N196" s="57">
        <v>0</v>
      </c>
      <c r="O196" s="56">
        <v>1061</v>
      </c>
      <c r="P196" s="107">
        <f t="shared" si="5"/>
        <v>1913</v>
      </c>
      <c r="Q196" s="56"/>
      <c r="R196" s="57">
        <v>10142</v>
      </c>
      <c r="S196" s="58">
        <v>692</v>
      </c>
      <c r="T196" s="58">
        <f>10835-1</f>
        <v>10834</v>
      </c>
    </row>
    <row r="197" spans="1:20">
      <c r="A197" s="54">
        <v>91871</v>
      </c>
      <c r="B197" s="55" t="s">
        <v>1577</v>
      </c>
      <c r="C197" s="106">
        <v>1.3319E-3</v>
      </c>
      <c r="D197" s="106">
        <v>1.2712000000000001E-3</v>
      </c>
      <c r="E197" s="56">
        <v>2034774</v>
      </c>
      <c r="F197" s="56"/>
      <c r="G197" s="57">
        <v>117222</v>
      </c>
      <c r="H197" s="107">
        <v>494045</v>
      </c>
      <c r="I197" s="57">
        <v>290594</v>
      </c>
      <c r="J197" s="56">
        <v>22538</v>
      </c>
      <c r="K197" s="107">
        <f t="shared" si="4"/>
        <v>924399</v>
      </c>
      <c r="L197" s="56"/>
      <c r="M197" s="57">
        <v>57598</v>
      </c>
      <c r="N197" s="57">
        <v>0</v>
      </c>
      <c r="O197" s="56">
        <v>73797</v>
      </c>
      <c r="P197" s="107">
        <f t="shared" si="5"/>
        <v>131395</v>
      </c>
      <c r="Q197" s="56"/>
      <c r="R197" s="57">
        <v>685721</v>
      </c>
      <c r="S197" s="58">
        <v>-28802</v>
      </c>
      <c r="T197" s="58">
        <v>656919</v>
      </c>
    </row>
    <row r="198" spans="1:20">
      <c r="A198" s="54">
        <v>91881</v>
      </c>
      <c r="B198" s="55" t="s">
        <v>1578</v>
      </c>
      <c r="C198" s="106">
        <v>9.3000000000000007E-6</v>
      </c>
      <c r="D198" s="106">
        <v>1.01E-5</v>
      </c>
      <c r="E198" s="56">
        <v>14208</v>
      </c>
      <c r="F198" s="56"/>
      <c r="G198" s="57">
        <v>819</v>
      </c>
      <c r="H198" s="107">
        <v>3450</v>
      </c>
      <c r="I198" s="57">
        <v>2029</v>
      </c>
      <c r="J198" s="56">
        <v>1155</v>
      </c>
      <c r="K198" s="107">
        <f t="shared" si="4"/>
        <v>7453</v>
      </c>
      <c r="L198" s="56"/>
      <c r="M198" s="57">
        <v>402</v>
      </c>
      <c r="N198" s="57">
        <v>0</v>
      </c>
      <c r="O198" s="56">
        <v>8809</v>
      </c>
      <c r="P198" s="107">
        <f t="shared" si="5"/>
        <v>9211</v>
      </c>
      <c r="Q198" s="56"/>
      <c r="R198" s="57">
        <v>4788</v>
      </c>
      <c r="S198" s="58">
        <v>-5615</v>
      </c>
      <c r="T198" s="58">
        <v>-827</v>
      </c>
    </row>
    <row r="199" spans="1:20">
      <c r="A199" s="54">
        <v>91901</v>
      </c>
      <c r="B199" s="55" t="s">
        <v>1579</v>
      </c>
      <c r="C199" s="106">
        <v>3.6706999999999998E-3</v>
      </c>
      <c r="D199" s="106">
        <v>3.6564000000000002E-3</v>
      </c>
      <c r="E199" s="56">
        <v>5607813</v>
      </c>
      <c r="F199" s="56"/>
      <c r="G199" s="57">
        <v>323062</v>
      </c>
      <c r="H199" s="107">
        <v>1361584</v>
      </c>
      <c r="I199" s="57">
        <v>800873</v>
      </c>
      <c r="J199" s="56">
        <v>89719</v>
      </c>
      <c r="K199" s="107">
        <f t="shared" ref="K199:K262" si="6">G199+H199+I199+J199</f>
        <v>2575238</v>
      </c>
      <c r="L199" s="56"/>
      <c r="M199" s="57">
        <v>158739</v>
      </c>
      <c r="N199" s="57">
        <v>0</v>
      </c>
      <c r="O199" s="56">
        <v>16546</v>
      </c>
      <c r="P199" s="107">
        <f t="shared" ref="P199:P262" si="7">M199+N199+O199</f>
        <v>175285</v>
      </c>
      <c r="Q199" s="56"/>
      <c r="R199" s="57">
        <v>1889838</v>
      </c>
      <c r="S199" s="58">
        <v>53714</v>
      </c>
      <c r="T199" s="58">
        <v>1943552</v>
      </c>
    </row>
    <row r="200" spans="1:20">
      <c r="A200" s="54">
        <v>91903</v>
      </c>
      <c r="B200" s="55" t="s">
        <v>1580</v>
      </c>
      <c r="C200" s="106">
        <v>8.6999999999999997E-6</v>
      </c>
      <c r="D200" s="106">
        <v>8.3999999999999992E-6</v>
      </c>
      <c r="E200" s="56">
        <v>13291</v>
      </c>
      <c r="F200" s="56"/>
      <c r="G200" s="57">
        <v>766</v>
      </c>
      <c r="H200" s="107">
        <v>3227</v>
      </c>
      <c r="I200" s="57">
        <v>1898</v>
      </c>
      <c r="J200" s="56">
        <v>2037</v>
      </c>
      <c r="K200" s="107">
        <f t="shared" si="6"/>
        <v>7928</v>
      </c>
      <c r="L200" s="56"/>
      <c r="M200" s="57">
        <v>376</v>
      </c>
      <c r="N200" s="57">
        <v>0</v>
      </c>
      <c r="O200" s="56">
        <v>3011</v>
      </c>
      <c r="P200" s="107">
        <f t="shared" si="7"/>
        <v>3387</v>
      </c>
      <c r="Q200" s="56"/>
      <c r="R200" s="57">
        <v>4479</v>
      </c>
      <c r="S200" s="58">
        <v>-2426</v>
      </c>
      <c r="T200" s="58">
        <v>2053</v>
      </c>
    </row>
    <row r="201" spans="1:20">
      <c r="A201" s="54">
        <v>91904</v>
      </c>
      <c r="B201" s="55" t="s">
        <v>1581</v>
      </c>
      <c r="C201" s="106">
        <v>3.3399999999999999E-5</v>
      </c>
      <c r="D201" s="106">
        <v>2.3300000000000001E-5</v>
      </c>
      <c r="E201" s="56">
        <v>51026</v>
      </c>
      <c r="F201" s="56"/>
      <c r="G201" s="57">
        <v>2940</v>
      </c>
      <c r="H201" s="107">
        <v>12389</v>
      </c>
      <c r="I201" s="57">
        <v>7287</v>
      </c>
      <c r="J201" s="56">
        <v>11190</v>
      </c>
      <c r="K201" s="107">
        <f t="shared" si="6"/>
        <v>33806</v>
      </c>
      <c r="L201" s="56"/>
      <c r="M201" s="57">
        <v>1444</v>
      </c>
      <c r="N201" s="57">
        <v>0</v>
      </c>
      <c r="O201" s="56">
        <v>0</v>
      </c>
      <c r="P201" s="107">
        <f t="shared" si="7"/>
        <v>1444</v>
      </c>
      <c r="Q201" s="56"/>
      <c r="R201" s="57">
        <v>17196</v>
      </c>
      <c r="S201" s="58">
        <v>4334</v>
      </c>
      <c r="T201" s="58">
        <v>21530</v>
      </c>
    </row>
    <row r="202" spans="1:20">
      <c r="A202" s="54">
        <v>91908</v>
      </c>
      <c r="B202" s="55" t="s">
        <v>1582</v>
      </c>
      <c r="C202" s="106">
        <v>1.6900000000000001E-5</v>
      </c>
      <c r="D202" s="106">
        <v>1.3699999999999999E-5</v>
      </c>
      <c r="E202" s="56">
        <v>25819</v>
      </c>
      <c r="F202" s="56"/>
      <c r="G202" s="57">
        <v>1487</v>
      </c>
      <c r="H202" s="107">
        <v>6269</v>
      </c>
      <c r="I202" s="57">
        <v>3687</v>
      </c>
      <c r="J202" s="56">
        <v>935</v>
      </c>
      <c r="K202" s="107">
        <f t="shared" si="6"/>
        <v>12378</v>
      </c>
      <c r="L202" s="56"/>
      <c r="M202" s="57">
        <v>731</v>
      </c>
      <c r="N202" s="57">
        <v>0</v>
      </c>
      <c r="O202" s="56">
        <v>2553</v>
      </c>
      <c r="P202" s="107">
        <f t="shared" si="7"/>
        <v>3284</v>
      </c>
      <c r="Q202" s="56"/>
      <c r="R202" s="57">
        <v>8701</v>
      </c>
      <c r="S202" s="58">
        <v>-56</v>
      </c>
      <c r="T202" s="58">
        <v>8645</v>
      </c>
    </row>
    <row r="203" spans="1:20">
      <c r="A203" s="54">
        <v>91911</v>
      </c>
      <c r="B203" s="55" t="s">
        <v>1583</v>
      </c>
      <c r="C203" s="106">
        <v>4.5580000000000002E-4</v>
      </c>
      <c r="D203" s="106">
        <v>4.639E-4</v>
      </c>
      <c r="E203" s="56">
        <v>696336</v>
      </c>
      <c r="F203" s="56"/>
      <c r="G203" s="57">
        <v>40115</v>
      </c>
      <c r="H203" s="107">
        <v>169071</v>
      </c>
      <c r="I203" s="57">
        <v>99446</v>
      </c>
      <c r="J203" s="56">
        <v>13510</v>
      </c>
      <c r="K203" s="107">
        <f t="shared" si="6"/>
        <v>322142</v>
      </c>
      <c r="L203" s="56"/>
      <c r="M203" s="57">
        <v>19711</v>
      </c>
      <c r="N203" s="57">
        <v>0</v>
      </c>
      <c r="O203" s="56">
        <v>5011</v>
      </c>
      <c r="P203" s="107">
        <f t="shared" si="7"/>
        <v>24722</v>
      </c>
      <c r="Q203" s="56"/>
      <c r="R203" s="57">
        <v>234666</v>
      </c>
      <c r="S203" s="58">
        <v>598</v>
      </c>
      <c r="T203" s="58">
        <v>235264</v>
      </c>
    </row>
    <row r="204" spans="1:20">
      <c r="A204" s="54">
        <v>91917</v>
      </c>
      <c r="B204" s="55" t="s">
        <v>1584</v>
      </c>
      <c r="C204" s="106">
        <v>1.22E-5</v>
      </c>
      <c r="D204" s="106">
        <v>1.36E-5</v>
      </c>
      <c r="E204" s="56">
        <v>18638</v>
      </c>
      <c r="F204" s="56"/>
      <c r="G204" s="57">
        <v>1074</v>
      </c>
      <c r="H204" s="107">
        <v>4526</v>
      </c>
      <c r="I204" s="57">
        <v>2662</v>
      </c>
      <c r="J204" s="56">
        <v>527</v>
      </c>
      <c r="K204" s="107">
        <f t="shared" si="6"/>
        <v>8789</v>
      </c>
      <c r="L204" s="56"/>
      <c r="M204" s="57">
        <v>528</v>
      </c>
      <c r="N204" s="57">
        <v>0</v>
      </c>
      <c r="O204" s="56">
        <v>310</v>
      </c>
      <c r="P204" s="107">
        <f t="shared" si="7"/>
        <v>838</v>
      </c>
      <c r="Q204" s="56"/>
      <c r="R204" s="57">
        <v>6281</v>
      </c>
      <c r="S204" s="58">
        <v>126</v>
      </c>
      <c r="T204" s="58">
        <v>6407</v>
      </c>
    </row>
    <row r="205" spans="1:20">
      <c r="A205" s="54">
        <v>91921</v>
      </c>
      <c r="B205" s="55" t="s">
        <v>1585</v>
      </c>
      <c r="C205" s="106">
        <v>3.769E-4</v>
      </c>
      <c r="D205" s="106">
        <v>3.6600000000000001E-4</v>
      </c>
      <c r="E205" s="56">
        <v>575799</v>
      </c>
      <c r="F205" s="56"/>
      <c r="G205" s="57">
        <v>33171</v>
      </c>
      <c r="H205" s="107">
        <v>139804</v>
      </c>
      <c r="I205" s="57">
        <v>82232</v>
      </c>
      <c r="J205" s="56">
        <v>0</v>
      </c>
      <c r="K205" s="107">
        <f t="shared" si="6"/>
        <v>255207</v>
      </c>
      <c r="L205" s="56"/>
      <c r="M205" s="57">
        <v>16299</v>
      </c>
      <c r="N205" s="57">
        <v>0</v>
      </c>
      <c r="O205" s="56">
        <v>10651</v>
      </c>
      <c r="P205" s="107">
        <f t="shared" si="7"/>
        <v>26950</v>
      </c>
      <c r="Q205" s="56"/>
      <c r="R205" s="57">
        <v>194045</v>
      </c>
      <c r="S205" s="58">
        <v>-5316</v>
      </c>
      <c r="T205" s="58">
        <v>188729</v>
      </c>
    </row>
    <row r="206" spans="1:20">
      <c r="A206" s="54">
        <v>92001</v>
      </c>
      <c r="B206" s="55" t="s">
        <v>1586</v>
      </c>
      <c r="C206" s="106">
        <v>1.8143E-3</v>
      </c>
      <c r="D206" s="106">
        <v>1.9604000000000002E-3</v>
      </c>
      <c r="E206" s="56">
        <v>2771748</v>
      </c>
      <c r="F206" s="56"/>
      <c r="G206" s="57">
        <v>159678</v>
      </c>
      <c r="H206" s="107">
        <v>672984</v>
      </c>
      <c r="I206" s="57">
        <v>395844</v>
      </c>
      <c r="J206" s="56">
        <v>48219</v>
      </c>
      <c r="K206" s="107">
        <f t="shared" si="6"/>
        <v>1276725</v>
      </c>
      <c r="L206" s="56"/>
      <c r="M206" s="57">
        <v>78459</v>
      </c>
      <c r="N206" s="57">
        <v>0</v>
      </c>
      <c r="O206" s="56">
        <v>157894</v>
      </c>
      <c r="P206" s="107">
        <f t="shared" si="7"/>
        <v>236353</v>
      </c>
      <c r="Q206" s="56"/>
      <c r="R206" s="57">
        <v>934081</v>
      </c>
      <c r="S206" s="58">
        <v>-42009</v>
      </c>
      <c r="T206" s="58">
        <f>892073-1</f>
        <v>892072</v>
      </c>
    </row>
    <row r="207" spans="1:20">
      <c r="A207" s="54">
        <v>92005</v>
      </c>
      <c r="B207" s="55" t="s">
        <v>1587</v>
      </c>
      <c r="C207" s="106">
        <v>4.1399999999999997E-5</v>
      </c>
      <c r="D207" s="106">
        <v>4.6499999999999999E-5</v>
      </c>
      <c r="E207" s="56">
        <v>63248</v>
      </c>
      <c r="F207" s="56"/>
      <c r="G207" s="57">
        <v>3644</v>
      </c>
      <c r="H207" s="107">
        <v>15356</v>
      </c>
      <c r="I207" s="57">
        <v>9033</v>
      </c>
      <c r="J207" s="56">
        <v>1741</v>
      </c>
      <c r="K207" s="107">
        <f t="shared" si="6"/>
        <v>29774</v>
      </c>
      <c r="L207" s="56"/>
      <c r="M207" s="57">
        <v>1790</v>
      </c>
      <c r="N207" s="57">
        <v>0</v>
      </c>
      <c r="O207" s="56">
        <v>2252</v>
      </c>
      <c r="P207" s="107">
        <f t="shared" si="7"/>
        <v>4042</v>
      </c>
      <c r="Q207" s="56"/>
      <c r="R207" s="57">
        <v>21315</v>
      </c>
      <c r="S207" s="58">
        <v>208</v>
      </c>
      <c r="T207" s="58">
        <f>21522+1</f>
        <v>21523</v>
      </c>
    </row>
    <row r="208" spans="1:20">
      <c r="A208" s="54">
        <v>92011</v>
      </c>
      <c r="B208" s="55" t="s">
        <v>1588</v>
      </c>
      <c r="C208" s="106">
        <v>2.0049999999999999E-4</v>
      </c>
      <c r="D208" s="106">
        <v>1.8660000000000001E-4</v>
      </c>
      <c r="E208" s="56">
        <v>306308</v>
      </c>
      <c r="F208" s="56"/>
      <c r="G208" s="57">
        <v>17646</v>
      </c>
      <c r="H208" s="107">
        <v>74372</v>
      </c>
      <c r="I208" s="57">
        <v>43745</v>
      </c>
      <c r="J208" s="56">
        <v>17614</v>
      </c>
      <c r="K208" s="107">
        <f t="shared" si="6"/>
        <v>153377</v>
      </c>
      <c r="L208" s="56"/>
      <c r="M208" s="57">
        <v>8671</v>
      </c>
      <c r="N208" s="57">
        <v>0</v>
      </c>
      <c r="O208" s="56">
        <v>0</v>
      </c>
      <c r="P208" s="107">
        <f t="shared" si="7"/>
        <v>8671</v>
      </c>
      <c r="Q208" s="56"/>
      <c r="R208" s="57">
        <v>103226</v>
      </c>
      <c r="S208" s="58">
        <v>9780</v>
      </c>
      <c r="T208" s="58">
        <v>113006</v>
      </c>
    </row>
    <row r="209" spans="1:20">
      <c r="A209" s="54">
        <v>92017</v>
      </c>
      <c r="B209" s="55" t="s">
        <v>1589</v>
      </c>
      <c r="C209" s="106">
        <v>3.4199999999999998E-5</v>
      </c>
      <c r="D209" s="106">
        <v>3.5099999999999999E-5</v>
      </c>
      <c r="E209" s="56">
        <v>52248</v>
      </c>
      <c r="F209" s="56"/>
      <c r="G209" s="57">
        <v>3010</v>
      </c>
      <c r="H209" s="107">
        <v>12686</v>
      </c>
      <c r="I209" s="57">
        <v>7462</v>
      </c>
      <c r="J209" s="56">
        <v>639</v>
      </c>
      <c r="K209" s="107">
        <f t="shared" si="6"/>
        <v>23797</v>
      </c>
      <c r="L209" s="56"/>
      <c r="M209" s="57">
        <v>1479</v>
      </c>
      <c r="N209" s="57">
        <v>0</v>
      </c>
      <c r="O209" s="56">
        <v>1257</v>
      </c>
      <c r="P209" s="107">
        <f t="shared" si="7"/>
        <v>2736</v>
      </c>
      <c r="Q209" s="56"/>
      <c r="R209" s="57">
        <v>17608</v>
      </c>
      <c r="S209" s="58">
        <v>-668</v>
      </c>
      <c r="T209" s="58">
        <f>16939+1</f>
        <v>16940</v>
      </c>
    </row>
    <row r="210" spans="1:20">
      <c r="A210" s="54">
        <v>92021</v>
      </c>
      <c r="B210" s="55" t="s">
        <v>1590</v>
      </c>
      <c r="C210" s="106">
        <v>1.5779999999999999E-4</v>
      </c>
      <c r="D210" s="106">
        <v>1.4249999999999999E-4</v>
      </c>
      <c r="E210" s="56">
        <v>241075</v>
      </c>
      <c r="F210" s="56"/>
      <c r="G210" s="57">
        <v>13888</v>
      </c>
      <c r="H210" s="107">
        <v>58533</v>
      </c>
      <c r="I210" s="57">
        <v>34429</v>
      </c>
      <c r="J210" s="56">
        <v>30504</v>
      </c>
      <c r="K210" s="107">
        <f t="shared" si="6"/>
        <v>137354</v>
      </c>
      <c r="L210" s="56"/>
      <c r="M210" s="57">
        <v>6824</v>
      </c>
      <c r="N210" s="57">
        <v>0</v>
      </c>
      <c r="O210" s="56">
        <v>11142</v>
      </c>
      <c r="P210" s="107">
        <f t="shared" si="7"/>
        <v>17966</v>
      </c>
      <c r="Q210" s="56"/>
      <c r="R210" s="57">
        <v>81242</v>
      </c>
      <c r="S210" s="58">
        <v>1771</v>
      </c>
      <c r="T210" s="58">
        <f>83014-1</f>
        <v>83013</v>
      </c>
    </row>
    <row r="211" spans="1:20">
      <c r="A211" s="54">
        <v>92101</v>
      </c>
      <c r="B211" s="55" t="s">
        <v>1591</v>
      </c>
      <c r="C211" s="106">
        <v>8.5209999999999995E-4</v>
      </c>
      <c r="D211" s="106">
        <v>8.6870000000000003E-4</v>
      </c>
      <c r="E211" s="56">
        <v>1301773</v>
      </c>
      <c r="F211" s="56"/>
      <c r="G211" s="57">
        <v>74994</v>
      </c>
      <c r="H211" s="107">
        <v>316072</v>
      </c>
      <c r="I211" s="57">
        <v>185911</v>
      </c>
      <c r="J211" s="56">
        <v>9505</v>
      </c>
      <c r="K211" s="107">
        <f t="shared" si="6"/>
        <v>586482</v>
      </c>
      <c r="L211" s="56"/>
      <c r="M211" s="57">
        <v>36849</v>
      </c>
      <c r="N211" s="57">
        <v>0</v>
      </c>
      <c r="O211" s="56">
        <v>63189</v>
      </c>
      <c r="P211" s="107">
        <f t="shared" si="7"/>
        <v>100038</v>
      </c>
      <c r="Q211" s="56"/>
      <c r="R211" s="57">
        <v>438699</v>
      </c>
      <c r="S211" s="58">
        <v>-10164</v>
      </c>
      <c r="T211" s="58">
        <v>428535</v>
      </c>
    </row>
    <row r="212" spans="1:20">
      <c r="A212" s="54">
        <v>92104</v>
      </c>
      <c r="B212" s="55" t="s">
        <v>1592</v>
      </c>
      <c r="C212" s="106">
        <v>8.6000000000000007E-6</v>
      </c>
      <c r="D212" s="106">
        <v>8.8000000000000004E-6</v>
      </c>
      <c r="E212" s="56">
        <v>13138</v>
      </c>
      <c r="F212" s="56"/>
      <c r="G212" s="57">
        <v>757</v>
      </c>
      <c r="H212" s="107">
        <v>3190</v>
      </c>
      <c r="I212" s="57">
        <v>1876</v>
      </c>
      <c r="J212" s="56">
        <v>3377</v>
      </c>
      <c r="K212" s="107">
        <f t="shared" si="6"/>
        <v>9200</v>
      </c>
      <c r="L212" s="56"/>
      <c r="M212" s="57">
        <v>372</v>
      </c>
      <c r="N212" s="57">
        <v>0</v>
      </c>
      <c r="O212" s="56">
        <v>0</v>
      </c>
      <c r="P212" s="107">
        <f t="shared" si="7"/>
        <v>372</v>
      </c>
      <c r="Q212" s="56"/>
      <c r="R212" s="57">
        <v>4428</v>
      </c>
      <c r="S212" s="58">
        <v>1850</v>
      </c>
      <c r="T212" s="58">
        <f>6277+1</f>
        <v>6278</v>
      </c>
    </row>
    <row r="213" spans="1:20">
      <c r="A213" s="54">
        <v>92109</v>
      </c>
      <c r="B213" s="55" t="s">
        <v>1593</v>
      </c>
      <c r="C213" s="106">
        <v>1.8809999999999999E-4</v>
      </c>
      <c r="D213" s="106">
        <v>1.7909999999999999E-4</v>
      </c>
      <c r="E213" s="56">
        <v>287365</v>
      </c>
      <c r="F213" s="56"/>
      <c r="G213" s="57">
        <v>16555</v>
      </c>
      <c r="H213" s="107">
        <v>69773</v>
      </c>
      <c r="I213" s="57">
        <v>41040</v>
      </c>
      <c r="J213" s="56">
        <v>2067</v>
      </c>
      <c r="K213" s="107">
        <f t="shared" si="6"/>
        <v>129435</v>
      </c>
      <c r="L213" s="56"/>
      <c r="M213" s="57">
        <v>8134</v>
      </c>
      <c r="N213" s="57">
        <v>0</v>
      </c>
      <c r="O213" s="56">
        <v>12612</v>
      </c>
      <c r="P213" s="107">
        <f t="shared" si="7"/>
        <v>20746</v>
      </c>
      <c r="Q213" s="56"/>
      <c r="R213" s="57">
        <v>96842</v>
      </c>
      <c r="S213" s="58">
        <v>-5396</v>
      </c>
      <c r="T213" s="58">
        <v>91446</v>
      </c>
    </row>
    <row r="214" spans="1:20">
      <c r="A214" s="54">
        <v>92111</v>
      </c>
      <c r="B214" s="55" t="s">
        <v>1594</v>
      </c>
      <c r="C214" s="106">
        <v>5.0460000000000001E-4</v>
      </c>
      <c r="D214" s="106">
        <v>5.0009999999999996E-4</v>
      </c>
      <c r="E214" s="56">
        <v>770889</v>
      </c>
      <c r="F214" s="56"/>
      <c r="G214" s="57">
        <v>44410</v>
      </c>
      <c r="H214" s="107">
        <v>187173</v>
      </c>
      <c r="I214" s="57">
        <v>110094</v>
      </c>
      <c r="J214" s="56">
        <v>10602</v>
      </c>
      <c r="K214" s="107">
        <f t="shared" si="6"/>
        <v>352279</v>
      </c>
      <c r="L214" s="56"/>
      <c r="M214" s="57">
        <v>21821</v>
      </c>
      <c r="N214" s="57">
        <v>0</v>
      </c>
      <c r="O214" s="56">
        <v>13269</v>
      </c>
      <c r="P214" s="107">
        <f t="shared" si="7"/>
        <v>35090</v>
      </c>
      <c r="Q214" s="56"/>
      <c r="R214" s="57">
        <v>259790</v>
      </c>
      <c r="S214" s="58">
        <v>2449</v>
      </c>
      <c r="T214" s="58">
        <v>262239</v>
      </c>
    </row>
    <row r="215" spans="1:20">
      <c r="A215" s="54">
        <v>92113</v>
      </c>
      <c r="B215" s="55" t="s">
        <v>1595</v>
      </c>
      <c r="C215" s="106">
        <v>1.4399999999999999E-5</v>
      </c>
      <c r="D215" s="106">
        <v>2.2099999999999998E-5</v>
      </c>
      <c r="E215" s="56">
        <v>21999</v>
      </c>
      <c r="F215" s="56"/>
      <c r="G215" s="57">
        <v>1267</v>
      </c>
      <c r="H215" s="107">
        <v>5342</v>
      </c>
      <c r="I215" s="57">
        <v>3142</v>
      </c>
      <c r="J215" s="56">
        <v>17604</v>
      </c>
      <c r="K215" s="107">
        <f t="shared" si="6"/>
        <v>27355</v>
      </c>
      <c r="L215" s="56"/>
      <c r="M215" s="57">
        <v>623</v>
      </c>
      <c r="N215" s="57">
        <v>0</v>
      </c>
      <c r="O215" s="56">
        <v>2179</v>
      </c>
      <c r="P215" s="107">
        <f t="shared" si="7"/>
        <v>2802</v>
      </c>
      <c r="Q215" s="56"/>
      <c r="R215" s="57">
        <v>7414</v>
      </c>
      <c r="S215" s="58">
        <v>7173</v>
      </c>
      <c r="T215" s="58">
        <v>14587</v>
      </c>
    </row>
    <row r="216" spans="1:20">
      <c r="A216" s="54">
        <v>92201</v>
      </c>
      <c r="B216" s="55" t="s">
        <v>1596</v>
      </c>
      <c r="C216" s="106">
        <v>9.3389999999999999E-4</v>
      </c>
      <c r="D216" s="106">
        <v>1.0267E-3</v>
      </c>
      <c r="E216" s="56">
        <v>1426741</v>
      </c>
      <c r="F216" s="56"/>
      <c r="G216" s="57">
        <v>82193</v>
      </c>
      <c r="H216" s="107">
        <v>346414</v>
      </c>
      <c r="I216" s="57">
        <v>203758</v>
      </c>
      <c r="J216" s="56">
        <v>36804</v>
      </c>
      <c r="K216" s="107">
        <f t="shared" si="6"/>
        <v>669169</v>
      </c>
      <c r="L216" s="56"/>
      <c r="M216" s="57">
        <v>40387</v>
      </c>
      <c r="N216" s="57">
        <v>0</v>
      </c>
      <c r="O216" s="56">
        <v>43356</v>
      </c>
      <c r="P216" s="107">
        <f t="shared" si="7"/>
        <v>83743</v>
      </c>
      <c r="Q216" s="56"/>
      <c r="R216" s="57">
        <v>480813</v>
      </c>
      <c r="S216" s="58">
        <v>13056</v>
      </c>
      <c r="T216" s="58">
        <v>493869</v>
      </c>
    </row>
    <row r="217" spans="1:20">
      <c r="A217" s="54">
        <v>92301</v>
      </c>
      <c r="B217" s="55" t="s">
        <v>1597</v>
      </c>
      <c r="C217" s="106">
        <v>5.2129999999999998E-3</v>
      </c>
      <c r="D217" s="106">
        <v>5.2411000000000003E-3</v>
      </c>
      <c r="E217" s="56">
        <v>7964020</v>
      </c>
      <c r="F217" s="56"/>
      <c r="G217" s="57">
        <v>458801</v>
      </c>
      <c r="H217" s="107">
        <v>1933674</v>
      </c>
      <c r="I217" s="57">
        <v>1137372</v>
      </c>
      <c r="J217" s="56">
        <v>53669</v>
      </c>
      <c r="K217" s="107">
        <f t="shared" si="6"/>
        <v>3583516</v>
      </c>
      <c r="L217" s="56"/>
      <c r="M217" s="57">
        <v>225436</v>
      </c>
      <c r="N217" s="57">
        <v>0</v>
      </c>
      <c r="O217" s="56">
        <v>40357</v>
      </c>
      <c r="P217" s="107">
        <f t="shared" si="7"/>
        <v>265793</v>
      </c>
      <c r="Q217" s="56"/>
      <c r="R217" s="57">
        <v>2683882</v>
      </c>
      <c r="S217" s="58">
        <v>7360</v>
      </c>
      <c r="T217" s="58">
        <v>2691242</v>
      </c>
    </row>
    <row r="218" spans="1:20">
      <c r="A218" s="54">
        <v>92302</v>
      </c>
      <c r="B218" s="55" t="s">
        <v>1598</v>
      </c>
      <c r="C218" s="106">
        <v>2.9740000000000002E-4</v>
      </c>
      <c r="D218" s="106">
        <v>3.168E-4</v>
      </c>
      <c r="E218" s="56">
        <v>454345</v>
      </c>
      <c r="F218" s="56"/>
      <c r="G218" s="57">
        <v>26174</v>
      </c>
      <c r="H218" s="107">
        <v>110316</v>
      </c>
      <c r="I218" s="57">
        <v>64887</v>
      </c>
      <c r="J218" s="56">
        <v>0</v>
      </c>
      <c r="K218" s="107">
        <f t="shared" si="6"/>
        <v>201377</v>
      </c>
      <c r="L218" s="56"/>
      <c r="M218" s="57">
        <v>12861</v>
      </c>
      <c r="N218" s="57">
        <v>0</v>
      </c>
      <c r="O218" s="56">
        <v>28639</v>
      </c>
      <c r="P218" s="107">
        <f t="shared" si="7"/>
        <v>41500</v>
      </c>
      <c r="Q218" s="56"/>
      <c r="R218" s="57">
        <v>153115</v>
      </c>
      <c r="S218" s="58">
        <v>-9739</v>
      </c>
      <c r="T218" s="58">
        <v>143376</v>
      </c>
    </row>
    <row r="219" spans="1:20">
      <c r="A219" s="54">
        <v>92311</v>
      </c>
      <c r="B219" s="55" t="s">
        <v>1599</v>
      </c>
      <c r="C219" s="106">
        <v>2.2504999999999999E-3</v>
      </c>
      <c r="D219" s="106">
        <v>2.1857000000000001E-3</v>
      </c>
      <c r="E219" s="56">
        <v>3438141</v>
      </c>
      <c r="F219" s="56"/>
      <c r="G219" s="57">
        <v>198069</v>
      </c>
      <c r="H219" s="107">
        <v>834785</v>
      </c>
      <c r="I219" s="57">
        <v>491014</v>
      </c>
      <c r="J219" s="56">
        <v>8358</v>
      </c>
      <c r="K219" s="107">
        <f t="shared" si="6"/>
        <v>1532226</v>
      </c>
      <c r="L219" s="56"/>
      <c r="M219" s="57">
        <v>97323</v>
      </c>
      <c r="N219" s="57">
        <v>0</v>
      </c>
      <c r="O219" s="56">
        <v>54246</v>
      </c>
      <c r="P219" s="107">
        <f t="shared" si="7"/>
        <v>151569</v>
      </c>
      <c r="Q219" s="56"/>
      <c r="R219" s="57">
        <v>1158656</v>
      </c>
      <c r="S219" s="58">
        <v>-36529</v>
      </c>
      <c r="T219" s="58">
        <v>1122127</v>
      </c>
    </row>
    <row r="220" spans="1:20">
      <c r="A220" s="54">
        <v>92317</v>
      </c>
      <c r="B220" s="55" t="s">
        <v>1600</v>
      </c>
      <c r="C220" s="106">
        <v>2.94E-5</v>
      </c>
      <c r="D220" s="106">
        <v>2.9600000000000001E-5</v>
      </c>
      <c r="E220" s="56">
        <v>44915</v>
      </c>
      <c r="F220" s="56"/>
      <c r="G220" s="57">
        <v>2588</v>
      </c>
      <c r="H220" s="107">
        <v>10905</v>
      </c>
      <c r="I220" s="57">
        <v>6414</v>
      </c>
      <c r="J220" s="56">
        <v>15615</v>
      </c>
      <c r="K220" s="107">
        <f t="shared" si="6"/>
        <v>35522</v>
      </c>
      <c r="L220" s="56"/>
      <c r="M220" s="57">
        <v>1271</v>
      </c>
      <c r="N220" s="57">
        <v>0</v>
      </c>
      <c r="O220" s="56">
        <v>0</v>
      </c>
      <c r="P220" s="107">
        <f t="shared" si="7"/>
        <v>1271</v>
      </c>
      <c r="Q220" s="56"/>
      <c r="R220" s="57">
        <v>15136</v>
      </c>
      <c r="S220" s="58">
        <v>6218</v>
      </c>
      <c r="T220" s="58">
        <v>21354</v>
      </c>
    </row>
    <row r="221" spans="1:20">
      <c r="A221" s="54">
        <v>92321</v>
      </c>
      <c r="B221" s="55" t="s">
        <v>1601</v>
      </c>
      <c r="C221" s="106">
        <v>1.1773E-3</v>
      </c>
      <c r="D221" s="106">
        <v>1.2218999999999999E-3</v>
      </c>
      <c r="E221" s="56">
        <v>1798588</v>
      </c>
      <c r="F221" s="56"/>
      <c r="G221" s="57">
        <v>103615</v>
      </c>
      <c r="H221" s="107">
        <v>436700</v>
      </c>
      <c r="I221" s="57">
        <v>256863</v>
      </c>
      <c r="J221" s="56">
        <v>35464</v>
      </c>
      <c r="K221" s="107">
        <f t="shared" si="6"/>
        <v>832642</v>
      </c>
      <c r="L221" s="56"/>
      <c r="M221" s="57">
        <v>50912</v>
      </c>
      <c r="N221" s="57">
        <v>0</v>
      </c>
      <c r="O221" s="56">
        <v>20669</v>
      </c>
      <c r="P221" s="107">
        <f t="shared" si="7"/>
        <v>71581</v>
      </c>
      <c r="Q221" s="56"/>
      <c r="R221" s="57">
        <v>606126</v>
      </c>
      <c r="S221" s="58">
        <v>20498</v>
      </c>
      <c r="T221" s="58">
        <v>626624</v>
      </c>
    </row>
    <row r="222" spans="1:20">
      <c r="A222" s="54">
        <v>92327</v>
      </c>
      <c r="B222" s="55" t="s">
        <v>1602</v>
      </c>
      <c r="C222" s="106">
        <v>5.6999999999999996E-6</v>
      </c>
      <c r="D222" s="106">
        <v>7.6000000000000001E-6</v>
      </c>
      <c r="E222" s="56">
        <v>8708</v>
      </c>
      <c r="F222" s="56"/>
      <c r="G222" s="57">
        <v>502</v>
      </c>
      <c r="H222" s="107">
        <v>2115</v>
      </c>
      <c r="I222" s="57">
        <v>1244</v>
      </c>
      <c r="J222" s="56">
        <v>2932</v>
      </c>
      <c r="K222" s="107">
        <f t="shared" si="6"/>
        <v>6793</v>
      </c>
      <c r="L222" s="56"/>
      <c r="M222" s="57">
        <v>246</v>
      </c>
      <c r="N222" s="57">
        <v>0</v>
      </c>
      <c r="O222" s="56">
        <v>0</v>
      </c>
      <c r="P222" s="107">
        <f t="shared" si="7"/>
        <v>246</v>
      </c>
      <c r="Q222" s="56"/>
      <c r="R222" s="57">
        <v>2935</v>
      </c>
      <c r="S222" s="58">
        <v>1142</v>
      </c>
      <c r="T222" s="58">
        <v>4077</v>
      </c>
    </row>
    <row r="223" spans="1:20">
      <c r="A223" s="54">
        <v>92331</v>
      </c>
      <c r="B223" s="55" t="s">
        <v>1603</v>
      </c>
      <c r="C223" s="106">
        <v>1.3970000000000001E-4</v>
      </c>
      <c r="D223" s="106">
        <v>1.393E-4</v>
      </c>
      <c r="E223" s="56">
        <v>213423</v>
      </c>
      <c r="F223" s="56"/>
      <c r="G223" s="57">
        <v>12295</v>
      </c>
      <c r="H223" s="107">
        <v>51819</v>
      </c>
      <c r="I223" s="57">
        <v>30480</v>
      </c>
      <c r="J223" s="56">
        <v>2070</v>
      </c>
      <c r="K223" s="107">
        <f t="shared" si="6"/>
        <v>96664</v>
      </c>
      <c r="L223" s="56"/>
      <c r="M223" s="57">
        <v>6041</v>
      </c>
      <c r="N223" s="57">
        <v>0</v>
      </c>
      <c r="O223" s="56">
        <v>7559</v>
      </c>
      <c r="P223" s="107">
        <f t="shared" si="7"/>
        <v>13600</v>
      </c>
      <c r="Q223" s="56"/>
      <c r="R223" s="57">
        <v>71924</v>
      </c>
      <c r="S223" s="58">
        <v>-755</v>
      </c>
      <c r="T223" s="58">
        <v>71169</v>
      </c>
    </row>
    <row r="224" spans="1:20">
      <c r="A224" s="54">
        <v>92341</v>
      </c>
      <c r="B224" s="55" t="s">
        <v>1604</v>
      </c>
      <c r="C224" s="106">
        <v>9.7999999999999993E-6</v>
      </c>
      <c r="D224" s="106">
        <v>7.9000000000000006E-6</v>
      </c>
      <c r="E224" s="56">
        <v>14972</v>
      </c>
      <c r="F224" s="56"/>
      <c r="G224" s="57">
        <v>863</v>
      </c>
      <c r="H224" s="107">
        <v>3635</v>
      </c>
      <c r="I224" s="57">
        <v>2138</v>
      </c>
      <c r="J224" s="56">
        <v>523</v>
      </c>
      <c r="K224" s="107">
        <f t="shared" si="6"/>
        <v>7159</v>
      </c>
      <c r="L224" s="56"/>
      <c r="M224" s="57">
        <v>424</v>
      </c>
      <c r="N224" s="57">
        <v>0</v>
      </c>
      <c r="O224" s="56">
        <v>1977</v>
      </c>
      <c r="P224" s="107">
        <f t="shared" si="7"/>
        <v>2401</v>
      </c>
      <c r="Q224" s="56"/>
      <c r="R224" s="57">
        <v>5045</v>
      </c>
      <c r="S224" s="58">
        <v>-859</v>
      </c>
      <c r="T224" s="58">
        <f>4187-1</f>
        <v>4186</v>
      </c>
    </row>
    <row r="225" spans="1:20">
      <c r="A225" s="54">
        <v>92351</v>
      </c>
      <c r="B225" s="55" t="s">
        <v>1605</v>
      </c>
      <c r="C225" s="106">
        <v>1.8600000000000001E-5</v>
      </c>
      <c r="D225" s="106">
        <v>1.95E-5</v>
      </c>
      <c r="E225" s="56">
        <v>28416</v>
      </c>
      <c r="F225" s="56"/>
      <c r="G225" s="57">
        <v>1637</v>
      </c>
      <c r="H225" s="107">
        <v>6899</v>
      </c>
      <c r="I225" s="57">
        <v>4058</v>
      </c>
      <c r="J225" s="56">
        <v>746</v>
      </c>
      <c r="K225" s="107">
        <f t="shared" si="6"/>
        <v>13340</v>
      </c>
      <c r="L225" s="56"/>
      <c r="M225" s="57">
        <v>804</v>
      </c>
      <c r="N225" s="57">
        <v>0</v>
      </c>
      <c r="O225" s="56">
        <v>4166</v>
      </c>
      <c r="P225" s="107">
        <f t="shared" si="7"/>
        <v>4970</v>
      </c>
      <c r="Q225" s="56"/>
      <c r="R225" s="57">
        <v>9576</v>
      </c>
      <c r="S225" s="58">
        <v>-1010</v>
      </c>
      <c r="T225" s="58">
        <f>8567-1</f>
        <v>8566</v>
      </c>
    </row>
    <row r="226" spans="1:20">
      <c r="A226" s="54">
        <v>92401</v>
      </c>
      <c r="B226" s="55" t="s">
        <v>1606</v>
      </c>
      <c r="C226" s="106">
        <v>2.6890999999999998E-3</v>
      </c>
      <c r="D226" s="106">
        <v>2.7449000000000002E-3</v>
      </c>
      <c r="E226" s="56">
        <v>4108200</v>
      </c>
      <c r="F226" s="56"/>
      <c r="G226" s="57">
        <v>236670</v>
      </c>
      <c r="H226" s="107">
        <v>997476</v>
      </c>
      <c r="I226" s="57">
        <v>586708</v>
      </c>
      <c r="J226" s="56">
        <v>34938</v>
      </c>
      <c r="K226" s="107">
        <f t="shared" si="6"/>
        <v>1855792</v>
      </c>
      <c r="L226" s="56"/>
      <c r="M226" s="57">
        <v>116290</v>
      </c>
      <c r="N226" s="57">
        <v>0</v>
      </c>
      <c r="O226" s="56">
        <v>3448</v>
      </c>
      <c r="P226" s="107">
        <f t="shared" si="7"/>
        <v>119738</v>
      </c>
      <c r="Q226" s="56"/>
      <c r="R226" s="57">
        <v>1384467</v>
      </c>
      <c r="S226" s="58">
        <v>19009</v>
      </c>
      <c r="T226" s="58">
        <v>1403476</v>
      </c>
    </row>
    <row r="227" spans="1:20">
      <c r="A227" s="54">
        <v>92403</v>
      </c>
      <c r="B227" s="55" t="s">
        <v>1607</v>
      </c>
      <c r="C227" s="106">
        <v>1.11E-5</v>
      </c>
      <c r="D227" s="106">
        <v>9.7999999999999993E-6</v>
      </c>
      <c r="E227" s="56">
        <v>16958</v>
      </c>
      <c r="F227" s="56"/>
      <c r="G227" s="57">
        <v>977</v>
      </c>
      <c r="H227" s="107">
        <v>4117</v>
      </c>
      <c r="I227" s="57">
        <v>2422</v>
      </c>
      <c r="J227" s="56">
        <v>1858</v>
      </c>
      <c r="K227" s="107">
        <f t="shared" si="6"/>
        <v>9374</v>
      </c>
      <c r="L227" s="56"/>
      <c r="M227" s="57">
        <v>480</v>
      </c>
      <c r="N227" s="57">
        <v>0</v>
      </c>
      <c r="O227" s="56">
        <v>1307</v>
      </c>
      <c r="P227" s="107">
        <f t="shared" si="7"/>
        <v>1787</v>
      </c>
      <c r="Q227" s="56"/>
      <c r="R227" s="57">
        <v>5715</v>
      </c>
      <c r="S227" s="58">
        <v>135</v>
      </c>
      <c r="T227" s="58">
        <f>5849+1</f>
        <v>5850</v>
      </c>
    </row>
    <row r="228" spans="1:20">
      <c r="A228" s="54">
        <v>92411</v>
      </c>
      <c r="B228" s="55" t="s">
        <v>1608</v>
      </c>
      <c r="C228" s="106">
        <v>5.0469999999999996E-4</v>
      </c>
      <c r="D228" s="106">
        <v>4.8030000000000002E-4</v>
      </c>
      <c r="E228" s="56">
        <v>771042</v>
      </c>
      <c r="F228" s="56"/>
      <c r="G228" s="57">
        <v>44419</v>
      </c>
      <c r="H228" s="107">
        <v>187210</v>
      </c>
      <c r="I228" s="57">
        <v>110115</v>
      </c>
      <c r="J228" s="56">
        <v>369</v>
      </c>
      <c r="K228" s="107">
        <f t="shared" si="6"/>
        <v>342113</v>
      </c>
      <c r="L228" s="56"/>
      <c r="M228" s="57">
        <v>21826</v>
      </c>
      <c r="N228" s="57">
        <v>0</v>
      </c>
      <c r="O228" s="56">
        <v>44165</v>
      </c>
      <c r="P228" s="107">
        <f t="shared" si="7"/>
        <v>65991</v>
      </c>
      <c r="Q228" s="56"/>
      <c r="R228" s="57">
        <v>259842</v>
      </c>
      <c r="S228" s="58">
        <v>-17900</v>
      </c>
      <c r="T228" s="58">
        <v>241942</v>
      </c>
    </row>
    <row r="229" spans="1:20">
      <c r="A229" s="54">
        <v>92414</v>
      </c>
      <c r="B229" s="55" t="s">
        <v>239</v>
      </c>
      <c r="C229" s="106">
        <v>0</v>
      </c>
      <c r="D229" s="106">
        <v>0</v>
      </c>
      <c r="E229" s="56">
        <v>0</v>
      </c>
      <c r="F229" s="56"/>
      <c r="G229" s="57">
        <v>0</v>
      </c>
      <c r="H229" s="107">
        <v>0</v>
      </c>
      <c r="I229" s="57">
        <v>0</v>
      </c>
      <c r="J229" s="56">
        <v>0</v>
      </c>
      <c r="K229" s="107">
        <f t="shared" si="6"/>
        <v>0</v>
      </c>
      <c r="L229" s="56"/>
      <c r="M229" s="57">
        <v>0</v>
      </c>
      <c r="N229" s="57">
        <v>0</v>
      </c>
      <c r="O229" s="56">
        <v>5712</v>
      </c>
      <c r="P229" s="107">
        <f t="shared" si="7"/>
        <v>5712</v>
      </c>
      <c r="Q229" s="56"/>
      <c r="R229" s="57">
        <v>0</v>
      </c>
      <c r="S229" s="58">
        <v>-2445</v>
      </c>
      <c r="T229" s="58">
        <v>-2445</v>
      </c>
    </row>
    <row r="230" spans="1:20">
      <c r="A230" s="54">
        <v>92417</v>
      </c>
      <c r="B230" s="55" t="s">
        <v>1609</v>
      </c>
      <c r="C230" s="106">
        <v>1.8300000000000001E-5</v>
      </c>
      <c r="D230" s="106">
        <v>1.77E-5</v>
      </c>
      <c r="E230" s="56">
        <v>27957</v>
      </c>
      <c r="F230" s="56"/>
      <c r="G230" s="57">
        <v>1611</v>
      </c>
      <c r="H230" s="107">
        <v>6788</v>
      </c>
      <c r="I230" s="57">
        <v>3993</v>
      </c>
      <c r="J230" s="56">
        <v>0</v>
      </c>
      <c r="K230" s="107">
        <f t="shared" si="6"/>
        <v>12392</v>
      </c>
      <c r="L230" s="56"/>
      <c r="M230" s="57">
        <v>791</v>
      </c>
      <c r="N230" s="57">
        <v>0</v>
      </c>
      <c r="O230" s="56">
        <v>2726</v>
      </c>
      <c r="P230" s="107">
        <f t="shared" si="7"/>
        <v>3517</v>
      </c>
      <c r="Q230" s="56"/>
      <c r="R230" s="57">
        <v>9422</v>
      </c>
      <c r="S230" s="58">
        <v>-895</v>
      </c>
      <c r="T230" s="58">
        <v>8527</v>
      </c>
    </row>
    <row r="231" spans="1:20">
      <c r="A231" s="54">
        <v>92421</v>
      </c>
      <c r="B231" s="55" t="s">
        <v>1610</v>
      </c>
      <c r="C231" s="106">
        <v>8.8000000000000004E-6</v>
      </c>
      <c r="D231" s="106">
        <v>9.0000000000000002E-6</v>
      </c>
      <c r="E231" s="56">
        <v>13444</v>
      </c>
      <c r="F231" s="56"/>
      <c r="G231" s="57">
        <v>774</v>
      </c>
      <c r="H231" s="107">
        <v>3264</v>
      </c>
      <c r="I231" s="57">
        <v>1920</v>
      </c>
      <c r="J231" s="56">
        <v>3546</v>
      </c>
      <c r="K231" s="107">
        <f t="shared" si="6"/>
        <v>9504</v>
      </c>
      <c r="L231" s="56"/>
      <c r="M231" s="57">
        <v>381</v>
      </c>
      <c r="N231" s="57">
        <v>0</v>
      </c>
      <c r="O231" s="56">
        <v>1149</v>
      </c>
      <c r="P231" s="107">
        <f t="shared" si="7"/>
        <v>1530</v>
      </c>
      <c r="Q231" s="56"/>
      <c r="R231" s="57">
        <v>4531</v>
      </c>
      <c r="S231" s="58">
        <v>935</v>
      </c>
      <c r="T231" s="58">
        <v>5466</v>
      </c>
    </row>
    <row r="232" spans="1:20">
      <c r="A232" s="54">
        <v>92427</v>
      </c>
      <c r="B232" s="55" t="s">
        <v>1611</v>
      </c>
      <c r="C232" s="106">
        <v>3.9999999999999998E-7</v>
      </c>
      <c r="D232" s="106">
        <v>6.9999999999999997E-7</v>
      </c>
      <c r="E232" s="56">
        <v>611</v>
      </c>
      <c r="F232" s="56"/>
      <c r="G232" s="57">
        <v>35</v>
      </c>
      <c r="H232" s="107">
        <v>148</v>
      </c>
      <c r="I232" s="57">
        <v>87</v>
      </c>
      <c r="J232" s="56">
        <v>1998</v>
      </c>
      <c r="K232" s="107">
        <f t="shared" si="6"/>
        <v>2268</v>
      </c>
      <c r="L232" s="56"/>
      <c r="M232" s="57">
        <v>17</v>
      </c>
      <c r="N232" s="57">
        <v>0</v>
      </c>
      <c r="O232" s="56">
        <v>0</v>
      </c>
      <c r="P232" s="107">
        <f t="shared" si="7"/>
        <v>17</v>
      </c>
      <c r="Q232" s="56"/>
      <c r="R232" s="57">
        <v>206</v>
      </c>
      <c r="S232" s="58">
        <v>841</v>
      </c>
      <c r="T232" s="58">
        <v>1047</v>
      </c>
    </row>
    <row r="233" spans="1:20">
      <c r="A233" s="54">
        <v>92431</v>
      </c>
      <c r="B233" s="55" t="s">
        <v>1612</v>
      </c>
      <c r="C233" s="106">
        <v>3.0800000000000003E-5</v>
      </c>
      <c r="D233" s="106">
        <v>1.8499999999999999E-5</v>
      </c>
      <c r="E233" s="56">
        <v>47054</v>
      </c>
      <c r="F233" s="56"/>
      <c r="G233" s="57">
        <v>2711</v>
      </c>
      <c r="H233" s="107">
        <v>11425</v>
      </c>
      <c r="I233" s="57">
        <v>6720</v>
      </c>
      <c r="J233" s="56">
        <v>18832</v>
      </c>
      <c r="K233" s="107">
        <f t="shared" si="6"/>
        <v>39688</v>
      </c>
      <c r="L233" s="56"/>
      <c r="M233" s="57">
        <v>1332</v>
      </c>
      <c r="N233" s="57">
        <v>0</v>
      </c>
      <c r="O233" s="56">
        <v>3766</v>
      </c>
      <c r="P233" s="107">
        <f t="shared" si="7"/>
        <v>5098</v>
      </c>
      <c r="Q233" s="56"/>
      <c r="R233" s="57">
        <v>15857</v>
      </c>
      <c r="S233" s="58">
        <v>4147</v>
      </c>
      <c r="T233" s="58">
        <v>20004</v>
      </c>
    </row>
    <row r="234" spans="1:20">
      <c r="A234" s="54">
        <v>92441</v>
      </c>
      <c r="B234" s="55" t="s">
        <v>1613</v>
      </c>
      <c r="C234" s="106">
        <v>7.7999999999999999E-5</v>
      </c>
      <c r="D234" s="106">
        <v>9.2299999999999994E-5</v>
      </c>
      <c r="E234" s="56">
        <v>119162</v>
      </c>
      <c r="F234" s="56"/>
      <c r="G234" s="57">
        <v>6865</v>
      </c>
      <c r="H234" s="107">
        <v>28933</v>
      </c>
      <c r="I234" s="57">
        <v>17018</v>
      </c>
      <c r="J234" s="56">
        <v>0</v>
      </c>
      <c r="K234" s="107">
        <f t="shared" si="6"/>
        <v>52816</v>
      </c>
      <c r="L234" s="56"/>
      <c r="M234" s="57">
        <v>3373</v>
      </c>
      <c r="N234" s="57">
        <v>0</v>
      </c>
      <c r="O234" s="56">
        <v>15306</v>
      </c>
      <c r="P234" s="107">
        <f t="shared" si="7"/>
        <v>18679</v>
      </c>
      <c r="Q234" s="56"/>
      <c r="R234" s="57">
        <v>40158</v>
      </c>
      <c r="S234" s="58">
        <v>-6990</v>
      </c>
      <c r="T234" s="58">
        <f>33167+1</f>
        <v>33168</v>
      </c>
    </row>
    <row r="235" spans="1:20">
      <c r="A235" s="54">
        <v>92444</v>
      </c>
      <c r="B235" s="55" t="s">
        <v>1614</v>
      </c>
      <c r="C235" s="106">
        <v>1.7999999999999999E-6</v>
      </c>
      <c r="D235" s="106">
        <v>1.9999999999999999E-6</v>
      </c>
      <c r="E235" s="56">
        <v>2750</v>
      </c>
      <c r="F235" s="56"/>
      <c r="G235" s="57">
        <v>158</v>
      </c>
      <c r="H235" s="107">
        <v>667</v>
      </c>
      <c r="I235" s="57">
        <v>393</v>
      </c>
      <c r="J235" s="56">
        <v>2573</v>
      </c>
      <c r="K235" s="107">
        <f t="shared" si="6"/>
        <v>3791</v>
      </c>
      <c r="L235" s="56"/>
      <c r="M235" s="57">
        <v>78</v>
      </c>
      <c r="N235" s="57">
        <v>0</v>
      </c>
      <c r="O235" s="56">
        <v>0</v>
      </c>
      <c r="P235" s="107">
        <f t="shared" si="7"/>
        <v>78</v>
      </c>
      <c r="Q235" s="56"/>
      <c r="R235" s="57">
        <v>927</v>
      </c>
      <c r="S235" s="58">
        <v>1194</v>
      </c>
      <c r="T235" s="58">
        <v>2121</v>
      </c>
    </row>
    <row r="236" spans="1:20">
      <c r="A236" s="54">
        <v>92451</v>
      </c>
      <c r="B236" s="55" t="s">
        <v>1615</v>
      </c>
      <c r="C236" s="106">
        <v>1.3070000000000001E-4</v>
      </c>
      <c r="D236" s="106">
        <v>1.4559999999999999E-4</v>
      </c>
      <c r="E236" s="56">
        <v>199673</v>
      </c>
      <c r="F236" s="56"/>
      <c r="G236" s="57">
        <v>11503</v>
      </c>
      <c r="H236" s="107">
        <v>48481</v>
      </c>
      <c r="I236" s="57">
        <v>28516</v>
      </c>
      <c r="J236" s="56">
        <v>29255</v>
      </c>
      <c r="K236" s="107">
        <f t="shared" si="6"/>
        <v>117755</v>
      </c>
      <c r="L236" s="56"/>
      <c r="M236" s="57">
        <v>5652</v>
      </c>
      <c r="N236" s="57">
        <v>0</v>
      </c>
      <c r="O236" s="56">
        <v>0</v>
      </c>
      <c r="P236" s="107">
        <f t="shared" si="7"/>
        <v>5652</v>
      </c>
      <c r="Q236" s="56"/>
      <c r="R236" s="57">
        <v>67290</v>
      </c>
      <c r="S236" s="58">
        <v>12363</v>
      </c>
      <c r="T236" s="58">
        <v>79653</v>
      </c>
    </row>
    <row r="237" spans="1:20">
      <c r="A237" s="54">
        <v>92461</v>
      </c>
      <c r="B237" s="55" t="s">
        <v>1616</v>
      </c>
      <c r="C237" s="106">
        <v>7.1099999999999994E-5</v>
      </c>
      <c r="D237" s="106">
        <v>7.2999999999999999E-5</v>
      </c>
      <c r="E237" s="56">
        <v>108621</v>
      </c>
      <c r="F237" s="56"/>
      <c r="G237" s="57">
        <v>6258</v>
      </c>
      <c r="H237" s="107">
        <v>26373</v>
      </c>
      <c r="I237" s="57">
        <v>15513</v>
      </c>
      <c r="J237" s="56">
        <v>12982</v>
      </c>
      <c r="K237" s="107">
        <f t="shared" si="6"/>
        <v>61126</v>
      </c>
      <c r="L237" s="56"/>
      <c r="M237" s="57">
        <v>3075</v>
      </c>
      <c r="N237" s="57">
        <v>0</v>
      </c>
      <c r="O237" s="56">
        <v>4965</v>
      </c>
      <c r="P237" s="107">
        <f t="shared" si="7"/>
        <v>8040</v>
      </c>
      <c r="Q237" s="56"/>
      <c r="R237" s="57">
        <v>36605</v>
      </c>
      <c r="S237" s="58">
        <v>1157</v>
      </c>
      <c r="T237" s="58">
        <f>37763-1</f>
        <v>37762</v>
      </c>
    </row>
    <row r="238" spans="1:20">
      <c r="A238" s="54">
        <v>92501</v>
      </c>
      <c r="B238" s="55" t="s">
        <v>1617</v>
      </c>
      <c r="C238" s="106">
        <v>3.8252E-3</v>
      </c>
      <c r="D238" s="106">
        <v>3.8141E-3</v>
      </c>
      <c r="E238" s="56">
        <v>5843846</v>
      </c>
      <c r="F238" s="56"/>
      <c r="G238" s="57">
        <v>336660</v>
      </c>
      <c r="H238" s="107">
        <v>1418892</v>
      </c>
      <c r="I238" s="57">
        <v>834582</v>
      </c>
      <c r="J238" s="56">
        <v>137822</v>
      </c>
      <c r="K238" s="107">
        <f t="shared" si="6"/>
        <v>2727956</v>
      </c>
      <c r="L238" s="56"/>
      <c r="M238" s="57">
        <v>165421</v>
      </c>
      <c r="N238" s="57">
        <v>0</v>
      </c>
      <c r="O238" s="56">
        <v>9032</v>
      </c>
      <c r="P238" s="107">
        <f t="shared" si="7"/>
        <v>174453</v>
      </c>
      <c r="Q238" s="56"/>
      <c r="R238" s="57">
        <v>1969381</v>
      </c>
      <c r="S238" s="58">
        <v>45362</v>
      </c>
      <c r="T238" s="58">
        <v>2014743</v>
      </c>
    </row>
    <row r="239" spans="1:20">
      <c r="A239" s="54">
        <v>92502</v>
      </c>
      <c r="B239" s="55" t="s">
        <v>1618</v>
      </c>
      <c r="C239" s="106">
        <v>2.7500000000000001E-5</v>
      </c>
      <c r="D239" s="106">
        <v>2.8799999999999999E-5</v>
      </c>
      <c r="E239" s="56">
        <v>42012</v>
      </c>
      <c r="F239" s="56"/>
      <c r="G239" s="57">
        <v>2420</v>
      </c>
      <c r="H239" s="107">
        <v>10201</v>
      </c>
      <c r="I239" s="57">
        <v>6000</v>
      </c>
      <c r="J239" s="56">
        <v>3940</v>
      </c>
      <c r="K239" s="107">
        <f t="shared" si="6"/>
        <v>22561</v>
      </c>
      <c r="L239" s="56"/>
      <c r="M239" s="57">
        <v>1189</v>
      </c>
      <c r="N239" s="57">
        <v>0</v>
      </c>
      <c r="O239" s="56">
        <v>2154</v>
      </c>
      <c r="P239" s="107">
        <f t="shared" si="7"/>
        <v>3343</v>
      </c>
      <c r="Q239" s="56"/>
      <c r="R239" s="57">
        <v>14158</v>
      </c>
      <c r="S239" s="58">
        <v>-13</v>
      </c>
      <c r="T239" s="58">
        <v>14145</v>
      </c>
    </row>
    <row r="240" spans="1:20">
      <c r="A240" s="54">
        <v>92504</v>
      </c>
      <c r="B240" s="55" t="s">
        <v>1619</v>
      </c>
      <c r="C240" s="106">
        <v>8.4300000000000003E-5</v>
      </c>
      <c r="D240" s="106">
        <v>7.2799999999999994E-5</v>
      </c>
      <c r="E240" s="56">
        <v>128787</v>
      </c>
      <c r="F240" s="56"/>
      <c r="G240" s="57">
        <v>7419</v>
      </c>
      <c r="H240" s="107">
        <v>31269</v>
      </c>
      <c r="I240" s="57">
        <v>18393</v>
      </c>
      <c r="J240" s="56">
        <v>29049</v>
      </c>
      <c r="K240" s="107">
        <f t="shared" si="6"/>
        <v>86130</v>
      </c>
      <c r="L240" s="56"/>
      <c r="M240" s="57">
        <v>3646</v>
      </c>
      <c r="N240" s="57">
        <v>0</v>
      </c>
      <c r="O240" s="56">
        <v>27</v>
      </c>
      <c r="P240" s="107">
        <f t="shared" si="7"/>
        <v>3673</v>
      </c>
      <c r="Q240" s="56"/>
      <c r="R240" s="57">
        <v>43401</v>
      </c>
      <c r="S240" s="58">
        <v>10026</v>
      </c>
      <c r="T240" s="58">
        <v>53427</v>
      </c>
    </row>
    <row r="241" spans="1:20">
      <c r="A241" s="54">
        <v>92505</v>
      </c>
      <c r="B241" s="55" t="s">
        <v>1620</v>
      </c>
      <c r="C241" s="106">
        <v>1.9239999999999999E-4</v>
      </c>
      <c r="D241" s="106">
        <v>1.8709999999999999E-4</v>
      </c>
      <c r="E241" s="56">
        <v>293934</v>
      </c>
      <c r="F241" s="56"/>
      <c r="G241" s="57">
        <v>16933</v>
      </c>
      <c r="H241" s="107">
        <v>71367</v>
      </c>
      <c r="I241" s="57">
        <v>41978</v>
      </c>
      <c r="J241" s="56">
        <v>59108</v>
      </c>
      <c r="K241" s="107">
        <f t="shared" si="6"/>
        <v>189386</v>
      </c>
      <c r="L241" s="56"/>
      <c r="M241" s="57">
        <v>8320</v>
      </c>
      <c r="N241" s="57">
        <v>0</v>
      </c>
      <c r="O241" s="56">
        <v>0</v>
      </c>
      <c r="P241" s="107">
        <f t="shared" si="7"/>
        <v>8320</v>
      </c>
      <c r="Q241" s="56"/>
      <c r="R241" s="57">
        <v>99056</v>
      </c>
      <c r="S241" s="58">
        <v>23320</v>
      </c>
      <c r="T241" s="58">
        <v>122376</v>
      </c>
    </row>
    <row r="242" spans="1:20">
      <c r="A242" s="54">
        <v>92506</v>
      </c>
      <c r="B242" s="55" t="s">
        <v>1621</v>
      </c>
      <c r="C242" s="106">
        <v>4.7500000000000003E-5</v>
      </c>
      <c r="D242" s="106">
        <v>4.3699999999999998E-5</v>
      </c>
      <c r="E242" s="56">
        <v>72567</v>
      </c>
      <c r="F242" s="56"/>
      <c r="G242" s="57">
        <v>4181</v>
      </c>
      <c r="H242" s="107">
        <v>17619</v>
      </c>
      <c r="I242" s="57">
        <v>10364</v>
      </c>
      <c r="J242" s="56">
        <v>17893</v>
      </c>
      <c r="K242" s="107">
        <f t="shared" si="6"/>
        <v>50057</v>
      </c>
      <c r="L242" s="56"/>
      <c r="M242" s="57">
        <v>2054</v>
      </c>
      <c r="N242" s="57">
        <v>0</v>
      </c>
      <c r="O242" s="56">
        <v>0</v>
      </c>
      <c r="P242" s="107">
        <f t="shared" si="7"/>
        <v>2054</v>
      </c>
      <c r="Q242" s="56"/>
      <c r="R242" s="57">
        <v>24455</v>
      </c>
      <c r="S242" s="58">
        <v>7399</v>
      </c>
      <c r="T242" s="58">
        <v>31854</v>
      </c>
    </row>
    <row r="243" spans="1:20">
      <c r="A243" s="54">
        <v>92507</v>
      </c>
      <c r="B243" s="55" t="s">
        <v>1622</v>
      </c>
      <c r="C243" s="106">
        <v>9.5699999999999995E-5</v>
      </c>
      <c r="D243" s="106">
        <v>7.6799999999999997E-5</v>
      </c>
      <c r="E243" s="56">
        <v>146203</v>
      </c>
      <c r="F243" s="56"/>
      <c r="G243" s="57">
        <v>8423</v>
      </c>
      <c r="H243" s="107">
        <v>35498</v>
      </c>
      <c r="I243" s="57">
        <v>20880</v>
      </c>
      <c r="J243" s="56">
        <v>10349</v>
      </c>
      <c r="K243" s="107">
        <f t="shared" si="6"/>
        <v>75150</v>
      </c>
      <c r="L243" s="56"/>
      <c r="M243" s="57">
        <v>4139</v>
      </c>
      <c r="N243" s="57">
        <v>0</v>
      </c>
      <c r="O243" s="56">
        <v>14283</v>
      </c>
      <c r="P243" s="107">
        <f t="shared" si="7"/>
        <v>18422</v>
      </c>
      <c r="Q243" s="56"/>
      <c r="R243" s="57">
        <v>49271</v>
      </c>
      <c r="S243" s="58">
        <v>-5512</v>
      </c>
      <c r="T243" s="58">
        <f>43758+1</f>
        <v>43759</v>
      </c>
    </row>
    <row r="244" spans="1:20">
      <c r="A244" s="54">
        <v>92508</v>
      </c>
      <c r="B244" s="55" t="s">
        <v>1623</v>
      </c>
      <c r="C244" s="106">
        <v>3.1E-4</v>
      </c>
      <c r="D244" s="106">
        <v>3.1930000000000001E-4</v>
      </c>
      <c r="E244" s="56">
        <v>473594</v>
      </c>
      <c r="F244" s="56"/>
      <c r="G244" s="57">
        <v>27283</v>
      </c>
      <c r="H244" s="107">
        <v>114989</v>
      </c>
      <c r="I244" s="57">
        <v>67636</v>
      </c>
      <c r="J244" s="56">
        <v>5884</v>
      </c>
      <c r="K244" s="107">
        <f t="shared" si="6"/>
        <v>215792</v>
      </c>
      <c r="L244" s="56"/>
      <c r="M244" s="57">
        <v>13406</v>
      </c>
      <c r="N244" s="57">
        <v>0</v>
      </c>
      <c r="O244" s="56">
        <v>1407</v>
      </c>
      <c r="P244" s="107">
        <f t="shared" si="7"/>
        <v>14813</v>
      </c>
      <c r="Q244" s="56"/>
      <c r="R244" s="57">
        <v>159602</v>
      </c>
      <c r="S244" s="58">
        <v>3411</v>
      </c>
      <c r="T244" s="58">
        <v>163013</v>
      </c>
    </row>
    <row r="245" spans="1:20">
      <c r="A245" s="54">
        <v>92511</v>
      </c>
      <c r="B245" s="55" t="s">
        <v>1624</v>
      </c>
      <c r="C245" s="106">
        <v>3.3240000000000001E-3</v>
      </c>
      <c r="D245" s="106">
        <v>3.4164E-3</v>
      </c>
      <c r="E245" s="56">
        <v>5078151</v>
      </c>
      <c r="F245" s="56"/>
      <c r="G245" s="57">
        <v>292549</v>
      </c>
      <c r="H245" s="107">
        <v>1232981</v>
      </c>
      <c r="I245" s="57">
        <v>725230</v>
      </c>
      <c r="J245" s="56">
        <v>12146</v>
      </c>
      <c r="K245" s="107">
        <f t="shared" si="6"/>
        <v>2262906</v>
      </c>
      <c r="L245" s="56"/>
      <c r="M245" s="57">
        <v>143746</v>
      </c>
      <c r="N245" s="57">
        <v>0</v>
      </c>
      <c r="O245" s="56">
        <v>237633</v>
      </c>
      <c r="P245" s="107">
        <f t="shared" si="7"/>
        <v>381379</v>
      </c>
      <c r="Q245" s="56"/>
      <c r="R245" s="57">
        <v>1711341</v>
      </c>
      <c r="S245" s="58">
        <v>-72839</v>
      </c>
      <c r="T245" s="58">
        <f>1638503-1</f>
        <v>1638502</v>
      </c>
    </row>
    <row r="246" spans="1:20">
      <c r="A246" s="54">
        <v>92513</v>
      </c>
      <c r="B246" s="55" t="s">
        <v>1625</v>
      </c>
      <c r="C246" s="106">
        <v>4.0328999999999999E-3</v>
      </c>
      <c r="D246" s="106">
        <v>3.9753000000000002E-3</v>
      </c>
      <c r="E246" s="56">
        <v>6161154</v>
      </c>
      <c r="F246" s="56"/>
      <c r="G246" s="57">
        <v>354940</v>
      </c>
      <c r="H246" s="107">
        <v>1495936</v>
      </c>
      <c r="I246" s="57">
        <v>879898</v>
      </c>
      <c r="J246" s="56">
        <f>1481541+87063+162533</f>
        <v>1731137</v>
      </c>
      <c r="K246" s="107">
        <f t="shared" si="6"/>
        <v>4461911</v>
      </c>
      <c r="L246" s="56"/>
      <c r="M246" s="57">
        <v>174403</v>
      </c>
      <c r="N246" s="57">
        <v>0</v>
      </c>
      <c r="O246" s="56">
        <f>106570+867533+690246</f>
        <v>1664349</v>
      </c>
      <c r="P246" s="107">
        <f t="shared" si="7"/>
        <v>1838752</v>
      </c>
      <c r="Q246" s="56"/>
      <c r="R246" s="57">
        <v>2076314</v>
      </c>
      <c r="S246" s="58">
        <f>491379-223763-102954</f>
        <v>164662</v>
      </c>
      <c r="T246" s="58">
        <f>2567693-223763-102954</f>
        <v>2240976</v>
      </c>
    </row>
    <row r="247" spans="1:20">
      <c r="A247" s="54">
        <v>92521</v>
      </c>
      <c r="B247" s="55" t="s">
        <v>1626</v>
      </c>
      <c r="C247" s="106">
        <v>8.6899999999999998E-5</v>
      </c>
      <c r="D247" s="106">
        <v>8.9800000000000001E-5</v>
      </c>
      <c r="E247" s="56">
        <v>132759</v>
      </c>
      <c r="F247" s="56"/>
      <c r="G247" s="57">
        <v>7648</v>
      </c>
      <c r="H247" s="107">
        <v>32235</v>
      </c>
      <c r="I247" s="57">
        <v>18960</v>
      </c>
      <c r="J247" s="56">
        <v>3168</v>
      </c>
      <c r="K247" s="107">
        <f t="shared" si="6"/>
        <v>62011</v>
      </c>
      <c r="L247" s="56"/>
      <c r="M247" s="57">
        <v>3758</v>
      </c>
      <c r="N247" s="57">
        <v>0</v>
      </c>
      <c r="O247" s="56">
        <v>10611</v>
      </c>
      <c r="P247" s="107">
        <f t="shared" si="7"/>
        <v>14369</v>
      </c>
      <c r="Q247" s="56"/>
      <c r="R247" s="57">
        <v>44740</v>
      </c>
      <c r="S247" s="58">
        <v>-2554</v>
      </c>
      <c r="T247" s="58">
        <v>42186</v>
      </c>
    </row>
    <row r="248" spans="1:20">
      <c r="A248" s="54">
        <v>92531</v>
      </c>
      <c r="B248" s="55" t="s">
        <v>1627</v>
      </c>
      <c r="C248" s="106">
        <v>8.6490000000000004E-4</v>
      </c>
      <c r="D248" s="106">
        <v>8.3779999999999998E-4</v>
      </c>
      <c r="E248" s="56">
        <v>1321328</v>
      </c>
      <c r="F248" s="56"/>
      <c r="G248" s="57">
        <v>76121</v>
      </c>
      <c r="H248" s="107">
        <v>320820</v>
      </c>
      <c r="I248" s="57">
        <v>188704</v>
      </c>
      <c r="J248" s="56">
        <v>0</v>
      </c>
      <c r="K248" s="107">
        <f t="shared" si="6"/>
        <v>585645</v>
      </c>
      <c r="L248" s="56"/>
      <c r="M248" s="57">
        <v>37403</v>
      </c>
      <c r="N248" s="57">
        <v>0</v>
      </c>
      <c r="O248" s="56">
        <v>124043</v>
      </c>
      <c r="P248" s="107">
        <f t="shared" si="7"/>
        <v>161446</v>
      </c>
      <c r="Q248" s="56"/>
      <c r="R248" s="57">
        <v>445289</v>
      </c>
      <c r="S248" s="58">
        <v>-61397</v>
      </c>
      <c r="T248" s="58">
        <v>383892</v>
      </c>
    </row>
    <row r="249" spans="1:20">
      <c r="A249" s="54">
        <v>92541</v>
      </c>
      <c r="B249" s="55" t="s">
        <v>1628</v>
      </c>
      <c r="C249" s="106">
        <v>1.4469999999999999E-4</v>
      </c>
      <c r="D249" s="106">
        <v>1.4300000000000001E-4</v>
      </c>
      <c r="E249" s="56">
        <v>221062</v>
      </c>
      <c r="F249" s="56"/>
      <c r="G249" s="57">
        <v>12735</v>
      </c>
      <c r="H249" s="107">
        <v>53674</v>
      </c>
      <c r="I249" s="57">
        <v>31571</v>
      </c>
      <c r="J249" s="56">
        <v>7292</v>
      </c>
      <c r="K249" s="107">
        <f t="shared" si="6"/>
        <v>105272</v>
      </c>
      <c r="L249" s="56"/>
      <c r="M249" s="57">
        <v>6258</v>
      </c>
      <c r="N249" s="57">
        <v>0</v>
      </c>
      <c r="O249" s="56">
        <v>7300</v>
      </c>
      <c r="P249" s="107">
        <f t="shared" si="7"/>
        <v>13558</v>
      </c>
      <c r="Q249" s="56"/>
      <c r="R249" s="57">
        <v>74498</v>
      </c>
      <c r="S249" s="58">
        <v>2019</v>
      </c>
      <c r="T249" s="58">
        <v>76517</v>
      </c>
    </row>
    <row r="250" spans="1:20">
      <c r="A250" s="54">
        <v>92551</v>
      </c>
      <c r="B250" s="55" t="s">
        <v>1629</v>
      </c>
      <c r="C250" s="106">
        <v>5.3300000000000001E-5</v>
      </c>
      <c r="D250" s="106">
        <v>4.18E-5</v>
      </c>
      <c r="E250" s="56">
        <v>81428</v>
      </c>
      <c r="F250" s="56"/>
      <c r="G250" s="57">
        <v>4691</v>
      </c>
      <c r="H250" s="107">
        <v>19771</v>
      </c>
      <c r="I250" s="57">
        <v>11629</v>
      </c>
      <c r="J250" s="56">
        <v>7529</v>
      </c>
      <c r="K250" s="107">
        <f t="shared" si="6"/>
        <v>43620</v>
      </c>
      <c r="L250" s="56"/>
      <c r="M250" s="57">
        <v>2305</v>
      </c>
      <c r="N250" s="57">
        <v>0</v>
      </c>
      <c r="O250" s="56">
        <v>8359</v>
      </c>
      <c r="P250" s="107">
        <f t="shared" si="7"/>
        <v>10664</v>
      </c>
      <c r="Q250" s="56"/>
      <c r="R250" s="57">
        <v>27441</v>
      </c>
      <c r="S250" s="58">
        <v>961</v>
      </c>
      <c r="T250" s="58">
        <v>28402</v>
      </c>
    </row>
    <row r="251" spans="1:20">
      <c r="A251" s="54">
        <v>92561</v>
      </c>
      <c r="B251" s="55" t="s">
        <v>1630</v>
      </c>
      <c r="C251" s="106">
        <v>2.2200000000000001E-5</v>
      </c>
      <c r="D251" s="106">
        <v>2.2900000000000001E-5</v>
      </c>
      <c r="E251" s="56">
        <v>33915</v>
      </c>
      <c r="F251" s="56"/>
      <c r="G251" s="57">
        <v>1954</v>
      </c>
      <c r="H251" s="107">
        <v>8235</v>
      </c>
      <c r="I251" s="57">
        <v>4844</v>
      </c>
      <c r="J251" s="56">
        <v>5369</v>
      </c>
      <c r="K251" s="107">
        <f t="shared" si="6"/>
        <v>20402</v>
      </c>
      <c r="L251" s="56"/>
      <c r="M251" s="57">
        <v>960</v>
      </c>
      <c r="N251" s="57">
        <v>0</v>
      </c>
      <c r="O251" s="56">
        <v>0</v>
      </c>
      <c r="P251" s="107">
        <f t="shared" si="7"/>
        <v>960</v>
      </c>
      <c r="Q251" s="56"/>
      <c r="R251" s="57">
        <v>11430</v>
      </c>
      <c r="S251" s="58">
        <v>2639</v>
      </c>
      <c r="T251" s="58">
        <f>14068+1</f>
        <v>14069</v>
      </c>
    </row>
    <row r="252" spans="1:20">
      <c r="A252" s="54">
        <v>92571</v>
      </c>
      <c r="B252" s="55" t="s">
        <v>1631</v>
      </c>
      <c r="C252" s="106">
        <v>1.01E-5</v>
      </c>
      <c r="D252" s="106">
        <v>3.1E-6</v>
      </c>
      <c r="E252" s="56">
        <v>15430</v>
      </c>
      <c r="F252" s="56"/>
      <c r="G252" s="57">
        <v>889</v>
      </c>
      <c r="H252" s="107">
        <v>3746</v>
      </c>
      <c r="I252" s="57">
        <v>2204</v>
      </c>
      <c r="J252" s="56">
        <v>9367</v>
      </c>
      <c r="K252" s="107">
        <f t="shared" si="6"/>
        <v>16206</v>
      </c>
      <c r="L252" s="56"/>
      <c r="M252" s="57">
        <v>437</v>
      </c>
      <c r="N252" s="57">
        <v>0</v>
      </c>
      <c r="O252" s="56">
        <v>100</v>
      </c>
      <c r="P252" s="107">
        <f t="shared" si="7"/>
        <v>537</v>
      </c>
      <c r="Q252" s="56"/>
      <c r="R252" s="57">
        <v>5200</v>
      </c>
      <c r="S252" s="58">
        <v>2687</v>
      </c>
      <c r="T252" s="58">
        <v>7887</v>
      </c>
    </row>
    <row r="253" spans="1:20">
      <c r="A253" s="54">
        <v>92601</v>
      </c>
      <c r="B253" s="55" t="s">
        <v>1632</v>
      </c>
      <c r="C253" s="106">
        <v>1.51874E-2</v>
      </c>
      <c r="D253" s="106">
        <v>1.54185E-2</v>
      </c>
      <c r="E253" s="56">
        <v>23202140</v>
      </c>
      <c r="F253" s="56"/>
      <c r="G253" s="57">
        <v>1336658</v>
      </c>
      <c r="H253" s="107">
        <v>5633508</v>
      </c>
      <c r="I253" s="57">
        <v>3313587</v>
      </c>
      <c r="J253" s="56">
        <v>134811</v>
      </c>
      <c r="K253" s="107">
        <f t="shared" si="6"/>
        <v>10418564</v>
      </c>
      <c r="L253" s="56"/>
      <c r="M253" s="57">
        <v>656779</v>
      </c>
      <c r="N253" s="57">
        <v>0</v>
      </c>
      <c r="O253" s="56">
        <v>46060</v>
      </c>
      <c r="P253" s="107">
        <f t="shared" si="7"/>
        <v>702839</v>
      </c>
      <c r="Q253" s="56"/>
      <c r="R253" s="57">
        <v>7819142</v>
      </c>
      <c r="S253" s="58">
        <v>112074</v>
      </c>
      <c r="T253" s="58">
        <f>7931215+1</f>
        <v>7931216</v>
      </c>
    </row>
    <row r="254" spans="1:20">
      <c r="A254" s="54">
        <v>92602</v>
      </c>
      <c r="B254" s="55" t="s">
        <v>1633</v>
      </c>
      <c r="C254" s="106">
        <v>8.3000000000000002E-6</v>
      </c>
      <c r="D254" s="106">
        <v>8.1999999999999994E-6</v>
      </c>
      <c r="E254" s="56">
        <v>12680</v>
      </c>
      <c r="F254" s="56"/>
      <c r="G254" s="57">
        <v>730</v>
      </c>
      <c r="H254" s="107">
        <v>3079</v>
      </c>
      <c r="I254" s="57">
        <v>1811</v>
      </c>
      <c r="J254" s="56">
        <v>352</v>
      </c>
      <c r="K254" s="107">
        <f t="shared" si="6"/>
        <v>5972</v>
      </c>
      <c r="L254" s="56"/>
      <c r="M254" s="57">
        <v>359</v>
      </c>
      <c r="N254" s="57">
        <v>0</v>
      </c>
      <c r="O254" s="56">
        <v>927</v>
      </c>
      <c r="P254" s="107">
        <f t="shared" si="7"/>
        <v>1286</v>
      </c>
      <c r="Q254" s="56"/>
      <c r="R254" s="57">
        <v>4273</v>
      </c>
      <c r="S254" s="58">
        <v>-99</v>
      </c>
      <c r="T254" s="58">
        <v>4174</v>
      </c>
    </row>
    <row r="255" spans="1:20">
      <c r="A255" s="54">
        <v>92604</v>
      </c>
      <c r="B255" s="55" t="s">
        <v>1634</v>
      </c>
      <c r="C255" s="106">
        <v>3.4099999999999999E-4</v>
      </c>
      <c r="D255" s="106">
        <v>3.4380000000000001E-4</v>
      </c>
      <c r="E255" s="56">
        <v>520954</v>
      </c>
      <c r="F255" s="56"/>
      <c r="G255" s="57">
        <v>30012</v>
      </c>
      <c r="H255" s="107">
        <v>126488</v>
      </c>
      <c r="I255" s="57">
        <v>74399</v>
      </c>
      <c r="J255" s="56">
        <v>52760</v>
      </c>
      <c r="K255" s="107">
        <f t="shared" si="6"/>
        <v>283659</v>
      </c>
      <c r="L255" s="56"/>
      <c r="M255" s="57">
        <v>14747</v>
      </c>
      <c r="N255" s="57">
        <v>0</v>
      </c>
      <c r="O255" s="56">
        <v>0</v>
      </c>
      <c r="P255" s="107">
        <f t="shared" si="7"/>
        <v>14747</v>
      </c>
      <c r="Q255" s="56"/>
      <c r="R255" s="57">
        <v>175562</v>
      </c>
      <c r="S255" s="58">
        <v>23975</v>
      </c>
      <c r="T255" s="58">
        <v>199537</v>
      </c>
    </row>
    <row r="256" spans="1:20">
      <c r="A256" s="54">
        <v>92607</v>
      </c>
      <c r="B256" s="55" t="s">
        <v>1635</v>
      </c>
      <c r="C256" s="106">
        <v>6.6400000000000001E-5</v>
      </c>
      <c r="D256" s="106">
        <v>7.0400000000000004E-5</v>
      </c>
      <c r="E256" s="56">
        <v>101441</v>
      </c>
      <c r="F256" s="56"/>
      <c r="G256" s="57">
        <v>5844</v>
      </c>
      <c r="H256" s="107">
        <v>24630</v>
      </c>
      <c r="I256" s="57">
        <v>14487</v>
      </c>
      <c r="J256" s="56">
        <v>9416</v>
      </c>
      <c r="K256" s="107">
        <f t="shared" si="6"/>
        <v>54377</v>
      </c>
      <c r="L256" s="56"/>
      <c r="M256" s="57">
        <v>2871</v>
      </c>
      <c r="N256" s="57">
        <v>0</v>
      </c>
      <c r="O256" s="56">
        <v>0</v>
      </c>
      <c r="P256" s="107">
        <f t="shared" si="7"/>
        <v>2871</v>
      </c>
      <c r="Q256" s="56"/>
      <c r="R256" s="57">
        <v>34186</v>
      </c>
      <c r="S256" s="58">
        <v>4781</v>
      </c>
      <c r="T256" s="58">
        <f>38966+1</f>
        <v>38967</v>
      </c>
    </row>
    <row r="257" spans="1:20">
      <c r="A257" s="54">
        <v>92608</v>
      </c>
      <c r="B257" s="55" t="s">
        <v>1636</v>
      </c>
      <c r="C257" s="106">
        <v>0</v>
      </c>
      <c r="D257" s="106">
        <v>0</v>
      </c>
      <c r="E257" s="56">
        <v>0</v>
      </c>
      <c r="F257" s="56"/>
      <c r="G257" s="57">
        <v>0</v>
      </c>
      <c r="H257" s="107">
        <v>0</v>
      </c>
      <c r="I257" s="57">
        <v>0</v>
      </c>
      <c r="J257" s="56">
        <v>0</v>
      </c>
      <c r="K257" s="107">
        <f t="shared" si="6"/>
        <v>0</v>
      </c>
      <c r="L257" s="56"/>
      <c r="M257" s="57">
        <v>0</v>
      </c>
      <c r="N257" s="57">
        <v>0</v>
      </c>
      <c r="O257" s="56">
        <v>69935</v>
      </c>
      <c r="P257" s="107">
        <f t="shared" si="7"/>
        <v>69935</v>
      </c>
      <c r="Q257" s="56"/>
      <c r="R257" s="57">
        <v>0</v>
      </c>
      <c r="S257" s="58">
        <v>-69872</v>
      </c>
      <c r="T257" s="58">
        <v>-69872</v>
      </c>
    </row>
    <row r="258" spans="1:20">
      <c r="A258" s="54">
        <v>92611</v>
      </c>
      <c r="B258" s="55" t="s">
        <v>1637</v>
      </c>
      <c r="C258" s="106">
        <v>1.3080899999999999E-2</v>
      </c>
      <c r="D258" s="106">
        <v>1.3650799999999999E-2</v>
      </c>
      <c r="E258" s="56">
        <v>19983992</v>
      </c>
      <c r="F258" s="56"/>
      <c r="G258" s="57">
        <v>1151263</v>
      </c>
      <c r="H258" s="107">
        <v>4852137</v>
      </c>
      <c r="I258" s="57">
        <v>2853991</v>
      </c>
      <c r="J258" s="56">
        <v>10109</v>
      </c>
      <c r="K258" s="107">
        <f t="shared" si="6"/>
        <v>8867500</v>
      </c>
      <c r="L258" s="56"/>
      <c r="M258" s="57">
        <v>565684</v>
      </c>
      <c r="N258" s="57">
        <v>0</v>
      </c>
      <c r="O258" s="56">
        <v>976593</v>
      </c>
      <c r="P258" s="107">
        <f t="shared" si="7"/>
        <v>1542277</v>
      </c>
      <c r="Q258" s="56"/>
      <c r="R258" s="57">
        <v>6734623</v>
      </c>
      <c r="S258" s="58">
        <v>-313138</v>
      </c>
      <c r="T258" s="58">
        <v>6421485</v>
      </c>
    </row>
    <row r="259" spans="1:20">
      <c r="A259" s="54">
        <v>92613</v>
      </c>
      <c r="B259" s="55" t="s">
        <v>1638</v>
      </c>
      <c r="C259" s="106">
        <v>2.6439999999999998E-4</v>
      </c>
      <c r="D259" s="106">
        <v>2.81E-4</v>
      </c>
      <c r="E259" s="56">
        <v>403930</v>
      </c>
      <c r="F259" s="56"/>
      <c r="G259" s="57">
        <v>23270</v>
      </c>
      <c r="H259" s="107">
        <v>98075</v>
      </c>
      <c r="I259" s="57">
        <v>57687</v>
      </c>
      <c r="J259" s="56">
        <v>84489</v>
      </c>
      <c r="K259" s="107">
        <f t="shared" si="6"/>
        <v>263521</v>
      </c>
      <c r="L259" s="56"/>
      <c r="M259" s="57">
        <v>11434</v>
      </c>
      <c r="N259" s="57">
        <v>0</v>
      </c>
      <c r="O259" s="56">
        <v>941</v>
      </c>
      <c r="P259" s="107">
        <f t="shared" si="7"/>
        <v>12375</v>
      </c>
      <c r="Q259" s="56"/>
      <c r="R259" s="57">
        <v>136125</v>
      </c>
      <c r="S259" s="58">
        <v>41506</v>
      </c>
      <c r="T259" s="58">
        <v>177631</v>
      </c>
    </row>
    <row r="260" spans="1:20">
      <c r="A260" s="54">
        <v>92614</v>
      </c>
      <c r="B260" s="55" t="s">
        <v>1639</v>
      </c>
      <c r="C260" s="106">
        <v>5.7273000000000003E-3</v>
      </c>
      <c r="D260" s="106">
        <v>5.6468000000000004E-3</v>
      </c>
      <c r="E260" s="56">
        <v>8749728</v>
      </c>
      <c r="F260" s="56"/>
      <c r="G260" s="57">
        <v>504065</v>
      </c>
      <c r="H260" s="107">
        <v>2124444</v>
      </c>
      <c r="I260" s="57">
        <v>1249582</v>
      </c>
      <c r="J260" s="56">
        <v>3908054</v>
      </c>
      <c r="K260" s="107">
        <f t="shared" si="6"/>
        <v>7786145</v>
      </c>
      <c r="L260" s="56"/>
      <c r="M260" s="57">
        <v>247677</v>
      </c>
      <c r="N260" s="57">
        <v>0</v>
      </c>
      <c r="O260" s="56">
        <v>0</v>
      </c>
      <c r="P260" s="107">
        <f t="shared" si="7"/>
        <v>247677</v>
      </c>
      <c r="Q260" s="56"/>
      <c r="R260" s="57">
        <v>2948666</v>
      </c>
      <c r="S260" s="58">
        <v>1416067</v>
      </c>
      <c r="T260" s="58">
        <v>4364733</v>
      </c>
    </row>
    <row r="261" spans="1:20">
      <c r="A261" s="54">
        <v>92621</v>
      </c>
      <c r="B261" s="55" t="s">
        <v>1640</v>
      </c>
      <c r="C261" s="106">
        <v>2.72E-5</v>
      </c>
      <c r="D261" s="106">
        <v>3.2799999999999998E-5</v>
      </c>
      <c r="E261" s="56">
        <v>41554</v>
      </c>
      <c r="F261" s="56"/>
      <c r="G261" s="57">
        <v>2394</v>
      </c>
      <c r="H261" s="107">
        <v>10089</v>
      </c>
      <c r="I261" s="57">
        <v>5934</v>
      </c>
      <c r="J261" s="56">
        <v>872</v>
      </c>
      <c r="K261" s="107">
        <f t="shared" si="6"/>
        <v>19289</v>
      </c>
      <c r="L261" s="56"/>
      <c r="M261" s="57">
        <v>1176</v>
      </c>
      <c r="N261" s="57">
        <v>0</v>
      </c>
      <c r="O261" s="56">
        <v>6521</v>
      </c>
      <c r="P261" s="107">
        <f t="shared" si="7"/>
        <v>7697</v>
      </c>
      <c r="Q261" s="56"/>
      <c r="R261" s="57">
        <v>14004</v>
      </c>
      <c r="S261" s="58">
        <v>-1988</v>
      </c>
      <c r="T261" s="58">
        <v>12016</v>
      </c>
    </row>
    <row r="262" spans="1:20">
      <c r="A262" s="54">
        <v>92631</v>
      </c>
      <c r="B262" s="55" t="s">
        <v>1641</v>
      </c>
      <c r="C262" s="106">
        <v>9.2710000000000004E-4</v>
      </c>
      <c r="D262" s="106">
        <v>1.0068E-3</v>
      </c>
      <c r="E262" s="56">
        <v>1416352</v>
      </c>
      <c r="F262" s="56"/>
      <c r="G262" s="57">
        <v>81595</v>
      </c>
      <c r="H262" s="107">
        <v>343892</v>
      </c>
      <c r="I262" s="57">
        <v>202275</v>
      </c>
      <c r="J262" s="56">
        <v>0</v>
      </c>
      <c r="K262" s="107">
        <f t="shared" si="6"/>
        <v>627762</v>
      </c>
      <c r="L262" s="56"/>
      <c r="M262" s="57">
        <v>40092</v>
      </c>
      <c r="N262" s="57">
        <v>0</v>
      </c>
      <c r="O262" s="56">
        <v>146834</v>
      </c>
      <c r="P262" s="107">
        <f t="shared" si="7"/>
        <v>186926</v>
      </c>
      <c r="Q262" s="56"/>
      <c r="R262" s="57">
        <v>477312</v>
      </c>
      <c r="S262" s="58">
        <v>-49734</v>
      </c>
      <c r="T262" s="58">
        <v>427578</v>
      </c>
    </row>
    <row r="263" spans="1:20">
      <c r="A263" s="54">
        <v>92641</v>
      </c>
      <c r="B263" s="55" t="s">
        <v>1642</v>
      </c>
      <c r="C263" s="106">
        <v>1.0200000000000001E-5</v>
      </c>
      <c r="D263" s="106">
        <v>1.03E-5</v>
      </c>
      <c r="E263" s="56">
        <v>15583</v>
      </c>
      <c r="F263" s="56"/>
      <c r="G263" s="57">
        <v>898</v>
      </c>
      <c r="H263" s="107">
        <v>3784</v>
      </c>
      <c r="I263" s="57">
        <v>2225</v>
      </c>
      <c r="J263" s="56">
        <v>2556</v>
      </c>
      <c r="K263" s="107">
        <f t="shared" ref="K263:K326" si="8">G263+H263+I263+J263</f>
        <v>9463</v>
      </c>
      <c r="L263" s="56"/>
      <c r="M263" s="57">
        <v>441</v>
      </c>
      <c r="N263" s="57">
        <v>0</v>
      </c>
      <c r="O263" s="56">
        <v>945</v>
      </c>
      <c r="P263" s="107">
        <f t="shared" ref="P263:P326" si="9">M263+N263+O263</f>
        <v>1386</v>
      </c>
      <c r="Q263" s="56"/>
      <c r="R263" s="57">
        <v>5251</v>
      </c>
      <c r="S263" s="58">
        <v>173</v>
      </c>
      <c r="T263" s="58">
        <v>5424</v>
      </c>
    </row>
    <row r="264" spans="1:20">
      <c r="A264" s="54">
        <v>92651</v>
      </c>
      <c r="B264" s="55" t="s">
        <v>1643</v>
      </c>
      <c r="C264" s="106">
        <v>2.6000000000000001E-6</v>
      </c>
      <c r="D264" s="106">
        <v>2.6000000000000001E-6</v>
      </c>
      <c r="E264" s="56">
        <v>3972</v>
      </c>
      <c r="F264" s="56"/>
      <c r="G264" s="57">
        <v>229</v>
      </c>
      <c r="H264" s="107">
        <v>964</v>
      </c>
      <c r="I264" s="57">
        <v>567</v>
      </c>
      <c r="J264" s="56">
        <v>3432</v>
      </c>
      <c r="K264" s="107">
        <f t="shared" si="8"/>
        <v>5192</v>
      </c>
      <c r="L264" s="56"/>
      <c r="M264" s="57">
        <v>112</v>
      </c>
      <c r="N264" s="57">
        <v>0</v>
      </c>
      <c r="O264" s="56">
        <v>0</v>
      </c>
      <c r="P264" s="107">
        <f t="shared" si="9"/>
        <v>112</v>
      </c>
      <c r="Q264" s="56"/>
      <c r="R264" s="57">
        <v>1339</v>
      </c>
      <c r="S264" s="58">
        <v>1345</v>
      </c>
      <c r="T264" s="58">
        <f>2683+1</f>
        <v>2684</v>
      </c>
    </row>
    <row r="265" spans="1:20">
      <c r="A265" s="54">
        <v>92661</v>
      </c>
      <c r="B265" s="55" t="s">
        <v>1644</v>
      </c>
      <c r="C265" s="106">
        <v>6.9999999999999999E-4</v>
      </c>
      <c r="D265" s="106">
        <v>6.6299999999999996E-4</v>
      </c>
      <c r="E265" s="56">
        <v>1069406</v>
      </c>
      <c r="F265" s="56"/>
      <c r="G265" s="57">
        <v>61608</v>
      </c>
      <c r="H265" s="107">
        <v>259653</v>
      </c>
      <c r="I265" s="57">
        <v>152726</v>
      </c>
      <c r="J265" s="56">
        <v>446841</v>
      </c>
      <c r="K265" s="107">
        <f t="shared" si="8"/>
        <v>920828</v>
      </c>
      <c r="L265" s="56"/>
      <c r="M265" s="57">
        <v>30272</v>
      </c>
      <c r="N265" s="57">
        <v>0</v>
      </c>
      <c r="O265" s="56">
        <v>16877</v>
      </c>
      <c r="P265" s="107">
        <f t="shared" si="9"/>
        <v>47149</v>
      </c>
      <c r="Q265" s="56"/>
      <c r="R265" s="57">
        <v>360391</v>
      </c>
      <c r="S265" s="58">
        <v>130287</v>
      </c>
      <c r="T265" s="58">
        <v>490678</v>
      </c>
    </row>
    <row r="266" spans="1:20">
      <c r="A266" s="54">
        <v>92671</v>
      </c>
      <c r="B266" s="55" t="s">
        <v>1645</v>
      </c>
      <c r="C266" s="106">
        <v>2.6000000000000001E-6</v>
      </c>
      <c r="D266" s="106">
        <v>2.9000000000000002E-6</v>
      </c>
      <c r="E266" s="56">
        <v>3972</v>
      </c>
      <c r="F266" s="56"/>
      <c r="G266" s="57">
        <v>229</v>
      </c>
      <c r="H266" s="107">
        <v>964</v>
      </c>
      <c r="I266" s="57">
        <v>567</v>
      </c>
      <c r="J266" s="56">
        <v>6237</v>
      </c>
      <c r="K266" s="107">
        <f t="shared" si="8"/>
        <v>7997</v>
      </c>
      <c r="L266" s="56"/>
      <c r="M266" s="57">
        <v>112</v>
      </c>
      <c r="N266" s="57">
        <v>0</v>
      </c>
      <c r="O266" s="56">
        <v>0</v>
      </c>
      <c r="P266" s="107">
        <f t="shared" si="9"/>
        <v>112</v>
      </c>
      <c r="Q266" s="56"/>
      <c r="R266" s="57">
        <v>1339</v>
      </c>
      <c r="S266" s="58">
        <v>2205</v>
      </c>
      <c r="T266" s="58">
        <f>3543+1</f>
        <v>3544</v>
      </c>
    </row>
    <row r="267" spans="1:20">
      <c r="A267" s="54">
        <v>92681</v>
      </c>
      <c r="B267" s="55" t="s">
        <v>1646</v>
      </c>
      <c r="C267" s="106">
        <v>1.17E-5</v>
      </c>
      <c r="D267" s="106">
        <v>1.01E-5</v>
      </c>
      <c r="E267" s="56">
        <v>17874</v>
      </c>
      <c r="F267" s="56"/>
      <c r="G267" s="57">
        <v>1030</v>
      </c>
      <c r="H267" s="107">
        <v>4340</v>
      </c>
      <c r="I267" s="57">
        <v>2553</v>
      </c>
      <c r="J267" s="56">
        <v>13621</v>
      </c>
      <c r="K267" s="107">
        <f t="shared" si="8"/>
        <v>21544</v>
      </c>
      <c r="L267" s="56"/>
      <c r="M267" s="57">
        <v>506</v>
      </c>
      <c r="N267" s="57">
        <v>0</v>
      </c>
      <c r="O267" s="56">
        <v>0</v>
      </c>
      <c r="P267" s="107">
        <f t="shared" si="9"/>
        <v>506</v>
      </c>
      <c r="Q267" s="56"/>
      <c r="R267" s="57">
        <v>6024</v>
      </c>
      <c r="S267" s="58">
        <v>4960</v>
      </c>
      <c r="T267" s="58">
        <v>10984</v>
      </c>
    </row>
    <row r="268" spans="1:20">
      <c r="A268" s="54">
        <v>92701</v>
      </c>
      <c r="B268" s="55" t="s">
        <v>1647</v>
      </c>
      <c r="C268" s="106">
        <v>3.0777000000000001E-3</v>
      </c>
      <c r="D268" s="106">
        <v>2.9588000000000001E-3</v>
      </c>
      <c r="E268" s="56">
        <v>4701873</v>
      </c>
      <c r="F268" s="56"/>
      <c r="G268" s="57">
        <v>270871</v>
      </c>
      <c r="H268" s="107">
        <v>1141620</v>
      </c>
      <c r="I268" s="57">
        <v>671493</v>
      </c>
      <c r="J268" s="56">
        <v>48990</v>
      </c>
      <c r="K268" s="107">
        <f t="shared" si="8"/>
        <v>2132974</v>
      </c>
      <c r="L268" s="56"/>
      <c r="M268" s="57">
        <v>133095</v>
      </c>
      <c r="N268" s="57">
        <v>0</v>
      </c>
      <c r="O268" s="56">
        <v>42924</v>
      </c>
      <c r="P268" s="107">
        <f t="shared" si="9"/>
        <v>176019</v>
      </c>
      <c r="Q268" s="56"/>
      <c r="R268" s="57">
        <v>1584535</v>
      </c>
      <c r="S268" s="58">
        <v>-25139</v>
      </c>
      <c r="T268" s="58">
        <f>1559397-1</f>
        <v>1559396</v>
      </c>
    </row>
    <row r="269" spans="1:20">
      <c r="A269" s="54">
        <v>92704</v>
      </c>
      <c r="B269" s="55" t="s">
        <v>1648</v>
      </c>
      <c r="C269" s="106">
        <v>4.1600000000000002E-5</v>
      </c>
      <c r="D269" s="106">
        <v>4.7700000000000001E-5</v>
      </c>
      <c r="E269" s="56">
        <v>63553</v>
      </c>
      <c r="F269" s="56"/>
      <c r="G269" s="57">
        <v>3661</v>
      </c>
      <c r="H269" s="107">
        <v>15431</v>
      </c>
      <c r="I269" s="57">
        <v>9076</v>
      </c>
      <c r="J269" s="56">
        <v>1560</v>
      </c>
      <c r="K269" s="107">
        <f t="shared" si="8"/>
        <v>29728</v>
      </c>
      <c r="L269" s="56"/>
      <c r="M269" s="57">
        <v>1799</v>
      </c>
      <c r="N269" s="57">
        <v>0</v>
      </c>
      <c r="O269" s="56">
        <v>5674</v>
      </c>
      <c r="P269" s="107">
        <f t="shared" si="9"/>
        <v>7473</v>
      </c>
      <c r="Q269" s="56"/>
      <c r="R269" s="57">
        <v>21418</v>
      </c>
      <c r="S269" s="58">
        <v>-706</v>
      </c>
      <c r="T269" s="58">
        <f>20711+1</f>
        <v>20712</v>
      </c>
    </row>
    <row r="270" spans="1:20">
      <c r="A270" s="54">
        <v>92801</v>
      </c>
      <c r="B270" s="55" t="s">
        <v>1649</v>
      </c>
      <c r="C270" s="106">
        <v>5.0951E-3</v>
      </c>
      <c r="D270" s="106">
        <v>5.1701000000000004E-3</v>
      </c>
      <c r="E270" s="56">
        <v>7783901</v>
      </c>
      <c r="F270" s="56"/>
      <c r="G270" s="57">
        <v>448425</v>
      </c>
      <c r="H270" s="107">
        <v>1889940</v>
      </c>
      <c r="I270" s="57">
        <v>1111649</v>
      </c>
      <c r="J270" s="56">
        <v>152907</v>
      </c>
      <c r="K270" s="107">
        <f t="shared" si="8"/>
        <v>3602921</v>
      </c>
      <c r="L270" s="56"/>
      <c r="M270" s="57">
        <v>220338</v>
      </c>
      <c r="N270" s="57">
        <v>0</v>
      </c>
      <c r="O270" s="56">
        <v>0</v>
      </c>
      <c r="P270" s="107">
        <f t="shared" si="9"/>
        <v>220338</v>
      </c>
      <c r="Q270" s="56"/>
      <c r="R270" s="57">
        <v>2623182</v>
      </c>
      <c r="S270" s="58">
        <v>81450</v>
      </c>
      <c r="T270" s="58">
        <f>2704631+1</f>
        <v>2704632</v>
      </c>
    </row>
    <row r="271" spans="1:20">
      <c r="A271" s="54">
        <v>92802</v>
      </c>
      <c r="B271" s="55" t="s">
        <v>1650</v>
      </c>
      <c r="C271" s="106">
        <v>1.2970000000000001E-4</v>
      </c>
      <c r="D271" s="106">
        <v>1.3410000000000001E-4</v>
      </c>
      <c r="E271" s="56">
        <v>198146</v>
      </c>
      <c r="F271" s="56"/>
      <c r="G271" s="57">
        <v>11415</v>
      </c>
      <c r="H271" s="107">
        <v>48110</v>
      </c>
      <c r="I271" s="57">
        <v>28298</v>
      </c>
      <c r="J271" s="56">
        <v>0</v>
      </c>
      <c r="K271" s="107">
        <f t="shared" si="8"/>
        <v>87823</v>
      </c>
      <c r="L271" s="56"/>
      <c r="M271" s="57">
        <v>5609</v>
      </c>
      <c r="N271" s="57">
        <v>0</v>
      </c>
      <c r="O271" s="56">
        <v>17517</v>
      </c>
      <c r="P271" s="107">
        <f t="shared" si="9"/>
        <v>23126</v>
      </c>
      <c r="Q271" s="56"/>
      <c r="R271" s="57">
        <v>66775</v>
      </c>
      <c r="S271" s="58">
        <v>-6938</v>
      </c>
      <c r="T271" s="58">
        <v>59837</v>
      </c>
    </row>
    <row r="272" spans="1:20">
      <c r="A272" s="54">
        <v>92804</v>
      </c>
      <c r="B272" s="55" t="s">
        <v>1651</v>
      </c>
      <c r="C272" s="106">
        <v>1.36E-4</v>
      </c>
      <c r="D272" s="106">
        <v>1.47E-4</v>
      </c>
      <c r="E272" s="56">
        <v>207770</v>
      </c>
      <c r="F272" s="56"/>
      <c r="G272" s="57">
        <v>11969</v>
      </c>
      <c r="H272" s="107">
        <v>50447</v>
      </c>
      <c r="I272" s="57">
        <v>29672</v>
      </c>
      <c r="J272" s="56">
        <v>8730</v>
      </c>
      <c r="K272" s="107">
        <f t="shared" si="8"/>
        <v>100818</v>
      </c>
      <c r="L272" s="56"/>
      <c r="M272" s="57">
        <v>5881</v>
      </c>
      <c r="N272" s="57">
        <v>0</v>
      </c>
      <c r="O272" s="56">
        <v>12427</v>
      </c>
      <c r="P272" s="107">
        <f t="shared" si="9"/>
        <v>18308</v>
      </c>
      <c r="Q272" s="56"/>
      <c r="R272" s="57">
        <v>70019</v>
      </c>
      <c r="S272" s="58">
        <v>-172</v>
      </c>
      <c r="T272" s="58">
        <v>69847</v>
      </c>
    </row>
    <row r="273" spans="1:20">
      <c r="A273" s="54">
        <v>92811</v>
      </c>
      <c r="B273" s="55" t="s">
        <v>1652</v>
      </c>
      <c r="C273" s="106">
        <v>1.0036000000000001E-3</v>
      </c>
      <c r="D273" s="106">
        <v>9.8569999999999994E-4</v>
      </c>
      <c r="E273" s="56">
        <v>1533223</v>
      </c>
      <c r="F273" s="56"/>
      <c r="G273" s="57">
        <v>88328</v>
      </c>
      <c r="H273" s="107">
        <v>372269</v>
      </c>
      <c r="I273" s="57">
        <v>218965</v>
      </c>
      <c r="J273" s="56">
        <v>0</v>
      </c>
      <c r="K273" s="107">
        <f t="shared" si="8"/>
        <v>679562</v>
      </c>
      <c r="L273" s="56"/>
      <c r="M273" s="57">
        <v>43401</v>
      </c>
      <c r="N273" s="57">
        <v>0</v>
      </c>
      <c r="O273" s="56">
        <v>85272</v>
      </c>
      <c r="P273" s="107">
        <f t="shared" si="9"/>
        <v>128673</v>
      </c>
      <c r="Q273" s="56"/>
      <c r="R273" s="57">
        <v>516697</v>
      </c>
      <c r="S273" s="58">
        <v>-36667</v>
      </c>
      <c r="T273" s="58">
        <v>480030</v>
      </c>
    </row>
    <row r="274" spans="1:20">
      <c r="A274" s="54">
        <v>92821</v>
      </c>
      <c r="B274" s="55" t="s">
        <v>1653</v>
      </c>
      <c r="C274" s="106">
        <v>9.9400000000000009E-4</v>
      </c>
      <c r="D274" s="106">
        <v>1.0139999999999999E-3</v>
      </c>
      <c r="E274" s="56">
        <v>1518557</v>
      </c>
      <c r="F274" s="56"/>
      <c r="G274" s="57">
        <v>87483</v>
      </c>
      <c r="H274" s="107">
        <v>368707</v>
      </c>
      <c r="I274" s="57">
        <v>216871</v>
      </c>
      <c r="J274" s="56">
        <v>24870</v>
      </c>
      <c r="K274" s="107">
        <f t="shared" si="8"/>
        <v>697931</v>
      </c>
      <c r="L274" s="56"/>
      <c r="M274" s="57">
        <v>42986</v>
      </c>
      <c r="N274" s="57">
        <v>0</v>
      </c>
      <c r="O274" s="56">
        <v>0</v>
      </c>
      <c r="P274" s="107">
        <f t="shared" si="9"/>
        <v>42986</v>
      </c>
      <c r="Q274" s="56"/>
      <c r="R274" s="57">
        <v>511755</v>
      </c>
      <c r="S274" s="58">
        <v>10495</v>
      </c>
      <c r="T274" s="58">
        <v>522250</v>
      </c>
    </row>
    <row r="275" spans="1:20">
      <c r="A275" s="54">
        <v>92831</v>
      </c>
      <c r="B275" s="55" t="s">
        <v>1654</v>
      </c>
      <c r="C275" s="106">
        <v>2.1829999999999999E-4</v>
      </c>
      <c r="D275" s="106">
        <v>2.476E-4</v>
      </c>
      <c r="E275" s="56">
        <v>333502</v>
      </c>
      <c r="F275" s="56"/>
      <c r="G275" s="57">
        <v>19213</v>
      </c>
      <c r="H275" s="107">
        <v>80975</v>
      </c>
      <c r="I275" s="57">
        <v>47629</v>
      </c>
      <c r="J275" s="56">
        <v>19156</v>
      </c>
      <c r="K275" s="107">
        <f t="shared" si="8"/>
        <v>166973</v>
      </c>
      <c r="L275" s="56"/>
      <c r="M275" s="57">
        <v>9440</v>
      </c>
      <c r="N275" s="57">
        <v>0</v>
      </c>
      <c r="O275" s="56">
        <v>2159</v>
      </c>
      <c r="P275" s="107">
        <f t="shared" si="9"/>
        <v>11599</v>
      </c>
      <c r="Q275" s="56"/>
      <c r="R275" s="57">
        <v>112390</v>
      </c>
      <c r="S275" s="58">
        <v>9503</v>
      </c>
      <c r="T275" s="58">
        <f>121894-1</f>
        <v>121893</v>
      </c>
    </row>
    <row r="276" spans="1:20">
      <c r="A276" s="54">
        <v>92841</v>
      </c>
      <c r="B276" s="55" t="s">
        <v>1655</v>
      </c>
      <c r="C276" s="106">
        <v>2.7809999999999998E-4</v>
      </c>
      <c r="D276" s="106">
        <v>2.8160000000000001E-4</v>
      </c>
      <c r="E276" s="56">
        <v>424860</v>
      </c>
      <c r="F276" s="56"/>
      <c r="G276" s="57">
        <v>24476</v>
      </c>
      <c r="H276" s="107">
        <v>103157</v>
      </c>
      <c r="I276" s="57">
        <v>60676</v>
      </c>
      <c r="J276" s="56">
        <v>5821</v>
      </c>
      <c r="K276" s="107">
        <f t="shared" si="8"/>
        <v>194130</v>
      </c>
      <c r="L276" s="56"/>
      <c r="M276" s="57">
        <v>12026</v>
      </c>
      <c r="N276" s="57">
        <v>0</v>
      </c>
      <c r="O276" s="56">
        <v>13149</v>
      </c>
      <c r="P276" s="107">
        <f t="shared" si="9"/>
        <v>25175</v>
      </c>
      <c r="Q276" s="56"/>
      <c r="R276" s="57">
        <v>143178</v>
      </c>
      <c r="S276" s="58">
        <v>2288</v>
      </c>
      <c r="T276" s="58">
        <v>145466</v>
      </c>
    </row>
    <row r="277" spans="1:20">
      <c r="A277" s="54">
        <v>92851</v>
      </c>
      <c r="B277" s="55" t="s">
        <v>1656</v>
      </c>
      <c r="C277" s="106">
        <v>4.6079999999999998E-4</v>
      </c>
      <c r="D277" s="106">
        <v>4.3909999999999999E-4</v>
      </c>
      <c r="E277" s="56">
        <v>703975</v>
      </c>
      <c r="F277" s="56"/>
      <c r="G277" s="57">
        <v>40555</v>
      </c>
      <c r="H277" s="107">
        <v>170926</v>
      </c>
      <c r="I277" s="57">
        <v>100537</v>
      </c>
      <c r="J277" s="56">
        <v>0</v>
      </c>
      <c r="K277" s="107">
        <f t="shared" si="8"/>
        <v>312018</v>
      </c>
      <c r="L277" s="56"/>
      <c r="M277" s="57">
        <v>19927</v>
      </c>
      <c r="N277" s="57">
        <v>0</v>
      </c>
      <c r="O277" s="56">
        <v>62664</v>
      </c>
      <c r="P277" s="107">
        <f t="shared" si="9"/>
        <v>82591</v>
      </c>
      <c r="Q277" s="56"/>
      <c r="R277" s="57">
        <v>237240</v>
      </c>
      <c r="S277" s="58">
        <v>-35531</v>
      </c>
      <c r="T277" s="58">
        <v>201709</v>
      </c>
    </row>
    <row r="278" spans="1:20">
      <c r="A278" s="54">
        <v>92861</v>
      </c>
      <c r="B278" s="55" t="s">
        <v>1657</v>
      </c>
      <c r="C278" s="106">
        <v>3.6010000000000003E-4</v>
      </c>
      <c r="D278" s="106">
        <v>3.3629999999999999E-4</v>
      </c>
      <c r="E278" s="56">
        <v>550133</v>
      </c>
      <c r="F278" s="56"/>
      <c r="G278" s="57">
        <v>31693</v>
      </c>
      <c r="H278" s="107">
        <v>133573</v>
      </c>
      <c r="I278" s="57">
        <v>78567</v>
      </c>
      <c r="J278" s="56">
        <v>0</v>
      </c>
      <c r="K278" s="107">
        <f t="shared" si="8"/>
        <v>243833</v>
      </c>
      <c r="L278" s="56"/>
      <c r="M278" s="57">
        <v>15573</v>
      </c>
      <c r="N278" s="57">
        <v>0</v>
      </c>
      <c r="O278" s="56">
        <v>83092</v>
      </c>
      <c r="P278" s="107">
        <f t="shared" si="9"/>
        <v>98665</v>
      </c>
      <c r="Q278" s="56"/>
      <c r="R278" s="57">
        <v>185395</v>
      </c>
      <c r="S278" s="58">
        <v>-36908</v>
      </c>
      <c r="T278" s="58">
        <f>148488-1</f>
        <v>148487</v>
      </c>
    </row>
    <row r="279" spans="1:20">
      <c r="A279" s="54">
        <v>92901</v>
      </c>
      <c r="B279" s="55" t="s">
        <v>1658</v>
      </c>
      <c r="C279" s="106">
        <v>5.5082999999999998E-3</v>
      </c>
      <c r="D279" s="106">
        <v>5.7581000000000004E-3</v>
      </c>
      <c r="E279" s="56">
        <v>8415157</v>
      </c>
      <c r="F279" s="56"/>
      <c r="G279" s="57">
        <v>484791</v>
      </c>
      <c r="H279" s="107">
        <v>2043211</v>
      </c>
      <c r="I279" s="57">
        <v>1201801</v>
      </c>
      <c r="J279" s="56">
        <v>65697</v>
      </c>
      <c r="K279" s="107">
        <f t="shared" si="8"/>
        <v>3795500</v>
      </c>
      <c r="L279" s="56"/>
      <c r="M279" s="57">
        <v>238206</v>
      </c>
      <c r="N279" s="57">
        <v>0</v>
      </c>
      <c r="O279" s="56">
        <v>124949</v>
      </c>
      <c r="P279" s="107">
        <f t="shared" si="9"/>
        <v>363155</v>
      </c>
      <c r="Q279" s="56"/>
      <c r="R279" s="57">
        <v>2835915</v>
      </c>
      <c r="S279" s="58">
        <v>6522</v>
      </c>
      <c r="T279" s="58">
        <f>2842438-1</f>
        <v>2842437</v>
      </c>
    </row>
    <row r="280" spans="1:20">
      <c r="A280" s="54">
        <v>92911</v>
      </c>
      <c r="B280" s="55" t="s">
        <v>1659</v>
      </c>
      <c r="C280" s="106">
        <v>1.9548999999999999E-3</v>
      </c>
      <c r="D280" s="106">
        <v>1.9442999999999999E-3</v>
      </c>
      <c r="E280" s="56">
        <v>2986546</v>
      </c>
      <c r="F280" s="56"/>
      <c r="G280" s="57">
        <v>172053</v>
      </c>
      <c r="H280" s="107">
        <v>725137</v>
      </c>
      <c r="I280" s="57">
        <v>426520</v>
      </c>
      <c r="J280" s="56">
        <v>28442</v>
      </c>
      <c r="K280" s="107">
        <f t="shared" si="8"/>
        <v>1352152</v>
      </c>
      <c r="L280" s="56"/>
      <c r="M280" s="57">
        <v>84540</v>
      </c>
      <c r="N280" s="57">
        <v>0</v>
      </c>
      <c r="O280" s="56">
        <v>113525</v>
      </c>
      <c r="P280" s="107">
        <f t="shared" si="9"/>
        <v>198065</v>
      </c>
      <c r="Q280" s="56"/>
      <c r="R280" s="57">
        <v>1006469</v>
      </c>
      <c r="S280" s="58">
        <v>-55041</v>
      </c>
      <c r="T280" s="58">
        <v>951428</v>
      </c>
    </row>
    <row r="281" spans="1:20">
      <c r="A281" s="54">
        <v>92913</v>
      </c>
      <c r="B281" s="55" t="s">
        <v>1660</v>
      </c>
      <c r="C281" s="106">
        <v>2.1999999999999999E-5</v>
      </c>
      <c r="D281" s="106">
        <v>2.37E-5</v>
      </c>
      <c r="E281" s="56">
        <v>33610</v>
      </c>
      <c r="F281" s="56"/>
      <c r="G281" s="57">
        <v>1936</v>
      </c>
      <c r="H281" s="107">
        <v>8160</v>
      </c>
      <c r="I281" s="57">
        <v>4800</v>
      </c>
      <c r="J281" s="56">
        <v>79442</v>
      </c>
      <c r="K281" s="107">
        <f t="shared" si="8"/>
        <v>94338</v>
      </c>
      <c r="L281" s="56"/>
      <c r="M281" s="57">
        <v>951</v>
      </c>
      <c r="N281" s="57">
        <v>0</v>
      </c>
      <c r="O281" s="56">
        <v>2047</v>
      </c>
      <c r="P281" s="107">
        <f t="shared" si="9"/>
        <v>2998</v>
      </c>
      <c r="Q281" s="56"/>
      <c r="R281" s="57">
        <v>11327</v>
      </c>
      <c r="S281" s="58">
        <v>25513</v>
      </c>
      <c r="T281" s="58">
        <v>36840</v>
      </c>
    </row>
    <row r="282" spans="1:20">
      <c r="A282" s="54">
        <v>92914</v>
      </c>
      <c r="B282" s="55" t="s">
        <v>1661</v>
      </c>
      <c r="C282" s="106">
        <v>2.8900000000000001E-5</v>
      </c>
      <c r="D282" s="106">
        <v>0</v>
      </c>
      <c r="E282" s="56">
        <v>44151</v>
      </c>
      <c r="F282" s="56"/>
      <c r="G282" s="57">
        <v>2544</v>
      </c>
      <c r="H282" s="107">
        <v>10720</v>
      </c>
      <c r="I282" s="57">
        <v>6305</v>
      </c>
      <c r="J282" s="56">
        <v>17173</v>
      </c>
      <c r="K282" s="107">
        <f t="shared" si="8"/>
        <v>36742</v>
      </c>
      <c r="L282" s="56"/>
      <c r="M282" s="57">
        <v>1250</v>
      </c>
      <c r="N282" s="57">
        <v>0</v>
      </c>
      <c r="O282" s="56">
        <v>0</v>
      </c>
      <c r="P282" s="107">
        <f t="shared" si="9"/>
        <v>1250</v>
      </c>
      <c r="Q282" s="56"/>
      <c r="R282" s="57">
        <v>14879</v>
      </c>
      <c r="S282" s="58">
        <v>4293</v>
      </c>
      <c r="T282" s="58">
        <v>19172</v>
      </c>
    </row>
    <row r="283" spans="1:20">
      <c r="A283" s="54">
        <v>92917</v>
      </c>
      <c r="B283" s="55" t="s">
        <v>1662</v>
      </c>
      <c r="C283" s="106">
        <v>1.4800000000000001E-5</v>
      </c>
      <c r="D283" s="106">
        <v>2.0000000000000002E-5</v>
      </c>
      <c r="E283" s="56">
        <v>22610</v>
      </c>
      <c r="F283" s="56"/>
      <c r="G283" s="57">
        <v>1303</v>
      </c>
      <c r="H283" s="107">
        <v>5490</v>
      </c>
      <c r="I283" s="57">
        <v>3229</v>
      </c>
      <c r="J283" s="56">
        <v>13223</v>
      </c>
      <c r="K283" s="107">
        <f t="shared" si="8"/>
        <v>23245</v>
      </c>
      <c r="L283" s="56"/>
      <c r="M283" s="57">
        <v>640</v>
      </c>
      <c r="N283" s="57">
        <v>0</v>
      </c>
      <c r="O283" s="56">
        <v>0</v>
      </c>
      <c r="P283" s="107">
        <f t="shared" si="9"/>
        <v>640</v>
      </c>
      <c r="Q283" s="56"/>
      <c r="R283" s="57">
        <v>7620</v>
      </c>
      <c r="S283" s="58">
        <v>6352</v>
      </c>
      <c r="T283" s="58">
        <f>13971+1</f>
        <v>13972</v>
      </c>
    </row>
    <row r="284" spans="1:20">
      <c r="A284" s="54">
        <v>92921</v>
      </c>
      <c r="B284" s="55" t="s">
        <v>1663</v>
      </c>
      <c r="C284" s="106">
        <v>7.4400000000000006E-5</v>
      </c>
      <c r="D284" s="106">
        <v>6.2899999999999997E-5</v>
      </c>
      <c r="E284" s="56">
        <v>113663</v>
      </c>
      <c r="F284" s="56"/>
      <c r="G284" s="57">
        <v>6548</v>
      </c>
      <c r="H284" s="107">
        <v>27597</v>
      </c>
      <c r="I284" s="57">
        <v>16233</v>
      </c>
      <c r="J284" s="56">
        <v>13244</v>
      </c>
      <c r="K284" s="107">
        <f t="shared" si="8"/>
        <v>63622</v>
      </c>
      <c r="L284" s="56"/>
      <c r="M284" s="57">
        <v>3217</v>
      </c>
      <c r="N284" s="57">
        <v>0</v>
      </c>
      <c r="O284" s="56">
        <v>7831</v>
      </c>
      <c r="P284" s="107">
        <f t="shared" si="9"/>
        <v>11048</v>
      </c>
      <c r="Q284" s="56"/>
      <c r="R284" s="57">
        <v>38304</v>
      </c>
      <c r="S284" s="58">
        <v>-2914</v>
      </c>
      <c r="T284" s="58">
        <v>35390</v>
      </c>
    </row>
    <row r="285" spans="1:20">
      <c r="A285" s="54">
        <v>92931</v>
      </c>
      <c r="B285" s="55" t="s">
        <v>1664</v>
      </c>
      <c r="C285" s="106">
        <v>2.3996E-3</v>
      </c>
      <c r="D285" s="106">
        <v>2.5048000000000002E-3</v>
      </c>
      <c r="E285" s="56">
        <v>3665924</v>
      </c>
      <c r="F285" s="56"/>
      <c r="G285" s="57">
        <v>211191</v>
      </c>
      <c r="H285" s="107">
        <v>890091</v>
      </c>
      <c r="I285" s="57">
        <v>523545</v>
      </c>
      <c r="J285" s="56">
        <v>7721</v>
      </c>
      <c r="K285" s="107">
        <f t="shared" si="8"/>
        <v>1632548</v>
      </c>
      <c r="L285" s="56"/>
      <c r="M285" s="57">
        <v>103771</v>
      </c>
      <c r="N285" s="57">
        <v>0</v>
      </c>
      <c r="O285" s="56">
        <v>147858</v>
      </c>
      <c r="P285" s="107">
        <f t="shared" si="9"/>
        <v>251629</v>
      </c>
      <c r="Q285" s="56"/>
      <c r="R285" s="57">
        <v>1235420</v>
      </c>
      <c r="S285" s="58">
        <v>-41276</v>
      </c>
      <c r="T285" s="58">
        <v>1194144</v>
      </c>
    </row>
    <row r="286" spans="1:20">
      <c r="A286" s="54">
        <v>92941</v>
      </c>
      <c r="B286" s="55" t="s">
        <v>292</v>
      </c>
      <c r="C286" s="106">
        <v>1.2300000000000001E-5</v>
      </c>
      <c r="D286" s="106">
        <v>1.84E-5</v>
      </c>
      <c r="E286" s="56">
        <v>18791</v>
      </c>
      <c r="F286" s="56"/>
      <c r="G286" s="57">
        <v>1083</v>
      </c>
      <c r="H286" s="107">
        <v>4563</v>
      </c>
      <c r="I286" s="57">
        <v>2684</v>
      </c>
      <c r="J286" s="56">
        <v>6612</v>
      </c>
      <c r="K286" s="107">
        <f t="shared" si="8"/>
        <v>14942</v>
      </c>
      <c r="L286" s="56"/>
      <c r="M286" s="57">
        <v>532</v>
      </c>
      <c r="N286" s="57">
        <v>0</v>
      </c>
      <c r="O286" s="56">
        <v>1770</v>
      </c>
      <c r="P286" s="107">
        <f t="shared" si="9"/>
        <v>2302</v>
      </c>
      <c r="Q286" s="56"/>
      <c r="R286" s="57">
        <v>6333</v>
      </c>
      <c r="S286" s="58">
        <v>3162</v>
      </c>
      <c r="T286" s="58">
        <v>9495</v>
      </c>
    </row>
    <row r="287" spans="1:20">
      <c r="A287" s="54">
        <v>93001</v>
      </c>
      <c r="B287" s="55" t="s">
        <v>1665</v>
      </c>
      <c r="C287" s="106">
        <v>2.2227000000000002E-3</v>
      </c>
      <c r="D287" s="106">
        <v>2.2739000000000001E-3</v>
      </c>
      <c r="E287" s="56">
        <v>3395670</v>
      </c>
      <c r="F287" s="56"/>
      <c r="G287" s="57">
        <v>195622</v>
      </c>
      <c r="H287" s="107">
        <v>824473</v>
      </c>
      <c r="I287" s="57">
        <v>484949</v>
      </c>
      <c r="J287" s="56">
        <v>8733</v>
      </c>
      <c r="K287" s="107">
        <f t="shared" si="8"/>
        <v>1513777</v>
      </c>
      <c r="L287" s="56"/>
      <c r="M287" s="57">
        <v>96121</v>
      </c>
      <c r="N287" s="57">
        <v>0</v>
      </c>
      <c r="O287" s="56">
        <v>123729</v>
      </c>
      <c r="P287" s="107">
        <f t="shared" si="9"/>
        <v>219850</v>
      </c>
      <c r="Q287" s="56"/>
      <c r="R287" s="57">
        <v>1144344</v>
      </c>
      <c r="S287" s="58">
        <v>-57358</v>
      </c>
      <c r="T287" s="58">
        <v>1086986</v>
      </c>
    </row>
    <row r="288" spans="1:20">
      <c r="A288" s="54">
        <v>93009</v>
      </c>
      <c r="B288" s="55" t="s">
        <v>1666</v>
      </c>
      <c r="C288" s="106">
        <v>1.47E-5</v>
      </c>
      <c r="D288" s="106">
        <v>1.5400000000000002E-5</v>
      </c>
      <c r="E288" s="56">
        <v>22458</v>
      </c>
      <c r="F288" s="56"/>
      <c r="G288" s="57">
        <v>1294</v>
      </c>
      <c r="H288" s="107">
        <v>5453</v>
      </c>
      <c r="I288" s="57">
        <v>3207</v>
      </c>
      <c r="J288" s="56">
        <v>0</v>
      </c>
      <c r="K288" s="107">
        <f t="shared" si="8"/>
        <v>9954</v>
      </c>
      <c r="L288" s="56"/>
      <c r="M288" s="57">
        <v>636</v>
      </c>
      <c r="N288" s="57">
        <v>0</v>
      </c>
      <c r="O288" s="56">
        <v>4280</v>
      </c>
      <c r="P288" s="107">
        <f t="shared" si="9"/>
        <v>4916</v>
      </c>
      <c r="Q288" s="56"/>
      <c r="R288" s="57">
        <v>7568</v>
      </c>
      <c r="S288" s="58">
        <v>-1918</v>
      </c>
      <c r="T288" s="58">
        <v>5650</v>
      </c>
    </row>
    <row r="289" spans="1:20">
      <c r="A289" s="54">
        <v>93011</v>
      </c>
      <c r="B289" s="55" t="s">
        <v>1667</v>
      </c>
      <c r="C289" s="106">
        <v>2.2699999999999999E-4</v>
      </c>
      <c r="D289" s="106">
        <v>2.6160000000000002E-4</v>
      </c>
      <c r="E289" s="56">
        <v>346793</v>
      </c>
      <c r="F289" s="56"/>
      <c r="G289" s="57">
        <v>19978</v>
      </c>
      <c r="H289" s="107">
        <v>84202</v>
      </c>
      <c r="I289" s="57">
        <v>49527</v>
      </c>
      <c r="J289" s="56">
        <v>1542</v>
      </c>
      <c r="K289" s="107">
        <f t="shared" si="8"/>
        <v>155249</v>
      </c>
      <c r="L289" s="56"/>
      <c r="M289" s="57">
        <v>9817</v>
      </c>
      <c r="N289" s="57">
        <v>0</v>
      </c>
      <c r="O289" s="56">
        <v>15019</v>
      </c>
      <c r="P289" s="107">
        <f t="shared" si="9"/>
        <v>24836</v>
      </c>
      <c r="Q289" s="56"/>
      <c r="R289" s="57">
        <v>116870</v>
      </c>
      <c r="S289" s="58">
        <v>-3863</v>
      </c>
      <c r="T289" s="58">
        <v>113007</v>
      </c>
    </row>
    <row r="290" spans="1:20">
      <c r="A290" s="54">
        <v>93021</v>
      </c>
      <c r="B290" s="55" t="s">
        <v>1668</v>
      </c>
      <c r="C290" s="106">
        <v>3.4199999999999998E-5</v>
      </c>
      <c r="D290" s="106">
        <v>2.8900000000000001E-5</v>
      </c>
      <c r="E290" s="56">
        <v>52248</v>
      </c>
      <c r="F290" s="56"/>
      <c r="G290" s="57">
        <v>3010</v>
      </c>
      <c r="H290" s="107">
        <v>12686</v>
      </c>
      <c r="I290" s="57">
        <v>7462</v>
      </c>
      <c r="J290" s="56">
        <v>3788</v>
      </c>
      <c r="K290" s="107">
        <f t="shared" si="8"/>
        <v>26946</v>
      </c>
      <c r="L290" s="56"/>
      <c r="M290" s="57">
        <v>1479</v>
      </c>
      <c r="N290" s="57">
        <v>0</v>
      </c>
      <c r="O290" s="56">
        <v>4978</v>
      </c>
      <c r="P290" s="107">
        <f t="shared" si="9"/>
        <v>6457</v>
      </c>
      <c r="Q290" s="56"/>
      <c r="R290" s="57">
        <v>17608</v>
      </c>
      <c r="S290" s="58">
        <v>260</v>
      </c>
      <c r="T290" s="58">
        <v>17868</v>
      </c>
    </row>
    <row r="291" spans="1:20">
      <c r="A291" s="54">
        <v>93027</v>
      </c>
      <c r="B291" s="55" t="s">
        <v>1669</v>
      </c>
      <c r="C291" s="106">
        <v>1.6699999999999999E-5</v>
      </c>
      <c r="D291" s="106">
        <v>1.6699999999999999E-5</v>
      </c>
      <c r="E291" s="56">
        <v>25513</v>
      </c>
      <c r="F291" s="56"/>
      <c r="G291" s="57">
        <v>1470</v>
      </c>
      <c r="H291" s="107">
        <v>6194</v>
      </c>
      <c r="I291" s="57">
        <v>3644</v>
      </c>
      <c r="J291" s="56">
        <v>1152</v>
      </c>
      <c r="K291" s="107">
        <f t="shared" si="8"/>
        <v>12460</v>
      </c>
      <c r="L291" s="56"/>
      <c r="M291" s="57">
        <v>722</v>
      </c>
      <c r="N291" s="57">
        <v>0</v>
      </c>
      <c r="O291" s="56">
        <v>834</v>
      </c>
      <c r="P291" s="107">
        <f t="shared" si="9"/>
        <v>1556</v>
      </c>
      <c r="Q291" s="56"/>
      <c r="R291" s="57">
        <v>8598</v>
      </c>
      <c r="S291" s="58">
        <v>-308</v>
      </c>
      <c r="T291" s="58">
        <v>8290</v>
      </c>
    </row>
    <row r="292" spans="1:20">
      <c r="A292" s="54">
        <v>93031</v>
      </c>
      <c r="B292" s="55" t="s">
        <v>1670</v>
      </c>
      <c r="C292" s="106">
        <v>2.1699999999999999E-5</v>
      </c>
      <c r="D292" s="106">
        <v>2.2399999999999999E-5</v>
      </c>
      <c r="E292" s="56">
        <v>33152</v>
      </c>
      <c r="F292" s="56"/>
      <c r="G292" s="57">
        <v>1910</v>
      </c>
      <c r="H292" s="107">
        <v>8050</v>
      </c>
      <c r="I292" s="57">
        <v>4735</v>
      </c>
      <c r="J292" s="56">
        <v>18910</v>
      </c>
      <c r="K292" s="107">
        <f t="shared" si="8"/>
        <v>33605</v>
      </c>
      <c r="L292" s="56"/>
      <c r="M292" s="57">
        <v>938</v>
      </c>
      <c r="N292" s="57">
        <v>0</v>
      </c>
      <c r="O292" s="56">
        <v>221</v>
      </c>
      <c r="P292" s="107">
        <f t="shared" si="9"/>
        <v>1159</v>
      </c>
      <c r="Q292" s="56"/>
      <c r="R292" s="57">
        <v>11172</v>
      </c>
      <c r="S292" s="58">
        <v>5880</v>
      </c>
      <c r="T292" s="58">
        <v>17052</v>
      </c>
    </row>
    <row r="293" spans="1:20">
      <c r="A293" s="54">
        <v>93101</v>
      </c>
      <c r="B293" s="55" t="s">
        <v>1671</v>
      </c>
      <c r="C293" s="106">
        <v>3.5159000000000002E-3</v>
      </c>
      <c r="D293" s="106">
        <v>3.5771000000000002E-3</v>
      </c>
      <c r="E293" s="56">
        <v>5371321</v>
      </c>
      <c r="F293" s="56"/>
      <c r="G293" s="57">
        <v>309438</v>
      </c>
      <c r="H293" s="107">
        <v>1304163</v>
      </c>
      <c r="I293" s="57">
        <v>767099</v>
      </c>
      <c r="J293" s="56">
        <v>104257</v>
      </c>
      <c r="K293" s="107">
        <f t="shared" si="8"/>
        <v>2484957</v>
      </c>
      <c r="L293" s="56"/>
      <c r="M293" s="57">
        <v>152045</v>
      </c>
      <c r="N293" s="57">
        <v>0</v>
      </c>
      <c r="O293" s="56">
        <v>115334</v>
      </c>
      <c r="P293" s="107">
        <f t="shared" si="9"/>
        <v>267379</v>
      </c>
      <c r="Q293" s="56"/>
      <c r="R293" s="57">
        <v>1810140</v>
      </c>
      <c r="S293" s="58">
        <v>39451</v>
      </c>
      <c r="T293" s="58">
        <v>1849591</v>
      </c>
    </row>
    <row r="294" spans="1:20">
      <c r="A294" s="54">
        <v>93103</v>
      </c>
      <c r="B294" s="55" t="s">
        <v>924</v>
      </c>
      <c r="C294" s="106">
        <v>1.7099999999999999E-5</v>
      </c>
      <c r="D294" s="106">
        <v>1.7200000000000001E-5</v>
      </c>
      <c r="E294" s="56">
        <v>26124</v>
      </c>
      <c r="F294" s="56"/>
      <c r="G294" s="57">
        <v>1505</v>
      </c>
      <c r="H294" s="107">
        <v>6343</v>
      </c>
      <c r="I294" s="57">
        <v>3731</v>
      </c>
      <c r="J294" s="56">
        <v>6718</v>
      </c>
      <c r="K294" s="107">
        <f t="shared" si="8"/>
        <v>18297</v>
      </c>
      <c r="L294" s="56"/>
      <c r="M294" s="57">
        <v>739</v>
      </c>
      <c r="N294" s="57">
        <v>0</v>
      </c>
      <c r="O294" s="56">
        <v>1798</v>
      </c>
      <c r="P294" s="107">
        <f t="shared" si="9"/>
        <v>2537</v>
      </c>
      <c r="Q294" s="56"/>
      <c r="R294" s="57">
        <v>8804</v>
      </c>
      <c r="S294" s="58">
        <v>2085</v>
      </c>
      <c r="T294" s="58">
        <v>10889</v>
      </c>
    </row>
    <row r="295" spans="1:20">
      <c r="A295" s="54">
        <v>93108</v>
      </c>
      <c r="B295" s="55" t="s">
        <v>1672</v>
      </c>
      <c r="C295" s="106">
        <v>2.6624999999999999E-3</v>
      </c>
      <c r="D295" s="106">
        <v>2.5661999999999998E-3</v>
      </c>
      <c r="E295" s="56">
        <v>4067562</v>
      </c>
      <c r="F295" s="56"/>
      <c r="G295" s="57">
        <v>234329</v>
      </c>
      <c r="H295" s="107">
        <v>987609</v>
      </c>
      <c r="I295" s="57">
        <v>580904</v>
      </c>
      <c r="J295" s="56">
        <v>274861</v>
      </c>
      <c r="K295" s="107">
        <f t="shared" si="8"/>
        <v>2077703</v>
      </c>
      <c r="L295" s="56"/>
      <c r="M295" s="57">
        <v>115140</v>
      </c>
      <c r="N295" s="57">
        <v>0</v>
      </c>
      <c r="O295" s="56">
        <v>0</v>
      </c>
      <c r="P295" s="107">
        <f t="shared" si="9"/>
        <v>115140</v>
      </c>
      <c r="Q295" s="56"/>
      <c r="R295" s="57">
        <v>1370772</v>
      </c>
      <c r="S295" s="58">
        <v>189775</v>
      </c>
      <c r="T295" s="58">
        <v>1560547</v>
      </c>
    </row>
    <row r="296" spans="1:20">
      <c r="A296" s="54">
        <v>93111</v>
      </c>
      <c r="B296" s="55" t="s">
        <v>1673</v>
      </c>
      <c r="C296" s="106">
        <v>5.8499999999999999E-5</v>
      </c>
      <c r="D296" s="106">
        <v>7.08E-5</v>
      </c>
      <c r="E296" s="56">
        <v>89372</v>
      </c>
      <c r="F296" s="56"/>
      <c r="G296" s="57">
        <v>5149</v>
      </c>
      <c r="H296" s="107">
        <v>21700</v>
      </c>
      <c r="I296" s="57">
        <v>12764</v>
      </c>
      <c r="J296" s="56">
        <v>0</v>
      </c>
      <c r="K296" s="107">
        <f t="shared" si="8"/>
        <v>39613</v>
      </c>
      <c r="L296" s="56"/>
      <c r="M296" s="57">
        <v>2530</v>
      </c>
      <c r="N296" s="57">
        <v>0</v>
      </c>
      <c r="O296" s="56">
        <v>15463</v>
      </c>
      <c r="P296" s="107">
        <f t="shared" si="9"/>
        <v>17993</v>
      </c>
      <c r="Q296" s="56"/>
      <c r="R296" s="57">
        <v>30118</v>
      </c>
      <c r="S296" s="58">
        <v>-5541</v>
      </c>
      <c r="T296" s="58">
        <f>24578-1</f>
        <v>24577</v>
      </c>
    </row>
    <row r="297" spans="1:20">
      <c r="A297" s="54">
        <v>93121</v>
      </c>
      <c r="B297" s="55" t="s">
        <v>1674</v>
      </c>
      <c r="C297" s="106">
        <v>6.2299999999999996E-5</v>
      </c>
      <c r="D297" s="106">
        <v>5.8900000000000002E-5</v>
      </c>
      <c r="E297" s="56">
        <v>95177</v>
      </c>
      <c r="F297" s="56"/>
      <c r="G297" s="57">
        <v>5483</v>
      </c>
      <c r="H297" s="107">
        <v>23109</v>
      </c>
      <c r="I297" s="57">
        <v>13593</v>
      </c>
      <c r="J297" s="56">
        <v>2043</v>
      </c>
      <c r="K297" s="107">
        <f t="shared" si="8"/>
        <v>44228</v>
      </c>
      <c r="L297" s="56"/>
      <c r="M297" s="57">
        <v>2694</v>
      </c>
      <c r="N297" s="57">
        <v>0</v>
      </c>
      <c r="O297" s="56">
        <v>9059</v>
      </c>
      <c r="P297" s="107">
        <f t="shared" si="9"/>
        <v>11753</v>
      </c>
      <c r="Q297" s="56"/>
      <c r="R297" s="57">
        <v>32075</v>
      </c>
      <c r="S297" s="58">
        <v>-3552</v>
      </c>
      <c r="T297" s="58">
        <f>28522+1</f>
        <v>28523</v>
      </c>
    </row>
    <row r="298" spans="1:20">
      <c r="A298" s="54">
        <v>93127</v>
      </c>
      <c r="B298" s="55" t="s">
        <v>1675</v>
      </c>
      <c r="C298" s="106">
        <v>6.9E-6</v>
      </c>
      <c r="D298" s="106">
        <v>6.8000000000000001E-6</v>
      </c>
      <c r="E298" s="56">
        <v>10541</v>
      </c>
      <c r="F298" s="56"/>
      <c r="G298" s="57">
        <v>607</v>
      </c>
      <c r="H298" s="107">
        <v>2560</v>
      </c>
      <c r="I298" s="57">
        <v>1505</v>
      </c>
      <c r="J298" s="56">
        <v>124</v>
      </c>
      <c r="K298" s="107">
        <f t="shared" si="8"/>
        <v>4796</v>
      </c>
      <c r="L298" s="56"/>
      <c r="M298" s="57">
        <v>298</v>
      </c>
      <c r="N298" s="57">
        <v>0</v>
      </c>
      <c r="O298" s="56">
        <v>731</v>
      </c>
      <c r="P298" s="107">
        <f t="shared" si="9"/>
        <v>1029</v>
      </c>
      <c r="Q298" s="56"/>
      <c r="R298" s="57">
        <v>3552</v>
      </c>
      <c r="S298" s="58">
        <v>-369</v>
      </c>
      <c r="T298" s="58">
        <v>3183</v>
      </c>
    </row>
    <row r="299" spans="1:20">
      <c r="A299" s="54">
        <v>93131</v>
      </c>
      <c r="B299" s="55" t="s">
        <v>1676</v>
      </c>
      <c r="C299" s="106">
        <v>2.218E-4</v>
      </c>
      <c r="D299" s="106">
        <v>2.3939999999999999E-4</v>
      </c>
      <c r="E299" s="56">
        <v>338849</v>
      </c>
      <c r="F299" s="56"/>
      <c r="G299" s="57">
        <v>19521</v>
      </c>
      <c r="H299" s="107">
        <v>82273</v>
      </c>
      <c r="I299" s="57">
        <v>48392</v>
      </c>
      <c r="J299" s="56">
        <v>7888</v>
      </c>
      <c r="K299" s="107">
        <f t="shared" si="8"/>
        <v>158074</v>
      </c>
      <c r="L299" s="56"/>
      <c r="M299" s="57">
        <v>9592</v>
      </c>
      <c r="N299" s="57">
        <v>0</v>
      </c>
      <c r="O299" s="56">
        <v>21906</v>
      </c>
      <c r="P299" s="107">
        <f t="shared" si="9"/>
        <v>31498</v>
      </c>
      <c r="Q299" s="56"/>
      <c r="R299" s="57">
        <v>114192</v>
      </c>
      <c r="S299" s="58">
        <v>-530</v>
      </c>
      <c r="T299" s="58">
        <v>113662</v>
      </c>
    </row>
    <row r="300" spans="1:20">
      <c r="A300" s="54">
        <v>93137</v>
      </c>
      <c r="B300" s="55" t="s">
        <v>1677</v>
      </c>
      <c r="C300" s="106">
        <v>3.3000000000000002E-6</v>
      </c>
      <c r="D300" s="106">
        <v>1.9E-6</v>
      </c>
      <c r="E300" s="56">
        <v>5041</v>
      </c>
      <c r="F300" s="56"/>
      <c r="G300" s="57">
        <v>290</v>
      </c>
      <c r="H300" s="107">
        <v>1224</v>
      </c>
      <c r="I300" s="57">
        <v>720</v>
      </c>
      <c r="J300" s="56">
        <v>2709</v>
      </c>
      <c r="K300" s="107">
        <f t="shared" si="8"/>
        <v>4943</v>
      </c>
      <c r="L300" s="56"/>
      <c r="M300" s="57">
        <v>143</v>
      </c>
      <c r="N300" s="57">
        <v>0</v>
      </c>
      <c r="O300" s="56">
        <v>0</v>
      </c>
      <c r="P300" s="107">
        <f t="shared" si="9"/>
        <v>143</v>
      </c>
      <c r="Q300" s="56"/>
      <c r="R300" s="57">
        <v>1699</v>
      </c>
      <c r="S300" s="58">
        <v>839</v>
      </c>
      <c r="T300" s="58">
        <v>2538</v>
      </c>
    </row>
    <row r="301" spans="1:20">
      <c r="A301" s="54">
        <v>93141</v>
      </c>
      <c r="B301" s="55" t="s">
        <v>1678</v>
      </c>
      <c r="C301" s="106">
        <v>4.1100000000000003E-5</v>
      </c>
      <c r="D301" s="106">
        <v>4.5500000000000001E-5</v>
      </c>
      <c r="E301" s="56">
        <v>62789</v>
      </c>
      <c r="F301" s="56"/>
      <c r="G301" s="57">
        <v>3617</v>
      </c>
      <c r="H301" s="107">
        <v>15246</v>
      </c>
      <c r="I301" s="57">
        <v>8967</v>
      </c>
      <c r="J301" s="56">
        <v>2083</v>
      </c>
      <c r="K301" s="107">
        <f t="shared" si="8"/>
        <v>29913</v>
      </c>
      <c r="L301" s="56"/>
      <c r="M301" s="57">
        <v>1777</v>
      </c>
      <c r="N301" s="57">
        <v>0</v>
      </c>
      <c r="O301" s="56">
        <v>7408</v>
      </c>
      <c r="P301" s="107">
        <f t="shared" si="9"/>
        <v>9185</v>
      </c>
      <c r="Q301" s="56"/>
      <c r="R301" s="57">
        <v>21160</v>
      </c>
      <c r="S301" s="58">
        <v>-351</v>
      </c>
      <c r="T301" s="58">
        <v>20809</v>
      </c>
    </row>
    <row r="302" spans="1:20">
      <c r="A302" s="54">
        <v>93151</v>
      </c>
      <c r="B302" s="55" t="s">
        <v>1679</v>
      </c>
      <c r="C302" s="106">
        <v>3.4279999999999998E-4</v>
      </c>
      <c r="D302" s="106">
        <v>3.6539999999999999E-4</v>
      </c>
      <c r="E302" s="56">
        <v>523703</v>
      </c>
      <c r="F302" s="56"/>
      <c r="G302" s="57">
        <v>30170</v>
      </c>
      <c r="H302" s="107">
        <v>127156</v>
      </c>
      <c r="I302" s="57">
        <v>74792</v>
      </c>
      <c r="J302" s="56">
        <v>3795</v>
      </c>
      <c r="K302" s="107">
        <f t="shared" si="8"/>
        <v>235913</v>
      </c>
      <c r="L302" s="56"/>
      <c r="M302" s="57">
        <v>14824</v>
      </c>
      <c r="N302" s="57">
        <v>0</v>
      </c>
      <c r="O302" s="56">
        <v>19989</v>
      </c>
      <c r="P302" s="107">
        <f t="shared" si="9"/>
        <v>34813</v>
      </c>
      <c r="Q302" s="56"/>
      <c r="R302" s="57">
        <v>176489</v>
      </c>
      <c r="S302" s="58">
        <v>-4355</v>
      </c>
      <c r="T302" s="58">
        <f>172133+1</f>
        <v>172134</v>
      </c>
    </row>
    <row r="303" spans="1:20">
      <c r="A303" s="54">
        <v>93157</v>
      </c>
      <c r="B303" s="55" t="s">
        <v>1680</v>
      </c>
      <c r="C303" s="106">
        <v>3.5999999999999998E-6</v>
      </c>
      <c r="D303" s="106">
        <v>3.8E-6</v>
      </c>
      <c r="E303" s="56">
        <v>5500</v>
      </c>
      <c r="F303" s="56"/>
      <c r="G303" s="57">
        <v>317</v>
      </c>
      <c r="H303" s="107">
        <v>1336</v>
      </c>
      <c r="I303" s="57">
        <v>785</v>
      </c>
      <c r="J303" s="56">
        <v>6931</v>
      </c>
      <c r="K303" s="107">
        <f t="shared" si="8"/>
        <v>9369</v>
      </c>
      <c r="L303" s="56"/>
      <c r="M303" s="57">
        <v>156</v>
      </c>
      <c r="N303" s="57">
        <v>0</v>
      </c>
      <c r="O303" s="56">
        <v>340</v>
      </c>
      <c r="P303" s="107">
        <f t="shared" si="9"/>
        <v>496</v>
      </c>
      <c r="Q303" s="56"/>
      <c r="R303" s="57">
        <v>1853</v>
      </c>
      <c r="S303" s="58">
        <v>2783</v>
      </c>
      <c r="T303" s="58">
        <f>4637-1</f>
        <v>4636</v>
      </c>
    </row>
    <row r="304" spans="1:20">
      <c r="A304" s="54">
        <v>93161</v>
      </c>
      <c r="B304" s="55" t="s">
        <v>1681</v>
      </c>
      <c r="C304" s="106">
        <v>1.038E-4</v>
      </c>
      <c r="D304" s="106">
        <v>6.2500000000000001E-5</v>
      </c>
      <c r="E304" s="56">
        <v>158578</v>
      </c>
      <c r="F304" s="56"/>
      <c r="G304" s="57">
        <v>9136</v>
      </c>
      <c r="H304" s="107">
        <v>38503</v>
      </c>
      <c r="I304" s="57">
        <v>22647</v>
      </c>
      <c r="J304" s="56">
        <v>35990</v>
      </c>
      <c r="K304" s="107">
        <f t="shared" si="8"/>
        <v>106276</v>
      </c>
      <c r="L304" s="56"/>
      <c r="M304" s="57">
        <v>4489</v>
      </c>
      <c r="N304" s="57">
        <v>0</v>
      </c>
      <c r="O304" s="56">
        <v>0</v>
      </c>
      <c r="P304" s="107">
        <f t="shared" si="9"/>
        <v>4489</v>
      </c>
      <c r="Q304" s="56"/>
      <c r="R304" s="57">
        <v>53441</v>
      </c>
      <c r="S304" s="58">
        <v>13001</v>
      </c>
      <c r="T304" s="58">
        <v>66442</v>
      </c>
    </row>
    <row r="305" spans="1:20">
      <c r="A305" s="54">
        <v>93171</v>
      </c>
      <c r="B305" s="55" t="s">
        <v>1682</v>
      </c>
      <c r="C305" s="106">
        <v>5.2000000000000002E-6</v>
      </c>
      <c r="D305" s="106">
        <v>5.8000000000000004E-6</v>
      </c>
      <c r="E305" s="56">
        <v>7944</v>
      </c>
      <c r="F305" s="56"/>
      <c r="G305" s="57">
        <v>458</v>
      </c>
      <c r="H305" s="107">
        <v>1929</v>
      </c>
      <c r="I305" s="57">
        <v>1135</v>
      </c>
      <c r="J305" s="56">
        <v>1960</v>
      </c>
      <c r="K305" s="107">
        <f t="shared" si="8"/>
        <v>5482</v>
      </c>
      <c r="L305" s="56"/>
      <c r="M305" s="57">
        <v>225</v>
      </c>
      <c r="N305" s="57">
        <v>0</v>
      </c>
      <c r="O305" s="56">
        <v>0</v>
      </c>
      <c r="P305" s="107">
        <f t="shared" si="9"/>
        <v>225</v>
      </c>
      <c r="Q305" s="56"/>
      <c r="R305" s="57">
        <v>2677</v>
      </c>
      <c r="S305" s="58">
        <v>791</v>
      </c>
      <c r="T305" s="58">
        <v>3468</v>
      </c>
    </row>
    <row r="306" spans="1:20">
      <c r="A306" s="54">
        <v>93181</v>
      </c>
      <c r="B306" s="55" t="s">
        <v>1683</v>
      </c>
      <c r="C306" s="106">
        <v>1.13E-5</v>
      </c>
      <c r="D306" s="106">
        <v>1.1E-5</v>
      </c>
      <c r="E306" s="56">
        <v>17263</v>
      </c>
      <c r="F306" s="56"/>
      <c r="G306" s="57">
        <v>995</v>
      </c>
      <c r="H306" s="107">
        <v>4191</v>
      </c>
      <c r="I306" s="57">
        <v>2465</v>
      </c>
      <c r="J306" s="56">
        <v>772</v>
      </c>
      <c r="K306" s="107">
        <f t="shared" si="8"/>
        <v>8423</v>
      </c>
      <c r="L306" s="56"/>
      <c r="M306" s="57">
        <v>489</v>
      </c>
      <c r="N306" s="57">
        <v>0</v>
      </c>
      <c r="O306" s="56">
        <v>28</v>
      </c>
      <c r="P306" s="107">
        <f t="shared" si="9"/>
        <v>517</v>
      </c>
      <c r="Q306" s="56"/>
      <c r="R306" s="57">
        <v>5818</v>
      </c>
      <c r="S306" s="58">
        <v>412</v>
      </c>
      <c r="T306" s="58">
        <v>6230</v>
      </c>
    </row>
    <row r="307" spans="1:20">
      <c r="A307" s="54">
        <v>93191</v>
      </c>
      <c r="B307" s="55" t="s">
        <v>1684</v>
      </c>
      <c r="C307" s="106">
        <v>2.4600000000000002E-5</v>
      </c>
      <c r="D307" s="106">
        <v>3.3000000000000003E-5</v>
      </c>
      <c r="E307" s="56">
        <v>37582</v>
      </c>
      <c r="F307" s="56"/>
      <c r="G307" s="57">
        <v>2165</v>
      </c>
      <c r="H307" s="107">
        <v>9125</v>
      </c>
      <c r="I307" s="57">
        <v>5367</v>
      </c>
      <c r="J307" s="56">
        <v>1713</v>
      </c>
      <c r="K307" s="107">
        <f t="shared" si="8"/>
        <v>18370</v>
      </c>
      <c r="L307" s="56"/>
      <c r="M307" s="57">
        <v>1064</v>
      </c>
      <c r="N307" s="57">
        <v>0</v>
      </c>
      <c r="O307" s="56">
        <v>2443</v>
      </c>
      <c r="P307" s="107">
        <f t="shared" si="9"/>
        <v>3507</v>
      </c>
      <c r="Q307" s="56"/>
      <c r="R307" s="57">
        <v>12665</v>
      </c>
      <c r="S307" s="58">
        <v>-169</v>
      </c>
      <c r="T307" s="58">
        <v>12496</v>
      </c>
    </row>
    <row r="308" spans="1:20">
      <c r="A308" s="54">
        <v>93201</v>
      </c>
      <c r="B308" s="55" t="s">
        <v>1685</v>
      </c>
      <c r="C308" s="106">
        <v>1.5517E-2</v>
      </c>
      <c r="D308" s="106">
        <v>1.5819699999999999E-2</v>
      </c>
      <c r="E308" s="56">
        <v>23705678</v>
      </c>
      <c r="F308" s="56"/>
      <c r="G308" s="57">
        <v>1365667</v>
      </c>
      <c r="H308" s="107">
        <v>5755768</v>
      </c>
      <c r="I308" s="57">
        <v>3385499</v>
      </c>
      <c r="J308" s="56">
        <v>809545</v>
      </c>
      <c r="K308" s="107">
        <f t="shared" si="8"/>
        <v>11316479</v>
      </c>
      <c r="L308" s="56"/>
      <c r="M308" s="57">
        <v>671033</v>
      </c>
      <c r="N308" s="57">
        <v>0</v>
      </c>
      <c r="O308" s="56">
        <v>206420</v>
      </c>
      <c r="P308" s="107">
        <f t="shared" si="9"/>
        <v>877453</v>
      </c>
      <c r="Q308" s="56"/>
      <c r="R308" s="57">
        <v>7988834</v>
      </c>
      <c r="S308" s="58">
        <v>397964</v>
      </c>
      <c r="T308" s="58">
        <f>8386799-1</f>
        <v>8386798</v>
      </c>
    </row>
    <row r="309" spans="1:20">
      <c r="A309" s="54">
        <v>93202</v>
      </c>
      <c r="B309" s="55" t="s">
        <v>1686</v>
      </c>
      <c r="C309" s="106">
        <v>0</v>
      </c>
      <c r="D309" s="106">
        <v>0</v>
      </c>
      <c r="E309" s="56">
        <v>0</v>
      </c>
      <c r="F309" s="56"/>
      <c r="G309" s="57">
        <v>0</v>
      </c>
      <c r="H309" s="107">
        <v>0</v>
      </c>
      <c r="I309" s="57">
        <v>0</v>
      </c>
      <c r="J309" s="56">
        <v>0</v>
      </c>
      <c r="K309" s="107">
        <f t="shared" si="8"/>
        <v>0</v>
      </c>
      <c r="L309" s="56"/>
      <c r="M309" s="57">
        <v>0</v>
      </c>
      <c r="N309" s="57">
        <v>0</v>
      </c>
      <c r="O309" s="56">
        <v>212519</v>
      </c>
      <c r="P309" s="107">
        <f t="shared" si="9"/>
        <v>212519</v>
      </c>
      <c r="Q309" s="56"/>
      <c r="R309" s="57">
        <v>0</v>
      </c>
      <c r="S309" s="58">
        <v>-109544</v>
      </c>
      <c r="T309" s="58">
        <v>-109544</v>
      </c>
    </row>
    <row r="310" spans="1:20">
      <c r="A310" s="54">
        <v>93204</v>
      </c>
      <c r="B310" s="55" t="s">
        <v>1687</v>
      </c>
      <c r="C310" s="106">
        <v>3.0279999999999999E-4</v>
      </c>
      <c r="D310" s="106">
        <v>2.9480000000000001E-4</v>
      </c>
      <c r="E310" s="56">
        <v>462595</v>
      </c>
      <c r="F310" s="56"/>
      <c r="G310" s="57">
        <v>26650</v>
      </c>
      <c r="H310" s="107">
        <v>112319</v>
      </c>
      <c r="I310" s="57">
        <v>66065</v>
      </c>
      <c r="J310" s="56">
        <v>24167</v>
      </c>
      <c r="K310" s="107">
        <f t="shared" si="8"/>
        <v>229201</v>
      </c>
      <c r="L310" s="56"/>
      <c r="M310" s="57">
        <v>13095</v>
      </c>
      <c r="N310" s="57">
        <v>0</v>
      </c>
      <c r="O310" s="56">
        <v>9452</v>
      </c>
      <c r="P310" s="107">
        <f t="shared" si="9"/>
        <v>22547</v>
      </c>
      <c r="Q310" s="56"/>
      <c r="R310" s="57">
        <v>155895</v>
      </c>
      <c r="S310" s="58">
        <v>782</v>
      </c>
      <c r="T310" s="58">
        <v>156677</v>
      </c>
    </row>
    <row r="311" spans="1:20">
      <c r="A311" s="54">
        <v>93209</v>
      </c>
      <c r="B311" s="55" t="s">
        <v>1688</v>
      </c>
      <c r="C311" s="106">
        <v>4.6693999999999998E-3</v>
      </c>
      <c r="D311" s="106">
        <v>4.5113999999999996E-3</v>
      </c>
      <c r="E311" s="56">
        <v>7133550</v>
      </c>
      <c r="F311" s="56"/>
      <c r="G311" s="57">
        <v>410959</v>
      </c>
      <c r="H311" s="107">
        <v>1732035</v>
      </c>
      <c r="I311" s="57">
        <v>1018770</v>
      </c>
      <c r="J311" s="56">
        <v>838336</v>
      </c>
      <c r="K311" s="107">
        <f t="shared" si="8"/>
        <v>4000100</v>
      </c>
      <c r="L311" s="56"/>
      <c r="M311" s="57">
        <v>201928</v>
      </c>
      <c r="N311" s="57">
        <v>0</v>
      </c>
      <c r="O311" s="56">
        <v>0</v>
      </c>
      <c r="P311" s="107">
        <f t="shared" si="9"/>
        <v>201928</v>
      </c>
      <c r="Q311" s="56"/>
      <c r="R311" s="57">
        <v>2404013</v>
      </c>
      <c r="S311" s="58">
        <v>551077</v>
      </c>
      <c r="T311" s="58">
        <v>2955090</v>
      </c>
    </row>
    <row r="312" spans="1:20">
      <c r="A312" s="54">
        <v>93211</v>
      </c>
      <c r="B312" s="55" t="s">
        <v>1689</v>
      </c>
      <c r="C312" s="106">
        <v>2.0374099999999999E-2</v>
      </c>
      <c r="D312" s="106">
        <v>2.0456800000000001E-2</v>
      </c>
      <c r="E312" s="56">
        <v>31125981</v>
      </c>
      <c r="F312" s="56"/>
      <c r="G312" s="57">
        <v>1793145</v>
      </c>
      <c r="H312" s="107">
        <v>7557426</v>
      </c>
      <c r="I312" s="57">
        <v>4445221</v>
      </c>
      <c r="J312" s="56">
        <v>0</v>
      </c>
      <c r="K312" s="107">
        <f t="shared" si="8"/>
        <v>13795792</v>
      </c>
      <c r="L312" s="56"/>
      <c r="M312" s="57">
        <v>881078</v>
      </c>
      <c r="N312" s="57">
        <v>0</v>
      </c>
      <c r="O312" s="56">
        <v>991023</v>
      </c>
      <c r="P312" s="107">
        <f t="shared" si="9"/>
        <v>1872101</v>
      </c>
      <c r="Q312" s="56"/>
      <c r="R312" s="57">
        <v>10489483</v>
      </c>
      <c r="S312" s="58">
        <v>-507236</v>
      </c>
      <c r="T312" s="58">
        <v>9982247</v>
      </c>
    </row>
    <row r="313" spans="1:20">
      <c r="A313" s="54">
        <v>93212</v>
      </c>
      <c r="B313" s="55" t="s">
        <v>1690</v>
      </c>
      <c r="C313" s="106">
        <v>2.2130000000000001E-4</v>
      </c>
      <c r="D313" s="106">
        <v>2.052E-4</v>
      </c>
      <c r="E313" s="56">
        <v>338085</v>
      </c>
      <c r="F313" s="56"/>
      <c r="G313" s="57">
        <v>19477</v>
      </c>
      <c r="H313" s="107">
        <v>82087</v>
      </c>
      <c r="I313" s="57">
        <v>48283</v>
      </c>
      <c r="J313" s="56">
        <v>158429</v>
      </c>
      <c r="K313" s="107">
        <f t="shared" si="8"/>
        <v>308276</v>
      </c>
      <c r="L313" s="56"/>
      <c r="M313" s="57">
        <v>9570</v>
      </c>
      <c r="N313" s="57">
        <v>0</v>
      </c>
      <c r="O313" s="56">
        <v>0</v>
      </c>
      <c r="P313" s="107">
        <f t="shared" si="9"/>
        <v>9570</v>
      </c>
      <c r="Q313" s="56"/>
      <c r="R313" s="57">
        <v>113935</v>
      </c>
      <c r="S313" s="58">
        <v>53448</v>
      </c>
      <c r="T313" s="58">
        <v>167383</v>
      </c>
    </row>
    <row r="314" spans="1:20">
      <c r="A314" s="54">
        <v>93219</v>
      </c>
      <c r="B314" s="55" t="s">
        <v>1691</v>
      </c>
      <c r="C314" s="106">
        <v>2.6289999999999999E-4</v>
      </c>
      <c r="D314" s="106">
        <v>2.286E-4</v>
      </c>
      <c r="E314" s="56">
        <v>401638</v>
      </c>
      <c r="F314" s="56"/>
      <c r="G314" s="57">
        <v>23138</v>
      </c>
      <c r="H314" s="107">
        <v>97518</v>
      </c>
      <c r="I314" s="57">
        <v>57360</v>
      </c>
      <c r="J314" s="56">
        <v>22706</v>
      </c>
      <c r="K314" s="107">
        <f t="shared" si="8"/>
        <v>200722</v>
      </c>
      <c r="L314" s="56"/>
      <c r="M314" s="57">
        <v>11369</v>
      </c>
      <c r="N314" s="57">
        <v>0</v>
      </c>
      <c r="O314" s="56">
        <v>9094</v>
      </c>
      <c r="P314" s="107">
        <f t="shared" si="9"/>
        <v>20463</v>
      </c>
      <c r="Q314" s="56"/>
      <c r="R314" s="57">
        <v>135352</v>
      </c>
      <c r="S314" s="58">
        <v>1456</v>
      </c>
      <c r="T314" s="58">
        <f>136809-1</f>
        <v>136808</v>
      </c>
    </row>
    <row r="315" spans="1:20">
      <c r="A315" s="54">
        <v>93301</v>
      </c>
      <c r="B315" s="55" t="s">
        <v>1692</v>
      </c>
      <c r="C315" s="106">
        <v>2.5243000000000002E-3</v>
      </c>
      <c r="D315" s="106">
        <v>2.5330999999999999E-3</v>
      </c>
      <c r="E315" s="56">
        <v>3856431</v>
      </c>
      <c r="F315" s="56"/>
      <c r="G315" s="57">
        <v>222166</v>
      </c>
      <c r="H315" s="107">
        <v>936346</v>
      </c>
      <c r="I315" s="57">
        <v>550752</v>
      </c>
      <c r="J315" s="56">
        <v>47371</v>
      </c>
      <c r="K315" s="107">
        <f t="shared" si="8"/>
        <v>1756635</v>
      </c>
      <c r="L315" s="56"/>
      <c r="M315" s="57">
        <v>109163</v>
      </c>
      <c r="N315" s="57">
        <v>0</v>
      </c>
      <c r="O315" s="56">
        <v>61692</v>
      </c>
      <c r="P315" s="107">
        <f t="shared" si="9"/>
        <v>170855</v>
      </c>
      <c r="Q315" s="56"/>
      <c r="R315" s="57">
        <v>1299621</v>
      </c>
      <c r="S315" s="58">
        <v>-19789</v>
      </c>
      <c r="T315" s="58">
        <f>1279831+1</f>
        <v>1279832</v>
      </c>
    </row>
    <row r="316" spans="1:20">
      <c r="A316" s="54">
        <v>93304</v>
      </c>
      <c r="B316" s="55" t="s">
        <v>1693</v>
      </c>
      <c r="C316" s="106">
        <v>3.0300000000000001E-5</v>
      </c>
      <c r="D316" s="106">
        <v>3.4400000000000003E-5</v>
      </c>
      <c r="E316" s="56">
        <v>46290</v>
      </c>
      <c r="F316" s="56"/>
      <c r="G316" s="57">
        <v>2667</v>
      </c>
      <c r="H316" s="107">
        <v>11239</v>
      </c>
      <c r="I316" s="57">
        <v>6611</v>
      </c>
      <c r="J316" s="56">
        <v>9418</v>
      </c>
      <c r="K316" s="107">
        <f t="shared" si="8"/>
        <v>29935</v>
      </c>
      <c r="L316" s="56"/>
      <c r="M316" s="57">
        <v>1310</v>
      </c>
      <c r="N316" s="57">
        <v>0</v>
      </c>
      <c r="O316" s="56">
        <v>0</v>
      </c>
      <c r="P316" s="107">
        <f t="shared" si="9"/>
        <v>1310</v>
      </c>
      <c r="Q316" s="56"/>
      <c r="R316" s="57">
        <v>15600</v>
      </c>
      <c r="S316" s="58">
        <v>5129</v>
      </c>
      <c r="T316" s="58">
        <v>20729</v>
      </c>
    </row>
    <row r="317" spans="1:20">
      <c r="A317" s="54">
        <v>93305</v>
      </c>
      <c r="B317" s="55" t="s">
        <v>1694</v>
      </c>
      <c r="C317" s="106">
        <v>4.6999999999999997E-5</v>
      </c>
      <c r="D317" s="106">
        <v>4.9400000000000001E-5</v>
      </c>
      <c r="E317" s="56">
        <v>71803</v>
      </c>
      <c r="F317" s="56"/>
      <c r="G317" s="57">
        <v>4137</v>
      </c>
      <c r="H317" s="107">
        <v>17434</v>
      </c>
      <c r="I317" s="57">
        <v>10254</v>
      </c>
      <c r="J317" s="56">
        <v>0</v>
      </c>
      <c r="K317" s="107">
        <f t="shared" si="8"/>
        <v>31825</v>
      </c>
      <c r="L317" s="56"/>
      <c r="M317" s="57">
        <v>2033</v>
      </c>
      <c r="N317" s="57">
        <v>0</v>
      </c>
      <c r="O317" s="56">
        <v>5631</v>
      </c>
      <c r="P317" s="107">
        <f t="shared" si="9"/>
        <v>7664</v>
      </c>
      <c r="Q317" s="56"/>
      <c r="R317" s="57">
        <v>24198</v>
      </c>
      <c r="S317" s="58">
        <v>-1929</v>
      </c>
      <c r="T317" s="58">
        <v>22269</v>
      </c>
    </row>
    <row r="318" spans="1:20">
      <c r="A318" s="54">
        <v>93309</v>
      </c>
      <c r="B318" s="55" t="s">
        <v>1695</v>
      </c>
      <c r="C318" s="106">
        <v>1.63E-4</v>
      </c>
      <c r="D318" s="106">
        <v>1.716E-4</v>
      </c>
      <c r="E318" s="56">
        <v>249019</v>
      </c>
      <c r="F318" s="56"/>
      <c r="G318" s="57">
        <v>14346</v>
      </c>
      <c r="H318" s="107">
        <v>60462</v>
      </c>
      <c r="I318" s="57">
        <v>35563</v>
      </c>
      <c r="J318" s="56">
        <v>22457</v>
      </c>
      <c r="K318" s="107">
        <f t="shared" si="8"/>
        <v>132828</v>
      </c>
      <c r="L318" s="56"/>
      <c r="M318" s="57">
        <v>7049</v>
      </c>
      <c r="N318" s="57">
        <v>0</v>
      </c>
      <c r="O318" s="56">
        <v>981</v>
      </c>
      <c r="P318" s="107">
        <f t="shared" si="9"/>
        <v>8030</v>
      </c>
      <c r="Q318" s="56"/>
      <c r="R318" s="57">
        <v>83920</v>
      </c>
      <c r="S318" s="58">
        <v>7147</v>
      </c>
      <c r="T318" s="58">
        <v>91067</v>
      </c>
    </row>
    <row r="319" spans="1:20">
      <c r="A319" s="54">
        <v>93311</v>
      </c>
      <c r="B319" s="55" t="s">
        <v>1696</v>
      </c>
      <c r="C319" s="106">
        <v>1.1665E-3</v>
      </c>
      <c r="D319" s="106">
        <v>1.1567000000000001E-3</v>
      </c>
      <c r="E319" s="56">
        <v>1782089</v>
      </c>
      <c r="F319" s="56"/>
      <c r="G319" s="57">
        <v>102665</v>
      </c>
      <c r="H319" s="107">
        <v>432693</v>
      </c>
      <c r="I319" s="57">
        <v>254507</v>
      </c>
      <c r="J319" s="56">
        <v>1699</v>
      </c>
      <c r="K319" s="107">
        <f t="shared" si="8"/>
        <v>791564</v>
      </c>
      <c r="L319" s="56"/>
      <c r="M319" s="57">
        <v>50445</v>
      </c>
      <c r="N319" s="57">
        <v>0</v>
      </c>
      <c r="O319" s="56">
        <v>83745</v>
      </c>
      <c r="P319" s="107">
        <f t="shared" si="9"/>
        <v>134190</v>
      </c>
      <c r="Q319" s="56"/>
      <c r="R319" s="57">
        <v>600566</v>
      </c>
      <c r="S319" s="58">
        <v>-37677</v>
      </c>
      <c r="T319" s="58">
        <v>562889</v>
      </c>
    </row>
    <row r="320" spans="1:20">
      <c r="A320" s="54">
        <v>93317</v>
      </c>
      <c r="B320" s="55" t="s">
        <v>1697</v>
      </c>
      <c r="C320" s="106">
        <v>5.0099999999999998E-5</v>
      </c>
      <c r="D320" s="106">
        <v>4.8099999999999997E-5</v>
      </c>
      <c r="E320" s="56">
        <v>76539</v>
      </c>
      <c r="F320" s="56"/>
      <c r="G320" s="57">
        <v>4409</v>
      </c>
      <c r="H320" s="107">
        <v>18583</v>
      </c>
      <c r="I320" s="57">
        <v>10931</v>
      </c>
      <c r="J320" s="56">
        <v>805</v>
      </c>
      <c r="K320" s="107">
        <f t="shared" si="8"/>
        <v>34728</v>
      </c>
      <c r="L320" s="56"/>
      <c r="M320" s="57">
        <v>2167</v>
      </c>
      <c r="N320" s="57">
        <v>0</v>
      </c>
      <c r="O320" s="56">
        <v>277</v>
      </c>
      <c r="P320" s="107">
        <f t="shared" si="9"/>
        <v>2444</v>
      </c>
      <c r="Q320" s="56"/>
      <c r="R320" s="57">
        <v>25794</v>
      </c>
      <c r="S320" s="58">
        <v>-23</v>
      </c>
      <c r="T320" s="58">
        <f>25770+1</f>
        <v>25771</v>
      </c>
    </row>
    <row r="321" spans="1:20">
      <c r="A321" s="54">
        <v>93321</v>
      </c>
      <c r="B321" s="55" t="s">
        <v>1698</v>
      </c>
      <c r="C321" s="106">
        <v>7.3600000000000002E-3</v>
      </c>
      <c r="D321" s="106">
        <v>7.4706E-3</v>
      </c>
      <c r="E321" s="56">
        <v>11244041</v>
      </c>
      <c r="F321" s="56"/>
      <c r="G321" s="57">
        <v>647761</v>
      </c>
      <c r="H321" s="107">
        <v>2730067</v>
      </c>
      <c r="I321" s="57">
        <v>1605805</v>
      </c>
      <c r="J321" s="56">
        <v>0</v>
      </c>
      <c r="K321" s="107">
        <f t="shared" si="8"/>
        <v>4983633</v>
      </c>
      <c r="L321" s="56"/>
      <c r="M321" s="57">
        <v>318283</v>
      </c>
      <c r="N321" s="57">
        <v>0</v>
      </c>
      <c r="O321" s="56">
        <v>681688</v>
      </c>
      <c r="P321" s="107">
        <f t="shared" si="9"/>
        <v>999971</v>
      </c>
      <c r="Q321" s="56"/>
      <c r="R321" s="57">
        <v>3789252</v>
      </c>
      <c r="S321" s="58">
        <v>-330030</v>
      </c>
      <c r="T321" s="58">
        <f>3459221+1</f>
        <v>3459222</v>
      </c>
    </row>
    <row r="322" spans="1:20">
      <c r="A322" s="54">
        <v>93323</v>
      </c>
      <c r="B322" s="55" t="s">
        <v>1699</v>
      </c>
      <c r="C322" s="106">
        <v>2.19E-5</v>
      </c>
      <c r="D322" s="106">
        <v>1.0200000000000001E-5</v>
      </c>
      <c r="E322" s="56">
        <v>33457</v>
      </c>
      <c r="F322" s="56"/>
      <c r="G322" s="57">
        <v>1927</v>
      </c>
      <c r="H322" s="107">
        <v>8123</v>
      </c>
      <c r="I322" s="57">
        <v>4778</v>
      </c>
      <c r="J322" s="56">
        <v>8607</v>
      </c>
      <c r="K322" s="107">
        <f t="shared" si="8"/>
        <v>23435</v>
      </c>
      <c r="L322" s="56"/>
      <c r="M322" s="57">
        <v>947</v>
      </c>
      <c r="N322" s="57">
        <v>0</v>
      </c>
      <c r="O322" s="56">
        <v>1100</v>
      </c>
      <c r="P322" s="107">
        <f t="shared" si="9"/>
        <v>2047</v>
      </c>
      <c r="Q322" s="56"/>
      <c r="R322" s="57">
        <v>11275</v>
      </c>
      <c r="S322" s="58">
        <v>2519</v>
      </c>
      <c r="T322" s="58">
        <v>13794</v>
      </c>
    </row>
    <row r="323" spans="1:20">
      <c r="A323" s="54">
        <v>93331</v>
      </c>
      <c r="B323" s="55" t="s">
        <v>1700</v>
      </c>
      <c r="C323" s="106">
        <v>1.208E-4</v>
      </c>
      <c r="D323" s="106">
        <v>1.3090000000000001E-4</v>
      </c>
      <c r="E323" s="56">
        <v>184549</v>
      </c>
      <c r="F323" s="56"/>
      <c r="G323" s="57">
        <v>10632</v>
      </c>
      <c r="H323" s="107">
        <v>44809</v>
      </c>
      <c r="I323" s="57">
        <v>26356</v>
      </c>
      <c r="J323" s="56">
        <v>2512</v>
      </c>
      <c r="K323" s="107">
        <f t="shared" si="8"/>
        <v>84309</v>
      </c>
      <c r="L323" s="56"/>
      <c r="M323" s="57">
        <v>5224</v>
      </c>
      <c r="N323" s="57">
        <v>0</v>
      </c>
      <c r="O323" s="56">
        <v>11531</v>
      </c>
      <c r="P323" s="107">
        <f t="shared" si="9"/>
        <v>16755</v>
      </c>
      <c r="Q323" s="56"/>
      <c r="R323" s="57">
        <v>62193</v>
      </c>
      <c r="S323" s="58">
        <v>-2506</v>
      </c>
      <c r="T323" s="58">
        <v>59687</v>
      </c>
    </row>
    <row r="324" spans="1:20">
      <c r="A324" s="54">
        <v>93333</v>
      </c>
      <c r="B324" s="55" t="s">
        <v>1701</v>
      </c>
      <c r="C324" s="106">
        <v>1.796E-4</v>
      </c>
      <c r="D324" s="106">
        <v>1.9990000000000001E-4</v>
      </c>
      <c r="E324" s="56">
        <v>274379</v>
      </c>
      <c r="F324" s="56"/>
      <c r="G324" s="57">
        <v>15807</v>
      </c>
      <c r="H324" s="107">
        <v>66619</v>
      </c>
      <c r="I324" s="57">
        <v>39185</v>
      </c>
      <c r="J324" s="56">
        <v>194737</v>
      </c>
      <c r="K324" s="107">
        <f t="shared" si="8"/>
        <v>316348</v>
      </c>
      <c r="L324" s="56"/>
      <c r="M324" s="57">
        <v>7767</v>
      </c>
      <c r="N324" s="57">
        <v>0</v>
      </c>
      <c r="O324" s="56">
        <v>0</v>
      </c>
      <c r="P324" s="107">
        <f t="shared" si="9"/>
        <v>7767</v>
      </c>
      <c r="Q324" s="56"/>
      <c r="R324" s="57">
        <v>92466</v>
      </c>
      <c r="S324" s="58">
        <v>74695</v>
      </c>
      <c r="T324" s="58">
        <v>167161</v>
      </c>
    </row>
    <row r="325" spans="1:20">
      <c r="A325" s="54">
        <v>93341</v>
      </c>
      <c r="B325" s="55" t="s">
        <v>1702</v>
      </c>
      <c r="C325" s="106">
        <v>2.34E-5</v>
      </c>
      <c r="D325" s="106">
        <v>2.73E-5</v>
      </c>
      <c r="E325" s="56">
        <v>35749</v>
      </c>
      <c r="F325" s="56"/>
      <c r="G325" s="57">
        <v>2059</v>
      </c>
      <c r="H325" s="107">
        <v>8680</v>
      </c>
      <c r="I325" s="57">
        <v>5105</v>
      </c>
      <c r="J325" s="56">
        <v>1866</v>
      </c>
      <c r="K325" s="107">
        <f t="shared" si="8"/>
        <v>17710</v>
      </c>
      <c r="L325" s="56"/>
      <c r="M325" s="57">
        <v>1012</v>
      </c>
      <c r="N325" s="57">
        <v>0</v>
      </c>
      <c r="O325" s="56">
        <v>863</v>
      </c>
      <c r="P325" s="107">
        <f t="shared" si="9"/>
        <v>1875</v>
      </c>
      <c r="Q325" s="56"/>
      <c r="R325" s="57">
        <v>12047</v>
      </c>
      <c r="S325" s="58">
        <v>708</v>
      </c>
      <c r="T325" s="58">
        <v>12755</v>
      </c>
    </row>
    <row r="326" spans="1:20">
      <c r="A326" s="54">
        <v>93351</v>
      </c>
      <c r="B326" s="55" t="s">
        <v>1703</v>
      </c>
      <c r="C326" s="106">
        <v>3.4E-5</v>
      </c>
      <c r="D326" s="106">
        <v>1.5999999999999999E-5</v>
      </c>
      <c r="E326" s="56">
        <v>51943</v>
      </c>
      <c r="F326" s="56"/>
      <c r="G326" s="57">
        <v>2992</v>
      </c>
      <c r="H326" s="107">
        <v>12611</v>
      </c>
      <c r="I326" s="57">
        <v>7418</v>
      </c>
      <c r="J326" s="56">
        <v>18867</v>
      </c>
      <c r="K326" s="107">
        <f t="shared" si="8"/>
        <v>41888</v>
      </c>
      <c r="L326" s="56"/>
      <c r="M326" s="57">
        <v>1470</v>
      </c>
      <c r="N326" s="57">
        <v>0</v>
      </c>
      <c r="O326" s="56">
        <v>4169</v>
      </c>
      <c r="P326" s="107">
        <f t="shared" si="9"/>
        <v>5639</v>
      </c>
      <c r="Q326" s="56"/>
      <c r="R326" s="57">
        <v>17505</v>
      </c>
      <c r="S326" s="58">
        <v>2906</v>
      </c>
      <c r="T326" s="58">
        <f>20410+1</f>
        <v>20411</v>
      </c>
    </row>
    <row r="327" spans="1:20">
      <c r="A327" s="54">
        <v>93401</v>
      </c>
      <c r="B327" s="55" t="s">
        <v>1704</v>
      </c>
      <c r="C327" s="106">
        <v>1.3834900000000001E-2</v>
      </c>
      <c r="D327" s="106">
        <v>1.37997E-2</v>
      </c>
      <c r="E327" s="56">
        <v>21135895</v>
      </c>
      <c r="F327" s="56"/>
      <c r="G327" s="57">
        <v>1217623</v>
      </c>
      <c r="H327" s="107">
        <v>5131821</v>
      </c>
      <c r="I327" s="57">
        <v>3018498</v>
      </c>
      <c r="J327" s="56">
        <v>99926</v>
      </c>
      <c r="K327" s="107">
        <f t="shared" ref="K327:K390" si="10">G327+H327+I327+J327</f>
        <v>9467868</v>
      </c>
      <c r="L327" s="56"/>
      <c r="M327" s="57">
        <v>598290</v>
      </c>
      <c r="N327" s="57">
        <v>0</v>
      </c>
      <c r="O327" s="56">
        <v>186001</v>
      </c>
      <c r="P327" s="107">
        <f t="shared" ref="P327:P390" si="11">M327+N327+O327</f>
        <v>784291</v>
      </c>
      <c r="Q327" s="56"/>
      <c r="R327" s="57">
        <v>7122815</v>
      </c>
      <c r="S327" s="58">
        <v>-76616</v>
      </c>
      <c r="T327" s="58">
        <v>7046199</v>
      </c>
    </row>
    <row r="328" spans="1:20">
      <c r="A328" s="54">
        <v>93402</v>
      </c>
      <c r="B328" s="55" t="s">
        <v>1705</v>
      </c>
      <c r="C328" s="106">
        <v>9.8800000000000003E-5</v>
      </c>
      <c r="D328" s="106">
        <v>9.2999999999999997E-5</v>
      </c>
      <c r="E328" s="56">
        <v>150939</v>
      </c>
      <c r="F328" s="56"/>
      <c r="G328" s="57">
        <v>8695</v>
      </c>
      <c r="H328" s="107">
        <v>36648</v>
      </c>
      <c r="I328" s="57">
        <v>21556</v>
      </c>
      <c r="J328" s="56">
        <v>5545</v>
      </c>
      <c r="K328" s="107">
        <f t="shared" si="10"/>
        <v>72444</v>
      </c>
      <c r="L328" s="56"/>
      <c r="M328" s="57">
        <v>4273</v>
      </c>
      <c r="N328" s="57">
        <v>0</v>
      </c>
      <c r="O328" s="56">
        <v>3446</v>
      </c>
      <c r="P328" s="107">
        <f t="shared" si="11"/>
        <v>7719</v>
      </c>
      <c r="Q328" s="56"/>
      <c r="R328" s="57">
        <v>50867</v>
      </c>
      <c r="S328" s="58">
        <v>3029</v>
      </c>
      <c r="T328" s="58">
        <f>53895+1</f>
        <v>53896</v>
      </c>
    </row>
    <row r="329" spans="1:20">
      <c r="A329" s="54">
        <v>93406</v>
      </c>
      <c r="B329" s="55" t="s">
        <v>1706</v>
      </c>
      <c r="C329" s="106">
        <v>6.5059999999999998E-4</v>
      </c>
      <c r="D329" s="106">
        <v>7.1170000000000001E-4</v>
      </c>
      <c r="E329" s="56">
        <v>993937</v>
      </c>
      <c r="F329" s="56"/>
      <c r="G329" s="57">
        <v>57260</v>
      </c>
      <c r="H329" s="107">
        <v>241329</v>
      </c>
      <c r="I329" s="57">
        <v>141948</v>
      </c>
      <c r="J329" s="56">
        <v>26056</v>
      </c>
      <c r="K329" s="107">
        <f t="shared" si="10"/>
        <v>466593</v>
      </c>
      <c r="L329" s="56"/>
      <c r="M329" s="57">
        <v>28135</v>
      </c>
      <c r="N329" s="57">
        <v>0</v>
      </c>
      <c r="O329" s="56">
        <v>48133</v>
      </c>
      <c r="P329" s="107">
        <f t="shared" si="11"/>
        <v>76268</v>
      </c>
      <c r="Q329" s="56"/>
      <c r="R329" s="57">
        <v>334958</v>
      </c>
      <c r="S329" s="58">
        <v>7011</v>
      </c>
      <c r="T329" s="58">
        <f>341968+1</f>
        <v>341969</v>
      </c>
    </row>
    <row r="330" spans="1:20">
      <c r="A330" s="54">
        <v>93408</v>
      </c>
      <c r="B330" s="55" t="s">
        <v>1707</v>
      </c>
      <c r="C330" s="106">
        <v>0</v>
      </c>
      <c r="D330" s="106">
        <v>1.8967999999999999E-3</v>
      </c>
      <c r="E330" s="56">
        <v>0</v>
      </c>
      <c r="F330" s="56"/>
      <c r="G330" s="57">
        <v>0</v>
      </c>
      <c r="H330" s="107">
        <v>0</v>
      </c>
      <c r="I330" s="57">
        <v>0</v>
      </c>
      <c r="J330" s="56">
        <v>173575</v>
      </c>
      <c r="K330" s="107">
        <f t="shared" si="10"/>
        <v>173575</v>
      </c>
      <c r="L330" s="56"/>
      <c r="M330" s="57">
        <v>0</v>
      </c>
      <c r="N330" s="57">
        <v>0</v>
      </c>
      <c r="O330" s="56">
        <v>1605024</v>
      </c>
      <c r="P330" s="107">
        <f t="shared" si="11"/>
        <v>1605024</v>
      </c>
      <c r="Q330" s="56"/>
      <c r="R330" s="57">
        <v>0</v>
      </c>
      <c r="S330" s="58">
        <v>-292149</v>
      </c>
      <c r="T330" s="58">
        <v>-292149</v>
      </c>
    </row>
    <row r="331" spans="1:20">
      <c r="A331" s="54">
        <v>93411</v>
      </c>
      <c r="B331" s="55" t="s">
        <v>1708</v>
      </c>
      <c r="C331" s="106">
        <v>1.7454999999999998E-2</v>
      </c>
      <c r="D331" s="106">
        <v>1.73309E-2</v>
      </c>
      <c r="E331" s="56">
        <v>26666405</v>
      </c>
      <c r="F331" s="56"/>
      <c r="G331" s="57">
        <v>1536232</v>
      </c>
      <c r="H331" s="107">
        <v>6474635</v>
      </c>
      <c r="I331" s="57">
        <v>3808332</v>
      </c>
      <c r="J331" s="56">
        <v>250711</v>
      </c>
      <c r="K331" s="107">
        <f t="shared" si="10"/>
        <v>12069910</v>
      </c>
      <c r="L331" s="56"/>
      <c r="M331" s="57">
        <v>754841</v>
      </c>
      <c r="N331" s="57">
        <v>0</v>
      </c>
      <c r="O331" s="56">
        <v>594754</v>
      </c>
      <c r="P331" s="107">
        <f t="shared" si="11"/>
        <v>1349595</v>
      </c>
      <c r="Q331" s="56"/>
      <c r="R331" s="57">
        <v>8986602</v>
      </c>
      <c r="S331" s="58">
        <v>-306468</v>
      </c>
      <c r="T331" s="58">
        <v>8680134</v>
      </c>
    </row>
    <row r="332" spans="1:20">
      <c r="A332" s="54">
        <v>93413</v>
      </c>
      <c r="B332" s="55" t="s">
        <v>1709</v>
      </c>
      <c r="C332" s="106">
        <v>7.7070000000000003E-4</v>
      </c>
      <c r="D332" s="106">
        <v>8.0130000000000002E-4</v>
      </c>
      <c r="E332" s="56">
        <v>1177416</v>
      </c>
      <c r="F332" s="56"/>
      <c r="G332" s="57">
        <v>67830</v>
      </c>
      <c r="H332" s="107">
        <v>285878</v>
      </c>
      <c r="I332" s="57">
        <v>168151</v>
      </c>
      <c r="J332" s="56">
        <v>0</v>
      </c>
      <c r="K332" s="107">
        <f t="shared" si="10"/>
        <v>521859</v>
      </c>
      <c r="L332" s="56"/>
      <c r="M332" s="57">
        <v>33329</v>
      </c>
      <c r="N332" s="57">
        <v>0</v>
      </c>
      <c r="O332" s="56">
        <v>35372</v>
      </c>
      <c r="P332" s="107">
        <f t="shared" si="11"/>
        <v>68701</v>
      </c>
      <c r="Q332" s="56"/>
      <c r="R332" s="57">
        <v>396790</v>
      </c>
      <c r="S332" s="58">
        <v>-17507</v>
      </c>
      <c r="T332" s="58">
        <v>379283</v>
      </c>
    </row>
    <row r="333" spans="1:20">
      <c r="A333" s="54">
        <v>93417</v>
      </c>
      <c r="B333" s="55" t="s">
        <v>1710</v>
      </c>
      <c r="C333" s="106">
        <v>3.4430000000000002E-4</v>
      </c>
      <c r="D333" s="106">
        <v>4.1130000000000002E-4</v>
      </c>
      <c r="E333" s="56">
        <v>525995</v>
      </c>
      <c r="F333" s="56"/>
      <c r="G333" s="57">
        <v>30302</v>
      </c>
      <c r="H333" s="107">
        <v>127712</v>
      </c>
      <c r="I333" s="57">
        <v>75119</v>
      </c>
      <c r="J333" s="56">
        <v>15432</v>
      </c>
      <c r="K333" s="107">
        <f t="shared" si="10"/>
        <v>248565</v>
      </c>
      <c r="L333" s="56"/>
      <c r="M333" s="57">
        <v>14889</v>
      </c>
      <c r="N333" s="57">
        <v>0</v>
      </c>
      <c r="O333" s="56">
        <v>33069</v>
      </c>
      <c r="P333" s="107">
        <f t="shared" si="11"/>
        <v>47958</v>
      </c>
      <c r="Q333" s="56"/>
      <c r="R333" s="57">
        <v>177261</v>
      </c>
      <c r="S333" s="58">
        <v>5883</v>
      </c>
      <c r="T333" s="58">
        <v>183144</v>
      </c>
    </row>
    <row r="334" spans="1:20">
      <c r="A334" s="54">
        <v>93421</v>
      </c>
      <c r="B334" s="55" t="s">
        <v>1711</v>
      </c>
      <c r="C334" s="106">
        <v>2.1294999999999999E-3</v>
      </c>
      <c r="D334" s="106">
        <v>2.1646E-3</v>
      </c>
      <c r="E334" s="56">
        <v>3253286</v>
      </c>
      <c r="F334" s="56"/>
      <c r="G334" s="57">
        <v>187419</v>
      </c>
      <c r="H334" s="107">
        <v>789902</v>
      </c>
      <c r="I334" s="57">
        <v>464614</v>
      </c>
      <c r="J334" s="56">
        <v>0</v>
      </c>
      <c r="K334" s="107">
        <f t="shared" si="10"/>
        <v>1441935</v>
      </c>
      <c r="L334" s="56"/>
      <c r="M334" s="57">
        <v>92090</v>
      </c>
      <c r="N334" s="57">
        <v>0</v>
      </c>
      <c r="O334" s="56">
        <v>273225</v>
      </c>
      <c r="P334" s="107">
        <f t="shared" si="11"/>
        <v>365315</v>
      </c>
      <c r="Q334" s="56"/>
      <c r="R334" s="57">
        <v>1096360</v>
      </c>
      <c r="S334" s="58">
        <v>-126565</v>
      </c>
      <c r="T334" s="58">
        <v>969795</v>
      </c>
    </row>
    <row r="335" spans="1:20">
      <c r="A335" s="54">
        <v>93431</v>
      </c>
      <c r="B335" s="55" t="s">
        <v>1712</v>
      </c>
      <c r="C335" s="106">
        <v>1.2689999999999999E-4</v>
      </c>
      <c r="D335" s="106">
        <v>1.127E-4</v>
      </c>
      <c r="E335" s="56">
        <v>193868</v>
      </c>
      <c r="F335" s="56"/>
      <c r="G335" s="57">
        <v>11169</v>
      </c>
      <c r="H335" s="107">
        <v>47071</v>
      </c>
      <c r="I335" s="57">
        <v>27687</v>
      </c>
      <c r="J335" s="56">
        <v>12612</v>
      </c>
      <c r="K335" s="107">
        <f t="shared" si="10"/>
        <v>98539</v>
      </c>
      <c r="L335" s="56"/>
      <c r="M335" s="57">
        <v>5488</v>
      </c>
      <c r="N335" s="57">
        <v>0</v>
      </c>
      <c r="O335" s="56">
        <v>5397</v>
      </c>
      <c r="P335" s="107">
        <f t="shared" si="11"/>
        <v>10885</v>
      </c>
      <c r="Q335" s="56"/>
      <c r="R335" s="57">
        <v>65334</v>
      </c>
      <c r="S335" s="58">
        <v>1734</v>
      </c>
      <c r="T335" s="58">
        <v>67068</v>
      </c>
    </row>
    <row r="336" spans="1:20">
      <c r="A336" s="54">
        <v>93441</v>
      </c>
      <c r="B336" s="55" t="s">
        <v>1713</v>
      </c>
      <c r="C336" s="106">
        <v>1.54E-4</v>
      </c>
      <c r="D336" s="106">
        <v>1.4970000000000001E-4</v>
      </c>
      <c r="E336" s="56">
        <v>235269</v>
      </c>
      <c r="F336" s="56"/>
      <c r="G336" s="57">
        <v>13554</v>
      </c>
      <c r="H336" s="107">
        <v>57124</v>
      </c>
      <c r="I336" s="57">
        <v>33600</v>
      </c>
      <c r="J336" s="56">
        <v>30786</v>
      </c>
      <c r="K336" s="107">
        <f t="shared" si="10"/>
        <v>135064</v>
      </c>
      <c r="L336" s="56"/>
      <c r="M336" s="57">
        <v>6660</v>
      </c>
      <c r="N336" s="57">
        <v>0</v>
      </c>
      <c r="O336" s="56">
        <v>0</v>
      </c>
      <c r="P336" s="107">
        <f t="shared" si="11"/>
        <v>6660</v>
      </c>
      <c r="Q336" s="56"/>
      <c r="R336" s="57">
        <v>79286</v>
      </c>
      <c r="S336" s="58">
        <v>14822</v>
      </c>
      <c r="T336" s="58">
        <v>94108</v>
      </c>
    </row>
    <row r="337" spans="1:20">
      <c r="A337" s="54">
        <v>93442</v>
      </c>
      <c r="B337" s="55" t="s">
        <v>1714</v>
      </c>
      <c r="C337" s="106">
        <v>1.505E-4</v>
      </c>
      <c r="D337" s="106">
        <v>1.3540000000000001E-4</v>
      </c>
      <c r="E337" s="56">
        <v>229922</v>
      </c>
      <c r="F337" s="56"/>
      <c r="G337" s="57">
        <v>13246</v>
      </c>
      <c r="H337" s="107">
        <v>55826</v>
      </c>
      <c r="I337" s="57">
        <v>32836</v>
      </c>
      <c r="J337" s="56">
        <v>5191</v>
      </c>
      <c r="K337" s="107">
        <f t="shared" si="10"/>
        <v>107099</v>
      </c>
      <c r="L337" s="56"/>
      <c r="M337" s="57">
        <v>6508</v>
      </c>
      <c r="N337" s="57">
        <v>0</v>
      </c>
      <c r="O337" s="56">
        <v>20988</v>
      </c>
      <c r="P337" s="107">
        <f t="shared" si="11"/>
        <v>27496</v>
      </c>
      <c r="Q337" s="56"/>
      <c r="R337" s="57">
        <v>77484</v>
      </c>
      <c r="S337" s="58">
        <v>-6353</v>
      </c>
      <c r="T337" s="58">
        <v>71131</v>
      </c>
    </row>
    <row r="338" spans="1:20">
      <c r="A338" s="54">
        <v>93451</v>
      </c>
      <c r="B338" s="55" t="s">
        <v>1715</v>
      </c>
      <c r="C338" s="106">
        <v>7.0900000000000002E-5</v>
      </c>
      <c r="D338" s="106">
        <v>7.6899999999999999E-5</v>
      </c>
      <c r="E338" s="56">
        <v>108316</v>
      </c>
      <c r="F338" s="56"/>
      <c r="G338" s="57">
        <v>6240</v>
      </c>
      <c r="H338" s="107">
        <v>26299</v>
      </c>
      <c r="I338" s="57">
        <v>15469</v>
      </c>
      <c r="J338" s="56">
        <v>16242</v>
      </c>
      <c r="K338" s="107">
        <f t="shared" si="10"/>
        <v>64250</v>
      </c>
      <c r="L338" s="56"/>
      <c r="M338" s="57">
        <v>3066</v>
      </c>
      <c r="N338" s="57">
        <v>0</v>
      </c>
      <c r="O338" s="56">
        <v>1492</v>
      </c>
      <c r="P338" s="107">
        <f t="shared" si="11"/>
        <v>4558</v>
      </c>
      <c r="Q338" s="56"/>
      <c r="R338" s="57">
        <v>36502</v>
      </c>
      <c r="S338" s="58">
        <v>5181</v>
      </c>
      <c r="T338" s="58">
        <f>41684-1</f>
        <v>41683</v>
      </c>
    </row>
    <row r="339" spans="1:20">
      <c r="A339" s="54">
        <v>93461</v>
      </c>
      <c r="B339" s="55" t="s">
        <v>1716</v>
      </c>
      <c r="C339" s="106">
        <v>1.66E-5</v>
      </c>
      <c r="D339" s="106">
        <v>1.7200000000000001E-5</v>
      </c>
      <c r="E339" s="56">
        <v>25360</v>
      </c>
      <c r="F339" s="56"/>
      <c r="G339" s="57">
        <v>1461</v>
      </c>
      <c r="H339" s="107">
        <v>6157</v>
      </c>
      <c r="I339" s="57">
        <v>3622</v>
      </c>
      <c r="J339" s="56">
        <v>580</v>
      </c>
      <c r="K339" s="107">
        <f t="shared" si="10"/>
        <v>11820</v>
      </c>
      <c r="L339" s="56"/>
      <c r="M339" s="57">
        <v>718</v>
      </c>
      <c r="N339" s="57">
        <v>0</v>
      </c>
      <c r="O339" s="56">
        <v>0</v>
      </c>
      <c r="P339" s="107">
        <f t="shared" si="11"/>
        <v>718</v>
      </c>
      <c r="Q339" s="56"/>
      <c r="R339" s="57">
        <v>8546</v>
      </c>
      <c r="S339" s="58">
        <v>254</v>
      </c>
      <c r="T339" s="58">
        <f>8801-1</f>
        <v>8800</v>
      </c>
    </row>
    <row r="340" spans="1:20">
      <c r="A340" s="54">
        <v>93471</v>
      </c>
      <c r="B340" s="55" t="s">
        <v>1717</v>
      </c>
      <c r="C340" s="106">
        <v>1.31E-5</v>
      </c>
      <c r="D340" s="106">
        <v>1.1800000000000001E-5</v>
      </c>
      <c r="E340" s="56">
        <v>20013</v>
      </c>
      <c r="F340" s="56"/>
      <c r="G340" s="57">
        <v>1153</v>
      </c>
      <c r="H340" s="107">
        <v>4859</v>
      </c>
      <c r="I340" s="57">
        <v>2858</v>
      </c>
      <c r="J340" s="56">
        <v>4280</v>
      </c>
      <c r="K340" s="107">
        <f t="shared" si="10"/>
        <v>13150</v>
      </c>
      <c r="L340" s="56"/>
      <c r="M340" s="57">
        <v>567</v>
      </c>
      <c r="N340" s="57">
        <v>0</v>
      </c>
      <c r="O340" s="56">
        <v>63</v>
      </c>
      <c r="P340" s="107">
        <f t="shared" si="11"/>
        <v>630</v>
      </c>
      <c r="Q340" s="56"/>
      <c r="R340" s="57">
        <v>6744</v>
      </c>
      <c r="S340" s="58">
        <v>1243</v>
      </c>
      <c r="T340" s="58">
        <v>7987</v>
      </c>
    </row>
    <row r="341" spans="1:20">
      <c r="A341" s="54">
        <v>93501</v>
      </c>
      <c r="B341" s="55" t="s">
        <v>1718</v>
      </c>
      <c r="C341" s="106">
        <v>3.6113999999999999E-3</v>
      </c>
      <c r="D341" s="106">
        <v>3.4039000000000001E-3</v>
      </c>
      <c r="E341" s="56">
        <v>5517219</v>
      </c>
      <c r="F341" s="56"/>
      <c r="G341" s="57">
        <v>317843</v>
      </c>
      <c r="H341" s="107">
        <v>1339587</v>
      </c>
      <c r="I341" s="57">
        <v>787935</v>
      </c>
      <c r="J341" s="56">
        <v>233815</v>
      </c>
      <c r="K341" s="107">
        <f t="shared" si="10"/>
        <v>2679180</v>
      </c>
      <c r="L341" s="56"/>
      <c r="M341" s="57">
        <v>156175</v>
      </c>
      <c r="N341" s="57">
        <v>0</v>
      </c>
      <c r="O341" s="56">
        <v>57589</v>
      </c>
      <c r="P341" s="107">
        <f t="shared" si="11"/>
        <v>213764</v>
      </c>
      <c r="Q341" s="56"/>
      <c r="R341" s="57">
        <v>1859308</v>
      </c>
      <c r="S341" s="58">
        <v>88331</v>
      </c>
      <c r="T341" s="58">
        <v>1947639</v>
      </c>
    </row>
    <row r="342" spans="1:20">
      <c r="A342" s="54">
        <v>93511</v>
      </c>
      <c r="B342" s="55" t="s">
        <v>1719</v>
      </c>
      <c r="C342" s="106">
        <v>8.8300000000000005E-5</v>
      </c>
      <c r="D342" s="106">
        <v>9.8999999999999994E-5</v>
      </c>
      <c r="E342" s="56">
        <v>134898</v>
      </c>
      <c r="F342" s="56"/>
      <c r="G342" s="57">
        <v>7771</v>
      </c>
      <c r="H342" s="107">
        <v>32753</v>
      </c>
      <c r="I342" s="57">
        <v>19265</v>
      </c>
      <c r="J342" s="56">
        <v>2589</v>
      </c>
      <c r="K342" s="107">
        <f t="shared" si="10"/>
        <v>62378</v>
      </c>
      <c r="L342" s="56"/>
      <c r="M342" s="57">
        <v>3819</v>
      </c>
      <c r="N342" s="57">
        <v>0</v>
      </c>
      <c r="O342" s="56">
        <v>13801</v>
      </c>
      <c r="P342" s="107">
        <f t="shared" si="11"/>
        <v>17620</v>
      </c>
      <c r="Q342" s="56"/>
      <c r="R342" s="57">
        <v>45461</v>
      </c>
      <c r="S342" s="58">
        <v>-2683</v>
      </c>
      <c r="T342" s="58">
        <v>42778</v>
      </c>
    </row>
    <row r="343" spans="1:20">
      <c r="A343" s="54">
        <v>93517</v>
      </c>
      <c r="B343" s="55" t="s">
        <v>1720</v>
      </c>
      <c r="C343" s="106">
        <v>6.0000000000000002E-6</v>
      </c>
      <c r="D343" s="106">
        <v>6.4999999999999996E-6</v>
      </c>
      <c r="E343" s="56">
        <v>9166</v>
      </c>
      <c r="F343" s="56"/>
      <c r="G343" s="57">
        <v>528</v>
      </c>
      <c r="H343" s="107">
        <v>2226</v>
      </c>
      <c r="I343" s="57">
        <v>1309</v>
      </c>
      <c r="J343" s="56">
        <v>3133</v>
      </c>
      <c r="K343" s="107">
        <f t="shared" si="10"/>
        <v>7196</v>
      </c>
      <c r="L343" s="56"/>
      <c r="M343" s="57">
        <v>259</v>
      </c>
      <c r="N343" s="57">
        <v>0</v>
      </c>
      <c r="O343" s="56">
        <v>503</v>
      </c>
      <c r="P343" s="107">
        <f t="shared" si="11"/>
        <v>762</v>
      </c>
      <c r="Q343" s="56"/>
      <c r="R343" s="57">
        <v>3089</v>
      </c>
      <c r="S343" s="58">
        <v>771</v>
      </c>
      <c r="T343" s="58">
        <v>3860</v>
      </c>
    </row>
    <row r="344" spans="1:20">
      <c r="A344" s="54">
        <v>93521</v>
      </c>
      <c r="B344" s="55" t="s">
        <v>1721</v>
      </c>
      <c r="C344" s="106">
        <v>4.5649999999999998E-4</v>
      </c>
      <c r="D344" s="106">
        <v>5.6389999999999999E-4</v>
      </c>
      <c r="E344" s="56">
        <v>697406</v>
      </c>
      <c r="F344" s="56"/>
      <c r="G344" s="57">
        <v>40177</v>
      </c>
      <c r="H344" s="107">
        <v>169331</v>
      </c>
      <c r="I344" s="57">
        <v>99599</v>
      </c>
      <c r="J344" s="56">
        <v>7159</v>
      </c>
      <c r="K344" s="107">
        <f t="shared" si="10"/>
        <v>316266</v>
      </c>
      <c r="L344" s="56"/>
      <c r="M344" s="57">
        <v>19741</v>
      </c>
      <c r="N344" s="57">
        <v>0</v>
      </c>
      <c r="O344" s="56">
        <v>74583</v>
      </c>
      <c r="P344" s="107">
        <f t="shared" si="11"/>
        <v>94324</v>
      </c>
      <c r="Q344" s="56"/>
      <c r="R344" s="57">
        <v>235026</v>
      </c>
      <c r="S344" s="58">
        <v>-19847</v>
      </c>
      <c r="T344" s="58">
        <f>215180-1</f>
        <v>215179</v>
      </c>
    </row>
    <row r="345" spans="1:20">
      <c r="A345" s="54">
        <v>93527</v>
      </c>
      <c r="B345" s="55" t="s">
        <v>1722</v>
      </c>
      <c r="C345" s="106">
        <v>1.2099999999999999E-5</v>
      </c>
      <c r="D345" s="106">
        <v>5.4E-6</v>
      </c>
      <c r="E345" s="56">
        <v>18485</v>
      </c>
      <c r="F345" s="56"/>
      <c r="G345" s="57">
        <v>1065</v>
      </c>
      <c r="H345" s="107">
        <v>4488</v>
      </c>
      <c r="I345" s="57">
        <v>2640</v>
      </c>
      <c r="J345" s="56">
        <v>15016</v>
      </c>
      <c r="K345" s="107">
        <f t="shared" si="10"/>
        <v>23209</v>
      </c>
      <c r="L345" s="56"/>
      <c r="M345" s="57">
        <v>523</v>
      </c>
      <c r="N345" s="57">
        <v>0</v>
      </c>
      <c r="O345" s="56">
        <v>0</v>
      </c>
      <c r="P345" s="107">
        <f t="shared" si="11"/>
        <v>523</v>
      </c>
      <c r="Q345" s="56"/>
      <c r="R345" s="57">
        <v>6230</v>
      </c>
      <c r="S345" s="58">
        <v>5872</v>
      </c>
      <c r="T345" s="58">
        <f>12101+1</f>
        <v>12102</v>
      </c>
    </row>
    <row r="346" spans="1:20">
      <c r="A346" s="54">
        <v>93531</v>
      </c>
      <c r="B346" s="55" t="s">
        <v>1723</v>
      </c>
      <c r="C346" s="106">
        <v>1.7E-5</v>
      </c>
      <c r="D346" s="106">
        <v>2.4000000000000001E-5</v>
      </c>
      <c r="E346" s="56">
        <v>25971</v>
      </c>
      <c r="F346" s="56"/>
      <c r="G346" s="57">
        <v>1496</v>
      </c>
      <c r="H346" s="107">
        <v>6306</v>
      </c>
      <c r="I346" s="57">
        <v>3709</v>
      </c>
      <c r="J346" s="56">
        <v>791</v>
      </c>
      <c r="K346" s="107">
        <f t="shared" si="10"/>
        <v>12302</v>
      </c>
      <c r="L346" s="56"/>
      <c r="M346" s="57">
        <v>735</v>
      </c>
      <c r="N346" s="57">
        <v>0</v>
      </c>
      <c r="O346" s="56">
        <v>2743</v>
      </c>
      <c r="P346" s="107">
        <f t="shared" si="11"/>
        <v>3478</v>
      </c>
      <c r="Q346" s="56"/>
      <c r="R346" s="57">
        <v>8752</v>
      </c>
      <c r="S346" s="58">
        <v>-1210</v>
      </c>
      <c r="T346" s="58">
        <v>7542</v>
      </c>
    </row>
    <row r="347" spans="1:20">
      <c r="A347" s="54">
        <v>93537</v>
      </c>
      <c r="B347" s="55" t="s">
        <v>1724</v>
      </c>
      <c r="C347" s="106">
        <v>1.1199999999999999E-5</v>
      </c>
      <c r="D347" s="106">
        <v>1.17E-5</v>
      </c>
      <c r="E347" s="56">
        <v>17110</v>
      </c>
      <c r="F347" s="56"/>
      <c r="G347" s="57">
        <v>986</v>
      </c>
      <c r="H347" s="107">
        <v>4154</v>
      </c>
      <c r="I347" s="57">
        <v>2444</v>
      </c>
      <c r="J347" s="56">
        <v>0</v>
      </c>
      <c r="K347" s="107">
        <f t="shared" si="10"/>
        <v>7584</v>
      </c>
      <c r="L347" s="56"/>
      <c r="M347" s="57">
        <v>484</v>
      </c>
      <c r="N347" s="57">
        <v>0</v>
      </c>
      <c r="O347" s="56">
        <v>1898</v>
      </c>
      <c r="P347" s="107">
        <f t="shared" si="11"/>
        <v>2382</v>
      </c>
      <c r="Q347" s="56"/>
      <c r="R347" s="57">
        <v>5766</v>
      </c>
      <c r="S347" s="58">
        <v>-575</v>
      </c>
      <c r="T347" s="58">
        <v>5191</v>
      </c>
    </row>
    <row r="348" spans="1:20">
      <c r="A348" s="54">
        <v>93541</v>
      </c>
      <c r="B348" s="55" t="s">
        <v>1725</v>
      </c>
      <c r="C348" s="106">
        <v>1.0560000000000001E-4</v>
      </c>
      <c r="D348" s="106">
        <v>1.061E-4</v>
      </c>
      <c r="E348" s="56">
        <v>161328</v>
      </c>
      <c r="F348" s="56"/>
      <c r="G348" s="57">
        <v>9294</v>
      </c>
      <c r="H348" s="107">
        <v>39171</v>
      </c>
      <c r="I348" s="57">
        <v>23040</v>
      </c>
      <c r="J348" s="56">
        <v>4560</v>
      </c>
      <c r="K348" s="107">
        <f t="shared" si="10"/>
        <v>76065</v>
      </c>
      <c r="L348" s="56"/>
      <c r="M348" s="57">
        <v>4567</v>
      </c>
      <c r="N348" s="57">
        <v>0</v>
      </c>
      <c r="O348" s="56">
        <v>781</v>
      </c>
      <c r="P348" s="107">
        <f t="shared" si="11"/>
        <v>5348</v>
      </c>
      <c r="Q348" s="56"/>
      <c r="R348" s="57">
        <v>54368</v>
      </c>
      <c r="S348" s="58">
        <v>4003</v>
      </c>
      <c r="T348" s="58">
        <f>58370+1</f>
        <v>58371</v>
      </c>
    </row>
    <row r="349" spans="1:20">
      <c r="A349" s="54">
        <v>93601</v>
      </c>
      <c r="B349" s="55" t="s">
        <v>1726</v>
      </c>
      <c r="C349" s="106">
        <v>1.0721400000000001E-2</v>
      </c>
      <c r="D349" s="106">
        <v>1.1139899999999999E-2</v>
      </c>
      <c r="E349" s="56">
        <v>16379329</v>
      </c>
      <c r="F349" s="56"/>
      <c r="G349" s="57">
        <v>943601</v>
      </c>
      <c r="H349" s="107">
        <v>3976921</v>
      </c>
      <c r="I349" s="57">
        <v>2339195</v>
      </c>
      <c r="J349" s="56">
        <v>65732</v>
      </c>
      <c r="K349" s="107">
        <f t="shared" si="10"/>
        <v>7325449</v>
      </c>
      <c r="L349" s="56"/>
      <c r="M349" s="57">
        <v>463647</v>
      </c>
      <c r="N349" s="57">
        <v>0</v>
      </c>
      <c r="O349" s="56">
        <v>282932</v>
      </c>
      <c r="P349" s="107">
        <f t="shared" si="11"/>
        <v>746579</v>
      </c>
      <c r="Q349" s="56"/>
      <c r="R349" s="57">
        <v>5519848</v>
      </c>
      <c r="S349" s="58">
        <v>-87424</v>
      </c>
      <c r="T349" s="58">
        <f>5432425-1</f>
        <v>5432424</v>
      </c>
    </row>
    <row r="350" spans="1:20">
      <c r="A350" s="54">
        <v>93602</v>
      </c>
      <c r="B350" s="55" t="s">
        <v>1727</v>
      </c>
      <c r="C350" s="106">
        <v>1.7540000000000001E-4</v>
      </c>
      <c r="D350" s="106">
        <v>1.7200000000000001E-4</v>
      </c>
      <c r="E350" s="56">
        <v>267963</v>
      </c>
      <c r="F350" s="56"/>
      <c r="G350" s="57">
        <v>15437</v>
      </c>
      <c r="H350" s="107">
        <v>65062</v>
      </c>
      <c r="I350" s="57">
        <v>38269</v>
      </c>
      <c r="J350" s="56">
        <v>4381</v>
      </c>
      <c r="K350" s="107">
        <f t="shared" si="10"/>
        <v>123149</v>
      </c>
      <c r="L350" s="56"/>
      <c r="M350" s="57">
        <v>7585</v>
      </c>
      <c r="N350" s="57">
        <v>0</v>
      </c>
      <c r="O350" s="56">
        <v>10262</v>
      </c>
      <c r="P350" s="107">
        <f t="shared" si="11"/>
        <v>17847</v>
      </c>
      <c r="Q350" s="56"/>
      <c r="R350" s="57">
        <v>90304</v>
      </c>
      <c r="S350" s="58">
        <v>-2871</v>
      </c>
      <c r="T350" s="58">
        <v>87433</v>
      </c>
    </row>
    <row r="351" spans="1:20">
      <c r="A351" s="54">
        <v>93609</v>
      </c>
      <c r="B351" s="55" t="s">
        <v>1728</v>
      </c>
      <c r="C351" s="106">
        <v>3.7629999999999999E-3</v>
      </c>
      <c r="D351" s="106">
        <v>3.0569E-3</v>
      </c>
      <c r="E351" s="56">
        <v>5748822</v>
      </c>
      <c r="F351" s="56"/>
      <c r="G351" s="57">
        <v>331185</v>
      </c>
      <c r="H351" s="107">
        <v>1395821</v>
      </c>
      <c r="I351" s="57">
        <v>821011</v>
      </c>
      <c r="J351" s="56">
        <v>823315</v>
      </c>
      <c r="K351" s="107">
        <f t="shared" si="10"/>
        <v>3371332</v>
      </c>
      <c r="L351" s="56"/>
      <c r="M351" s="57">
        <v>162731</v>
      </c>
      <c r="N351" s="57">
        <v>0</v>
      </c>
      <c r="O351" s="56">
        <v>0</v>
      </c>
      <c r="P351" s="107">
        <f t="shared" si="11"/>
        <v>162731</v>
      </c>
      <c r="Q351" s="56"/>
      <c r="R351" s="57">
        <v>1937358</v>
      </c>
      <c r="S351" s="58">
        <v>360052</v>
      </c>
      <c r="T351" s="58">
        <v>2297410</v>
      </c>
    </row>
    <row r="352" spans="1:20">
      <c r="A352" s="54">
        <v>93610</v>
      </c>
      <c r="B352" s="55" t="s">
        <v>1729</v>
      </c>
      <c r="C352" s="106">
        <v>1.33E-5</v>
      </c>
      <c r="D352" s="106">
        <v>6.4999999999999996E-6</v>
      </c>
      <c r="E352" s="56">
        <v>20319</v>
      </c>
      <c r="F352" s="56"/>
      <c r="G352" s="57">
        <v>1171</v>
      </c>
      <c r="H352" s="107">
        <v>4933</v>
      </c>
      <c r="I352" s="57">
        <v>2902</v>
      </c>
      <c r="J352" s="56">
        <v>6303</v>
      </c>
      <c r="K352" s="107">
        <f t="shared" si="10"/>
        <v>15309</v>
      </c>
      <c r="L352" s="56"/>
      <c r="M352" s="57">
        <v>575</v>
      </c>
      <c r="N352" s="57">
        <v>0</v>
      </c>
      <c r="O352" s="56">
        <v>3373</v>
      </c>
      <c r="P352" s="107">
        <f t="shared" si="11"/>
        <v>3948</v>
      </c>
      <c r="Q352" s="56"/>
      <c r="R352" s="57">
        <v>6847</v>
      </c>
      <c r="S352" s="58">
        <v>1242</v>
      </c>
      <c r="T352" s="58">
        <f>8090-1</f>
        <v>8089</v>
      </c>
    </row>
    <row r="353" spans="1:20">
      <c r="A353" s="54">
        <v>93611</v>
      </c>
      <c r="B353" s="55" t="s">
        <v>1730</v>
      </c>
      <c r="C353" s="106">
        <v>6.9544000000000003E-3</v>
      </c>
      <c r="D353" s="106">
        <v>6.9325000000000003E-3</v>
      </c>
      <c r="E353" s="56">
        <v>10624397</v>
      </c>
      <c r="F353" s="56"/>
      <c r="G353" s="57">
        <v>612064</v>
      </c>
      <c r="H353" s="107">
        <v>2579617</v>
      </c>
      <c r="I353" s="57">
        <v>1517311</v>
      </c>
      <c r="J353" s="56">
        <v>61146</v>
      </c>
      <c r="K353" s="107">
        <f t="shared" si="10"/>
        <v>4770138</v>
      </c>
      <c r="L353" s="56"/>
      <c r="M353" s="57">
        <v>300743</v>
      </c>
      <c r="N353" s="57">
        <v>0</v>
      </c>
      <c r="O353" s="56">
        <v>153061</v>
      </c>
      <c r="P353" s="107">
        <f t="shared" si="11"/>
        <v>453804</v>
      </c>
      <c r="Q353" s="56"/>
      <c r="R353" s="57">
        <v>3580431</v>
      </c>
      <c r="S353" s="58">
        <v>-98066</v>
      </c>
      <c r="T353" s="58">
        <v>3482365</v>
      </c>
    </row>
    <row r="354" spans="1:20">
      <c r="A354" s="54">
        <v>93617</v>
      </c>
      <c r="B354" s="55" t="s">
        <v>1731</v>
      </c>
      <c r="C354" s="106">
        <v>8.2799999999999993E-5</v>
      </c>
      <c r="D354" s="106">
        <v>9.5000000000000005E-5</v>
      </c>
      <c r="E354" s="56">
        <v>126495</v>
      </c>
      <c r="F354" s="56"/>
      <c r="G354" s="57">
        <v>7287</v>
      </c>
      <c r="H354" s="107">
        <v>30714</v>
      </c>
      <c r="I354" s="57">
        <v>18065</v>
      </c>
      <c r="J354" s="56">
        <v>19622</v>
      </c>
      <c r="K354" s="107">
        <f t="shared" si="10"/>
        <v>75688</v>
      </c>
      <c r="L354" s="56"/>
      <c r="M354" s="57">
        <v>3581</v>
      </c>
      <c r="N354" s="57">
        <v>0</v>
      </c>
      <c r="O354" s="56">
        <v>0</v>
      </c>
      <c r="P354" s="107">
        <f t="shared" si="11"/>
        <v>3581</v>
      </c>
      <c r="Q354" s="56"/>
      <c r="R354" s="57">
        <v>42629</v>
      </c>
      <c r="S354" s="58">
        <v>10180</v>
      </c>
      <c r="T354" s="58">
        <v>52809</v>
      </c>
    </row>
    <row r="355" spans="1:20">
      <c r="A355" s="54">
        <v>93618</v>
      </c>
      <c r="B355" s="55" t="s">
        <v>1732</v>
      </c>
      <c r="C355" s="106">
        <v>1.11E-5</v>
      </c>
      <c r="D355" s="106">
        <v>1.17E-5</v>
      </c>
      <c r="E355" s="56">
        <v>16958</v>
      </c>
      <c r="F355" s="56"/>
      <c r="G355" s="57">
        <v>977</v>
      </c>
      <c r="H355" s="107">
        <v>4117</v>
      </c>
      <c r="I355" s="57">
        <v>2422</v>
      </c>
      <c r="J355" s="56">
        <v>33625</v>
      </c>
      <c r="K355" s="107">
        <f t="shared" si="10"/>
        <v>41141</v>
      </c>
      <c r="L355" s="56"/>
      <c r="M355" s="57">
        <v>480</v>
      </c>
      <c r="N355" s="57">
        <v>0</v>
      </c>
      <c r="O355" s="56">
        <v>0</v>
      </c>
      <c r="P355" s="107">
        <f t="shared" si="11"/>
        <v>480</v>
      </c>
      <c r="Q355" s="56"/>
      <c r="R355" s="57">
        <v>5715</v>
      </c>
      <c r="S355" s="58">
        <v>12182</v>
      </c>
      <c r="T355" s="58">
        <v>17897</v>
      </c>
    </row>
    <row r="356" spans="1:20">
      <c r="A356" s="54">
        <v>93621</v>
      </c>
      <c r="B356" s="55" t="s">
        <v>1733</v>
      </c>
      <c r="C356" s="106">
        <v>9.5719999999999996E-4</v>
      </c>
      <c r="D356" s="106">
        <v>8.5320000000000003E-4</v>
      </c>
      <c r="E356" s="56">
        <v>1462336</v>
      </c>
      <c r="F356" s="56"/>
      <c r="G356" s="57">
        <v>84244</v>
      </c>
      <c r="H356" s="107">
        <v>355057</v>
      </c>
      <c r="I356" s="57">
        <v>208842</v>
      </c>
      <c r="J356" s="56">
        <v>48292</v>
      </c>
      <c r="K356" s="107">
        <f t="shared" si="10"/>
        <v>696435</v>
      </c>
      <c r="L356" s="56"/>
      <c r="M356" s="57">
        <v>41394</v>
      </c>
      <c r="N356" s="57">
        <v>0</v>
      </c>
      <c r="O356" s="56">
        <v>79767</v>
      </c>
      <c r="P356" s="107">
        <f t="shared" si="11"/>
        <v>121161</v>
      </c>
      <c r="Q356" s="56"/>
      <c r="R356" s="57">
        <v>492809</v>
      </c>
      <c r="S356" s="58">
        <v>-26570</v>
      </c>
      <c r="T356" s="58">
        <f>466238+1</f>
        <v>466239</v>
      </c>
    </row>
    <row r="357" spans="1:20">
      <c r="A357" s="54">
        <v>93623</v>
      </c>
      <c r="B357" s="55" t="s">
        <v>1734</v>
      </c>
      <c r="C357" s="106">
        <v>1.2799999999999999E-5</v>
      </c>
      <c r="D357" s="106">
        <v>1.2500000000000001E-5</v>
      </c>
      <c r="E357" s="56">
        <v>19555</v>
      </c>
      <c r="F357" s="56"/>
      <c r="G357" s="57">
        <v>1127</v>
      </c>
      <c r="H357" s="107">
        <v>4748</v>
      </c>
      <c r="I357" s="57">
        <v>2793</v>
      </c>
      <c r="J357" s="56">
        <v>5501</v>
      </c>
      <c r="K357" s="107">
        <f t="shared" si="10"/>
        <v>14169</v>
      </c>
      <c r="L357" s="56"/>
      <c r="M357" s="57">
        <v>554</v>
      </c>
      <c r="N357" s="57">
        <v>0</v>
      </c>
      <c r="O357" s="56">
        <v>1</v>
      </c>
      <c r="P357" s="107">
        <f t="shared" si="11"/>
        <v>555</v>
      </c>
      <c r="Q357" s="56"/>
      <c r="R357" s="57">
        <v>6590</v>
      </c>
      <c r="S357" s="58">
        <v>1908</v>
      </c>
      <c r="T357" s="58">
        <v>8498</v>
      </c>
    </row>
    <row r="358" spans="1:20">
      <c r="A358" s="54">
        <v>93631</v>
      </c>
      <c r="B358" s="55" t="s">
        <v>1735</v>
      </c>
      <c r="C358" s="106">
        <v>2.252E-4</v>
      </c>
      <c r="D358" s="106">
        <v>2.3440000000000001E-4</v>
      </c>
      <c r="E358" s="56">
        <v>344043</v>
      </c>
      <c r="F358" s="56"/>
      <c r="G358" s="57">
        <v>19820</v>
      </c>
      <c r="H358" s="107">
        <v>83534</v>
      </c>
      <c r="I358" s="57">
        <v>49134</v>
      </c>
      <c r="J358" s="56">
        <v>435</v>
      </c>
      <c r="K358" s="107">
        <f t="shared" si="10"/>
        <v>152923</v>
      </c>
      <c r="L358" s="56"/>
      <c r="M358" s="57">
        <v>9739</v>
      </c>
      <c r="N358" s="57">
        <v>0</v>
      </c>
      <c r="O358" s="56">
        <v>20459</v>
      </c>
      <c r="P358" s="107">
        <f t="shared" si="11"/>
        <v>30198</v>
      </c>
      <c r="Q358" s="56"/>
      <c r="R358" s="57">
        <v>115943</v>
      </c>
      <c r="S358" s="58">
        <v>-7001</v>
      </c>
      <c r="T358" s="58">
        <v>108942</v>
      </c>
    </row>
    <row r="359" spans="1:20">
      <c r="A359" s="54">
        <v>93641</v>
      </c>
      <c r="B359" s="55" t="s">
        <v>1736</v>
      </c>
      <c r="C359" s="106">
        <v>4.0450000000000002E-4</v>
      </c>
      <c r="D359" s="106">
        <v>4.3550000000000001E-4</v>
      </c>
      <c r="E359" s="56">
        <v>617964</v>
      </c>
      <c r="F359" s="56"/>
      <c r="G359" s="57">
        <v>35600</v>
      </c>
      <c r="H359" s="107">
        <v>150042</v>
      </c>
      <c r="I359" s="57">
        <v>88254</v>
      </c>
      <c r="J359" s="56">
        <v>14033</v>
      </c>
      <c r="K359" s="107">
        <f t="shared" si="10"/>
        <v>287929</v>
      </c>
      <c r="L359" s="56"/>
      <c r="M359" s="57">
        <v>17493</v>
      </c>
      <c r="N359" s="57">
        <v>0</v>
      </c>
      <c r="O359" s="56">
        <v>11062</v>
      </c>
      <c r="P359" s="107">
        <f t="shared" si="11"/>
        <v>28555</v>
      </c>
      <c r="Q359" s="56"/>
      <c r="R359" s="57">
        <v>208254</v>
      </c>
      <c r="S359" s="58">
        <v>4772</v>
      </c>
      <c r="T359" s="58">
        <v>213026</v>
      </c>
    </row>
    <row r="360" spans="1:20">
      <c r="A360" s="54">
        <v>93647</v>
      </c>
      <c r="B360" s="55" t="s">
        <v>1737</v>
      </c>
      <c r="C360" s="106">
        <v>6.0000000000000002E-6</v>
      </c>
      <c r="D360" s="106">
        <v>6.1E-6</v>
      </c>
      <c r="E360" s="56">
        <v>9166</v>
      </c>
      <c r="F360" s="56"/>
      <c r="G360" s="57">
        <v>528</v>
      </c>
      <c r="H360" s="107">
        <v>2226</v>
      </c>
      <c r="I360" s="57">
        <v>1309</v>
      </c>
      <c r="J360" s="56">
        <v>12039</v>
      </c>
      <c r="K360" s="107">
        <f t="shared" si="10"/>
        <v>16102</v>
      </c>
      <c r="L360" s="56"/>
      <c r="M360" s="57">
        <v>259</v>
      </c>
      <c r="N360" s="57">
        <v>0</v>
      </c>
      <c r="O360" s="56">
        <v>0</v>
      </c>
      <c r="P360" s="107">
        <f t="shared" si="11"/>
        <v>259</v>
      </c>
      <c r="Q360" s="56"/>
      <c r="R360" s="57">
        <v>3089</v>
      </c>
      <c r="S360" s="58">
        <v>4642</v>
      </c>
      <c r="T360" s="58">
        <v>7731</v>
      </c>
    </row>
    <row r="361" spans="1:20">
      <c r="A361" s="54">
        <v>93651</v>
      </c>
      <c r="B361" s="55" t="s">
        <v>1738</v>
      </c>
      <c r="C361" s="106">
        <v>4.3800000000000002E-4</v>
      </c>
      <c r="D361" s="106">
        <v>4.282E-4</v>
      </c>
      <c r="E361" s="56">
        <v>669143</v>
      </c>
      <c r="F361" s="56"/>
      <c r="G361" s="57">
        <v>38549</v>
      </c>
      <c r="H361" s="107">
        <v>162468</v>
      </c>
      <c r="I361" s="57">
        <v>95563</v>
      </c>
      <c r="J361" s="56">
        <v>5830</v>
      </c>
      <c r="K361" s="107">
        <f t="shared" si="10"/>
        <v>302410</v>
      </c>
      <c r="L361" s="56"/>
      <c r="M361" s="57">
        <v>18941</v>
      </c>
      <c r="N361" s="57">
        <v>0</v>
      </c>
      <c r="O361" s="56">
        <v>13910</v>
      </c>
      <c r="P361" s="107">
        <f t="shared" si="11"/>
        <v>32851</v>
      </c>
      <c r="Q361" s="56"/>
      <c r="R361" s="57">
        <v>225502</v>
      </c>
      <c r="S361" s="58">
        <v>-1521</v>
      </c>
      <c r="T361" s="58">
        <f>223980+1</f>
        <v>223981</v>
      </c>
    </row>
    <row r="362" spans="1:20">
      <c r="A362" s="54">
        <v>93661</v>
      </c>
      <c r="B362" s="55" t="s">
        <v>1739</v>
      </c>
      <c r="C362" s="106">
        <v>1.3410000000000001E-4</v>
      </c>
      <c r="D362" s="106">
        <v>1.3420000000000001E-4</v>
      </c>
      <c r="E362" s="56">
        <v>204868</v>
      </c>
      <c r="F362" s="56"/>
      <c r="G362" s="57">
        <v>11802</v>
      </c>
      <c r="H362" s="107">
        <v>49742</v>
      </c>
      <c r="I362" s="57">
        <v>29258</v>
      </c>
      <c r="J362" s="56">
        <v>11769</v>
      </c>
      <c r="K362" s="107">
        <f t="shared" si="10"/>
        <v>102571</v>
      </c>
      <c r="L362" s="56"/>
      <c r="M362" s="57">
        <v>5799</v>
      </c>
      <c r="N362" s="57">
        <v>0</v>
      </c>
      <c r="O362" s="56">
        <v>0</v>
      </c>
      <c r="P362" s="107">
        <f t="shared" si="11"/>
        <v>5799</v>
      </c>
      <c r="Q362" s="56"/>
      <c r="R362" s="57">
        <v>69041</v>
      </c>
      <c r="S362" s="58">
        <v>4842</v>
      </c>
      <c r="T362" s="58">
        <v>73883</v>
      </c>
    </row>
    <row r="363" spans="1:20">
      <c r="A363" s="54">
        <v>93671</v>
      </c>
      <c r="B363" s="55" t="s">
        <v>1740</v>
      </c>
      <c r="C363" s="106">
        <v>3.5530000000000002E-4</v>
      </c>
      <c r="D363" s="106">
        <v>3.6900000000000002E-4</v>
      </c>
      <c r="E363" s="56">
        <v>542800</v>
      </c>
      <c r="F363" s="56"/>
      <c r="G363" s="57">
        <v>31270</v>
      </c>
      <c r="H363" s="107">
        <v>131793</v>
      </c>
      <c r="I363" s="57">
        <v>77519</v>
      </c>
      <c r="J363" s="56">
        <v>38666</v>
      </c>
      <c r="K363" s="107">
        <f t="shared" si="10"/>
        <v>279248</v>
      </c>
      <c r="L363" s="56"/>
      <c r="M363" s="57">
        <v>15365</v>
      </c>
      <c r="N363" s="57">
        <v>0</v>
      </c>
      <c r="O363" s="56">
        <v>2899</v>
      </c>
      <c r="P363" s="107">
        <f t="shared" si="11"/>
        <v>18264</v>
      </c>
      <c r="Q363" s="56"/>
      <c r="R363" s="57">
        <v>182924</v>
      </c>
      <c r="S363" s="58">
        <v>28467</v>
      </c>
      <c r="T363" s="58">
        <v>211391</v>
      </c>
    </row>
    <row r="364" spans="1:20">
      <c r="A364" s="54">
        <v>93677</v>
      </c>
      <c r="B364" s="55" t="s">
        <v>364</v>
      </c>
      <c r="C364" s="106">
        <v>0</v>
      </c>
      <c r="D364" s="106">
        <v>0</v>
      </c>
      <c r="E364" s="56">
        <v>0</v>
      </c>
      <c r="F364" s="56"/>
      <c r="G364" s="57">
        <v>0</v>
      </c>
      <c r="H364" s="107">
        <v>0</v>
      </c>
      <c r="I364" s="57">
        <v>0</v>
      </c>
      <c r="J364" s="56">
        <v>0</v>
      </c>
      <c r="K364" s="107">
        <f t="shared" si="10"/>
        <v>0</v>
      </c>
      <c r="L364" s="56"/>
      <c r="M364" s="57">
        <v>0</v>
      </c>
      <c r="N364" s="57">
        <v>0</v>
      </c>
      <c r="O364" s="56">
        <v>718</v>
      </c>
      <c r="P364" s="107">
        <f t="shared" si="11"/>
        <v>718</v>
      </c>
      <c r="Q364" s="56"/>
      <c r="R364" s="57">
        <v>0</v>
      </c>
      <c r="S364" s="58">
        <v>-725</v>
      </c>
      <c r="T364" s="58">
        <v>-725</v>
      </c>
    </row>
    <row r="365" spans="1:20">
      <c r="A365" s="54">
        <v>93681</v>
      </c>
      <c r="B365" s="55" t="s">
        <v>1741</v>
      </c>
      <c r="C365" s="106">
        <v>1.1179999999999999E-4</v>
      </c>
      <c r="D365" s="106">
        <v>1.1010000000000001E-4</v>
      </c>
      <c r="E365" s="56">
        <v>170799</v>
      </c>
      <c r="F365" s="56"/>
      <c r="G365" s="57">
        <v>9840</v>
      </c>
      <c r="H365" s="107">
        <v>41470</v>
      </c>
      <c r="I365" s="57">
        <v>24393</v>
      </c>
      <c r="J365" s="56">
        <v>264</v>
      </c>
      <c r="K365" s="107">
        <f t="shared" si="10"/>
        <v>75967</v>
      </c>
      <c r="L365" s="56"/>
      <c r="M365" s="57">
        <v>4835</v>
      </c>
      <c r="N365" s="57">
        <v>0</v>
      </c>
      <c r="O365" s="56">
        <v>12629</v>
      </c>
      <c r="P365" s="107">
        <f t="shared" si="11"/>
        <v>17464</v>
      </c>
      <c r="Q365" s="56"/>
      <c r="R365" s="57">
        <v>57560</v>
      </c>
      <c r="S365" s="58">
        <v>-6498</v>
      </c>
      <c r="T365" s="58">
        <f>51061+1</f>
        <v>51062</v>
      </c>
    </row>
    <row r="366" spans="1:20">
      <c r="A366" s="54">
        <v>93691</v>
      </c>
      <c r="B366" s="55" t="s">
        <v>1742</v>
      </c>
      <c r="C366" s="106">
        <v>1.0858E-3</v>
      </c>
      <c r="D366" s="106">
        <v>1.1251E-3</v>
      </c>
      <c r="E366" s="56">
        <v>1658802</v>
      </c>
      <c r="F366" s="56"/>
      <c r="G366" s="57">
        <v>95562</v>
      </c>
      <c r="H366" s="107">
        <v>402759</v>
      </c>
      <c r="I366" s="57">
        <v>236900</v>
      </c>
      <c r="J366" s="56">
        <v>0</v>
      </c>
      <c r="K366" s="107">
        <f t="shared" si="10"/>
        <v>735221</v>
      </c>
      <c r="L366" s="56"/>
      <c r="M366" s="57">
        <v>46955</v>
      </c>
      <c r="N366" s="57">
        <v>0</v>
      </c>
      <c r="O366" s="56">
        <v>115438</v>
      </c>
      <c r="P366" s="107">
        <f t="shared" si="11"/>
        <v>162393</v>
      </c>
      <c r="Q366" s="56"/>
      <c r="R366" s="57">
        <v>559018</v>
      </c>
      <c r="S366" s="58">
        <v>-42411</v>
      </c>
      <c r="T366" s="58">
        <v>516607</v>
      </c>
    </row>
    <row r="367" spans="1:20">
      <c r="A367" s="54">
        <v>93701</v>
      </c>
      <c r="B367" s="55" t="s">
        <v>1743</v>
      </c>
      <c r="C367" s="106">
        <v>4.5800000000000002E-4</v>
      </c>
      <c r="D367" s="106">
        <v>4.6200000000000001E-4</v>
      </c>
      <c r="E367" s="56">
        <v>699697</v>
      </c>
      <c r="F367" s="56"/>
      <c r="G367" s="57">
        <v>40309</v>
      </c>
      <c r="H367" s="107">
        <v>169888</v>
      </c>
      <c r="I367" s="57">
        <v>99926</v>
      </c>
      <c r="J367" s="56">
        <v>7923</v>
      </c>
      <c r="K367" s="107">
        <f t="shared" si="10"/>
        <v>318046</v>
      </c>
      <c r="L367" s="56"/>
      <c r="M367" s="57">
        <v>19806</v>
      </c>
      <c r="N367" s="57">
        <v>0</v>
      </c>
      <c r="O367" s="56">
        <v>17631</v>
      </c>
      <c r="P367" s="107">
        <f t="shared" si="11"/>
        <v>37437</v>
      </c>
      <c r="Q367" s="56"/>
      <c r="R367" s="57">
        <v>235799</v>
      </c>
      <c r="S367" s="58">
        <v>566</v>
      </c>
      <c r="T367" s="58">
        <v>236365</v>
      </c>
    </row>
    <row r="368" spans="1:20">
      <c r="A368" s="54">
        <v>93704</v>
      </c>
      <c r="B368" s="55" t="s">
        <v>1744</v>
      </c>
      <c r="C368" s="106">
        <v>3.0000000000000001E-6</v>
      </c>
      <c r="D368" s="106">
        <v>3.3000000000000002E-6</v>
      </c>
      <c r="E368" s="56">
        <v>4583</v>
      </c>
      <c r="F368" s="56"/>
      <c r="G368" s="57">
        <v>264</v>
      </c>
      <c r="H368" s="107">
        <v>1113</v>
      </c>
      <c r="I368" s="57">
        <v>655</v>
      </c>
      <c r="J368" s="56">
        <v>578</v>
      </c>
      <c r="K368" s="107">
        <f t="shared" si="10"/>
        <v>2610</v>
      </c>
      <c r="L368" s="56"/>
      <c r="M368" s="57">
        <v>130</v>
      </c>
      <c r="N368" s="57">
        <v>0</v>
      </c>
      <c r="O368" s="56">
        <v>49</v>
      </c>
      <c r="P368" s="107">
        <f t="shared" si="11"/>
        <v>179</v>
      </c>
      <c r="Q368" s="56"/>
      <c r="R368" s="57">
        <v>1545</v>
      </c>
      <c r="S368" s="58">
        <v>136</v>
      </c>
      <c r="T368" s="58">
        <v>1681</v>
      </c>
    </row>
    <row r="369" spans="1:20">
      <c r="A369" s="54">
        <v>93801</v>
      </c>
      <c r="B369" s="55" t="s">
        <v>1745</v>
      </c>
      <c r="C369" s="106">
        <v>4.7889999999999999E-4</v>
      </c>
      <c r="D369" s="106">
        <v>5.4180000000000005E-4</v>
      </c>
      <c r="E369" s="56">
        <v>731627</v>
      </c>
      <c r="F369" s="56"/>
      <c r="G369" s="57">
        <v>42148</v>
      </c>
      <c r="H369" s="107">
        <v>177639</v>
      </c>
      <c r="I369" s="57">
        <v>104486</v>
      </c>
      <c r="J369" s="56">
        <v>113630</v>
      </c>
      <c r="K369" s="107">
        <f t="shared" si="10"/>
        <v>437903</v>
      </c>
      <c r="L369" s="56"/>
      <c r="M369" s="57">
        <v>20710</v>
      </c>
      <c r="N369" s="57">
        <v>0</v>
      </c>
      <c r="O369" s="56">
        <v>54734</v>
      </c>
      <c r="P369" s="107">
        <f t="shared" si="11"/>
        <v>75444</v>
      </c>
      <c r="Q369" s="56"/>
      <c r="R369" s="57">
        <v>246559</v>
      </c>
      <c r="S369" s="58">
        <v>28052</v>
      </c>
      <c r="T369" s="58">
        <v>274611</v>
      </c>
    </row>
    <row r="370" spans="1:20">
      <c r="A370" s="54">
        <v>93803</v>
      </c>
      <c r="B370" s="55" t="s">
        <v>1746</v>
      </c>
      <c r="C370" s="106">
        <v>1.1900000000000001E-4</v>
      </c>
      <c r="D370" s="106">
        <v>1.4469999999999999E-4</v>
      </c>
      <c r="E370" s="56">
        <v>181799</v>
      </c>
      <c r="F370" s="56"/>
      <c r="G370" s="57">
        <v>10473</v>
      </c>
      <c r="H370" s="107">
        <v>44141</v>
      </c>
      <c r="I370" s="57">
        <v>25963</v>
      </c>
      <c r="J370" s="56">
        <v>0</v>
      </c>
      <c r="K370" s="107">
        <f t="shared" si="10"/>
        <v>80577</v>
      </c>
      <c r="L370" s="56"/>
      <c r="M370" s="57">
        <v>5146</v>
      </c>
      <c r="N370" s="57">
        <v>0</v>
      </c>
      <c r="O370" s="56">
        <v>42594</v>
      </c>
      <c r="P370" s="107">
        <f t="shared" si="11"/>
        <v>47740</v>
      </c>
      <c r="Q370" s="56"/>
      <c r="R370" s="57">
        <v>61266</v>
      </c>
      <c r="S370" s="58">
        <v>-17510</v>
      </c>
      <c r="T370" s="58">
        <v>43756</v>
      </c>
    </row>
    <row r="371" spans="1:20">
      <c r="A371" s="54">
        <v>93806</v>
      </c>
      <c r="B371" s="55" t="s">
        <v>1747</v>
      </c>
      <c r="C371" s="106">
        <v>9.3900000000000006E-5</v>
      </c>
      <c r="D371" s="106">
        <v>7.3700000000000002E-5</v>
      </c>
      <c r="E371" s="56">
        <v>143453</v>
      </c>
      <c r="F371" s="56"/>
      <c r="G371" s="57">
        <v>8264</v>
      </c>
      <c r="H371" s="107">
        <v>34831</v>
      </c>
      <c r="I371" s="57">
        <v>20487</v>
      </c>
      <c r="J371" s="56">
        <v>13283</v>
      </c>
      <c r="K371" s="107">
        <f t="shared" si="10"/>
        <v>76865</v>
      </c>
      <c r="L371" s="56"/>
      <c r="M371" s="57">
        <v>4061</v>
      </c>
      <c r="N371" s="57">
        <v>0</v>
      </c>
      <c r="O371" s="56">
        <v>10049</v>
      </c>
      <c r="P371" s="107">
        <f t="shared" si="11"/>
        <v>14110</v>
      </c>
      <c r="Q371" s="56"/>
      <c r="R371" s="57">
        <v>48344</v>
      </c>
      <c r="S371" s="58">
        <v>-6121</v>
      </c>
      <c r="T371" s="58">
        <v>42223</v>
      </c>
    </row>
    <row r="372" spans="1:20">
      <c r="A372" s="54">
        <v>93821</v>
      </c>
      <c r="B372" s="55" t="s">
        <v>1748</v>
      </c>
      <c r="C372" s="106">
        <v>2.9899999999999998E-5</v>
      </c>
      <c r="D372" s="106">
        <v>5.7200000000000001E-5</v>
      </c>
      <c r="E372" s="56">
        <v>45679</v>
      </c>
      <c r="F372" s="56"/>
      <c r="G372" s="57">
        <v>2632</v>
      </c>
      <c r="H372" s="107">
        <v>11090</v>
      </c>
      <c r="I372" s="57">
        <v>6524</v>
      </c>
      <c r="J372" s="56">
        <v>18424</v>
      </c>
      <c r="K372" s="107">
        <f t="shared" si="10"/>
        <v>38670</v>
      </c>
      <c r="L372" s="56"/>
      <c r="M372" s="57">
        <v>1293</v>
      </c>
      <c r="N372" s="57">
        <v>0</v>
      </c>
      <c r="O372" s="56">
        <v>343</v>
      </c>
      <c r="P372" s="107">
        <f t="shared" si="11"/>
        <v>1636</v>
      </c>
      <c r="Q372" s="56"/>
      <c r="R372" s="57">
        <v>15394</v>
      </c>
      <c r="S372" s="58">
        <v>7633</v>
      </c>
      <c r="T372" s="58">
        <f>23026+1</f>
        <v>23027</v>
      </c>
    </row>
    <row r="373" spans="1:20">
      <c r="A373" s="54">
        <v>93901</v>
      </c>
      <c r="B373" s="55" t="s">
        <v>1749</v>
      </c>
      <c r="C373" s="106">
        <v>1.7974E-3</v>
      </c>
      <c r="D373" s="106">
        <v>1.8059E-3</v>
      </c>
      <c r="E373" s="56">
        <v>2745929</v>
      </c>
      <c r="F373" s="56"/>
      <c r="G373" s="57">
        <v>158191</v>
      </c>
      <c r="H373" s="107">
        <v>666715</v>
      </c>
      <c r="I373" s="57">
        <v>392157</v>
      </c>
      <c r="J373" s="56">
        <v>89069</v>
      </c>
      <c r="K373" s="107">
        <f t="shared" si="10"/>
        <v>1306132</v>
      </c>
      <c r="L373" s="56"/>
      <c r="M373" s="57">
        <v>77729</v>
      </c>
      <c r="N373" s="57">
        <v>0</v>
      </c>
      <c r="O373" s="56">
        <v>0</v>
      </c>
      <c r="P373" s="107">
        <f t="shared" si="11"/>
        <v>77729</v>
      </c>
      <c r="Q373" s="56"/>
      <c r="R373" s="57">
        <v>925381</v>
      </c>
      <c r="S373" s="58">
        <v>32657</v>
      </c>
      <c r="T373" s="58">
        <v>958038</v>
      </c>
    </row>
    <row r="374" spans="1:20">
      <c r="A374" s="54">
        <v>93904</v>
      </c>
      <c r="B374" s="55" t="s">
        <v>1750</v>
      </c>
      <c r="C374" s="106">
        <v>3.0000000000000001E-5</v>
      </c>
      <c r="D374" s="106">
        <v>2.4700000000000001E-5</v>
      </c>
      <c r="E374" s="56">
        <v>45832</v>
      </c>
      <c r="F374" s="56"/>
      <c r="G374" s="57">
        <v>2640</v>
      </c>
      <c r="H374" s="107">
        <v>11128</v>
      </c>
      <c r="I374" s="57">
        <v>6545</v>
      </c>
      <c r="J374" s="56">
        <v>9710</v>
      </c>
      <c r="K374" s="107">
        <f t="shared" si="10"/>
        <v>30023</v>
      </c>
      <c r="L374" s="56"/>
      <c r="M374" s="57">
        <v>1297</v>
      </c>
      <c r="N374" s="57">
        <v>0</v>
      </c>
      <c r="O374" s="56">
        <v>28</v>
      </c>
      <c r="P374" s="107">
        <f t="shared" si="11"/>
        <v>1325</v>
      </c>
      <c r="Q374" s="56"/>
      <c r="R374" s="57">
        <v>15445</v>
      </c>
      <c r="S374" s="58">
        <v>3144</v>
      </c>
      <c r="T374" s="58">
        <v>18589</v>
      </c>
    </row>
    <row r="375" spans="1:20">
      <c r="A375" s="54">
        <v>93906</v>
      </c>
      <c r="B375" s="55" t="s">
        <v>1751</v>
      </c>
      <c r="C375" s="106">
        <v>3.3882000000000001E-3</v>
      </c>
      <c r="D375" s="106">
        <v>3.4513E-3</v>
      </c>
      <c r="E375" s="56">
        <v>5176231</v>
      </c>
      <c r="F375" s="56"/>
      <c r="G375" s="57">
        <v>298199</v>
      </c>
      <c r="H375" s="107">
        <v>1256796</v>
      </c>
      <c r="I375" s="57">
        <v>739237</v>
      </c>
      <c r="J375" s="56">
        <v>14983</v>
      </c>
      <c r="K375" s="107">
        <f t="shared" si="10"/>
        <v>2309215</v>
      </c>
      <c r="L375" s="56"/>
      <c r="M375" s="57">
        <v>146523</v>
      </c>
      <c r="N375" s="57">
        <v>0</v>
      </c>
      <c r="O375" s="56">
        <v>222323</v>
      </c>
      <c r="P375" s="107">
        <f t="shared" si="11"/>
        <v>368846</v>
      </c>
      <c r="Q375" s="56"/>
      <c r="R375" s="57">
        <v>1744394</v>
      </c>
      <c r="S375" s="58">
        <v>-70525</v>
      </c>
      <c r="T375" s="58">
        <v>1673869</v>
      </c>
    </row>
    <row r="376" spans="1:20">
      <c r="A376" s="54">
        <v>93908</v>
      </c>
      <c r="B376" s="55" t="s">
        <v>1752</v>
      </c>
      <c r="C376" s="106">
        <v>5.1219999999999998E-4</v>
      </c>
      <c r="D376" s="106">
        <v>5.0239999999999996E-4</v>
      </c>
      <c r="E376" s="56">
        <v>782500</v>
      </c>
      <c r="F376" s="56"/>
      <c r="G376" s="57">
        <v>45079</v>
      </c>
      <c r="H376" s="107">
        <v>189992</v>
      </c>
      <c r="I376" s="57">
        <v>111752</v>
      </c>
      <c r="J376" s="56">
        <v>12340</v>
      </c>
      <c r="K376" s="107">
        <f t="shared" si="10"/>
        <v>359163</v>
      </c>
      <c r="L376" s="56"/>
      <c r="M376" s="57">
        <v>22150</v>
      </c>
      <c r="N376" s="57">
        <v>0</v>
      </c>
      <c r="O376" s="56">
        <v>16479</v>
      </c>
      <c r="P376" s="107">
        <f t="shared" si="11"/>
        <v>38629</v>
      </c>
      <c r="Q376" s="56"/>
      <c r="R376" s="57">
        <v>263703</v>
      </c>
      <c r="S376" s="58">
        <v>-2302</v>
      </c>
      <c r="T376" s="58">
        <v>261401</v>
      </c>
    </row>
    <row r="377" spans="1:20">
      <c r="A377" s="54">
        <v>93910</v>
      </c>
      <c r="B377" s="55" t="s">
        <v>1753</v>
      </c>
      <c r="C377" s="106">
        <v>2.786E-4</v>
      </c>
      <c r="D377" s="106">
        <v>2.9129999999999998E-4</v>
      </c>
      <c r="E377" s="56">
        <v>425624</v>
      </c>
      <c r="F377" s="56"/>
      <c r="G377" s="57">
        <v>24520</v>
      </c>
      <c r="H377" s="107">
        <v>103342</v>
      </c>
      <c r="I377" s="57">
        <v>60785</v>
      </c>
      <c r="J377" s="56">
        <v>0</v>
      </c>
      <c r="K377" s="107">
        <f t="shared" si="10"/>
        <v>188647</v>
      </c>
      <c r="L377" s="56"/>
      <c r="M377" s="57">
        <v>12048</v>
      </c>
      <c r="N377" s="57">
        <v>0</v>
      </c>
      <c r="O377" s="56">
        <v>34002</v>
      </c>
      <c r="P377" s="107">
        <f t="shared" si="11"/>
        <v>46050</v>
      </c>
      <c r="Q377" s="56"/>
      <c r="R377" s="57">
        <v>143436</v>
      </c>
      <c r="S377" s="58">
        <v>-14513</v>
      </c>
      <c r="T377" s="58">
        <v>128923</v>
      </c>
    </row>
    <row r="378" spans="1:20">
      <c r="A378" s="54">
        <v>93911</v>
      </c>
      <c r="B378" s="55" t="s">
        <v>1754</v>
      </c>
      <c r="C378" s="106">
        <v>6.3429999999999997E-4</v>
      </c>
      <c r="D378" s="106">
        <v>6.9890000000000002E-4</v>
      </c>
      <c r="E378" s="56">
        <v>969035</v>
      </c>
      <c r="F378" s="56"/>
      <c r="G378" s="57">
        <v>55825</v>
      </c>
      <c r="H378" s="107">
        <v>235283</v>
      </c>
      <c r="I378" s="57">
        <v>138392</v>
      </c>
      <c r="J378" s="56">
        <v>13175</v>
      </c>
      <c r="K378" s="107">
        <f t="shared" si="10"/>
        <v>442675</v>
      </c>
      <c r="L378" s="56"/>
      <c r="M378" s="57">
        <v>27430</v>
      </c>
      <c r="N378" s="57">
        <v>0</v>
      </c>
      <c r="O378" s="56">
        <v>54353</v>
      </c>
      <c r="P378" s="107">
        <f t="shared" si="11"/>
        <v>81783</v>
      </c>
      <c r="Q378" s="56"/>
      <c r="R378" s="57">
        <v>326566</v>
      </c>
      <c r="S378" s="58">
        <v>-6922</v>
      </c>
      <c r="T378" s="58">
        <v>319644</v>
      </c>
    </row>
    <row r="379" spans="1:20">
      <c r="A379" s="54">
        <v>93913</v>
      </c>
      <c r="B379" s="55" t="s">
        <v>1755</v>
      </c>
      <c r="C379" s="106">
        <v>5.8799999999999999E-5</v>
      </c>
      <c r="D379" s="106">
        <v>6.2600000000000004E-5</v>
      </c>
      <c r="E379" s="56">
        <v>89830</v>
      </c>
      <c r="F379" s="56"/>
      <c r="G379" s="57">
        <v>5175</v>
      </c>
      <c r="H379" s="107">
        <v>21810</v>
      </c>
      <c r="I379" s="57">
        <v>12829</v>
      </c>
      <c r="J379" s="56">
        <v>2902</v>
      </c>
      <c r="K379" s="107">
        <f t="shared" si="10"/>
        <v>42716</v>
      </c>
      <c r="L379" s="56"/>
      <c r="M379" s="57">
        <v>2543</v>
      </c>
      <c r="N379" s="57">
        <v>0</v>
      </c>
      <c r="O379" s="56">
        <v>1064</v>
      </c>
      <c r="P379" s="107">
        <f t="shared" si="11"/>
        <v>3607</v>
      </c>
      <c r="Q379" s="56"/>
      <c r="R379" s="57">
        <v>30273</v>
      </c>
      <c r="S379" s="58">
        <v>476</v>
      </c>
      <c r="T379" s="58">
        <v>30749</v>
      </c>
    </row>
    <row r="380" spans="1:20">
      <c r="A380" s="54">
        <v>93914</v>
      </c>
      <c r="B380" s="55" t="s">
        <v>1756</v>
      </c>
      <c r="C380" s="106">
        <v>8.1000000000000004E-6</v>
      </c>
      <c r="D380" s="106">
        <v>9.0999999999999993E-6</v>
      </c>
      <c r="E380" s="56">
        <v>12375</v>
      </c>
      <c r="F380" s="56"/>
      <c r="G380" s="57">
        <v>713</v>
      </c>
      <c r="H380" s="107">
        <v>3005</v>
      </c>
      <c r="I380" s="57">
        <v>1767</v>
      </c>
      <c r="J380" s="56">
        <v>3568</v>
      </c>
      <c r="K380" s="107">
        <f t="shared" si="10"/>
        <v>9053</v>
      </c>
      <c r="L380" s="56"/>
      <c r="M380" s="57">
        <v>350</v>
      </c>
      <c r="N380" s="57">
        <v>0</v>
      </c>
      <c r="O380" s="56">
        <v>0</v>
      </c>
      <c r="P380" s="107">
        <f t="shared" si="11"/>
        <v>350</v>
      </c>
      <c r="Q380" s="56"/>
      <c r="R380" s="57">
        <v>4170</v>
      </c>
      <c r="S380" s="58">
        <v>1520</v>
      </c>
      <c r="T380" s="58">
        <v>5690</v>
      </c>
    </row>
    <row r="381" spans="1:20">
      <c r="A381" s="54">
        <v>93921</v>
      </c>
      <c r="B381" s="55" t="s">
        <v>1757</v>
      </c>
      <c r="C381" s="106">
        <v>2.9020000000000001E-4</v>
      </c>
      <c r="D381" s="106">
        <v>2.7139999999999998E-4</v>
      </c>
      <c r="E381" s="56">
        <v>443345</v>
      </c>
      <c r="F381" s="56"/>
      <c r="G381" s="57">
        <v>25541</v>
      </c>
      <c r="H381" s="107">
        <v>107645</v>
      </c>
      <c r="I381" s="57">
        <v>63316</v>
      </c>
      <c r="J381" s="56">
        <v>16222</v>
      </c>
      <c r="K381" s="107">
        <f t="shared" si="10"/>
        <v>212724</v>
      </c>
      <c r="L381" s="56"/>
      <c r="M381" s="57">
        <v>12550</v>
      </c>
      <c r="N381" s="57">
        <v>0</v>
      </c>
      <c r="O381" s="56">
        <v>5036</v>
      </c>
      <c r="P381" s="107">
        <f t="shared" si="11"/>
        <v>17586</v>
      </c>
      <c r="Q381" s="56"/>
      <c r="R381" s="57">
        <v>149408</v>
      </c>
      <c r="S381" s="58">
        <v>6326</v>
      </c>
      <c r="T381" s="58">
        <v>155734</v>
      </c>
    </row>
    <row r="382" spans="1:20">
      <c r="A382" s="54">
        <v>93931</v>
      </c>
      <c r="B382" s="55" t="s">
        <v>1758</v>
      </c>
      <c r="C382" s="106">
        <v>5.0029999999999996E-4</v>
      </c>
      <c r="D382" s="106">
        <v>5.2260000000000002E-4</v>
      </c>
      <c r="E382" s="56">
        <v>764320</v>
      </c>
      <c r="F382" s="56"/>
      <c r="G382" s="57">
        <v>44032</v>
      </c>
      <c r="H382" s="107">
        <v>185578</v>
      </c>
      <c r="I382" s="57">
        <v>109155</v>
      </c>
      <c r="J382" s="56">
        <v>107572</v>
      </c>
      <c r="K382" s="107">
        <f t="shared" si="10"/>
        <v>446337</v>
      </c>
      <c r="L382" s="56"/>
      <c r="M382" s="57">
        <v>21635</v>
      </c>
      <c r="N382" s="57">
        <v>0</v>
      </c>
      <c r="O382" s="56">
        <v>39017</v>
      </c>
      <c r="P382" s="107">
        <f t="shared" si="11"/>
        <v>60652</v>
      </c>
      <c r="Q382" s="56"/>
      <c r="R382" s="57">
        <v>257576</v>
      </c>
      <c r="S382" s="58">
        <v>79129</v>
      </c>
      <c r="T382" s="58">
        <v>336705</v>
      </c>
    </row>
    <row r="383" spans="1:20">
      <c r="A383" s="54">
        <v>94001</v>
      </c>
      <c r="B383" s="55" t="s">
        <v>1759</v>
      </c>
      <c r="C383" s="106">
        <v>9.209E-4</v>
      </c>
      <c r="D383" s="106">
        <v>9.0240000000000003E-4</v>
      </c>
      <c r="E383" s="56">
        <v>1406880</v>
      </c>
      <c r="F383" s="56"/>
      <c r="G383" s="57">
        <v>81049</v>
      </c>
      <c r="H383" s="107">
        <v>341592</v>
      </c>
      <c r="I383" s="57">
        <v>200922</v>
      </c>
      <c r="J383" s="56">
        <v>45532</v>
      </c>
      <c r="K383" s="107">
        <f t="shared" si="10"/>
        <v>669095</v>
      </c>
      <c r="L383" s="56"/>
      <c r="M383" s="57">
        <v>39824</v>
      </c>
      <c r="N383" s="57">
        <v>0</v>
      </c>
      <c r="O383" s="56">
        <v>27168</v>
      </c>
      <c r="P383" s="107">
        <f t="shared" si="11"/>
        <v>66992</v>
      </c>
      <c r="Q383" s="56"/>
      <c r="R383" s="57">
        <v>474120</v>
      </c>
      <c r="S383" s="58">
        <v>-12411</v>
      </c>
      <c r="T383" s="58">
        <v>461709</v>
      </c>
    </row>
    <row r="384" spans="1:20">
      <c r="A384" s="54">
        <v>94002</v>
      </c>
      <c r="B384" s="55" t="s">
        <v>1760</v>
      </c>
      <c r="C384" s="106">
        <v>7.0999999999999998E-6</v>
      </c>
      <c r="D384" s="106">
        <v>7.6000000000000001E-6</v>
      </c>
      <c r="E384" s="56">
        <v>10847</v>
      </c>
      <c r="F384" s="56"/>
      <c r="G384" s="57">
        <v>625</v>
      </c>
      <c r="H384" s="107">
        <v>2633</v>
      </c>
      <c r="I384" s="57">
        <v>1549</v>
      </c>
      <c r="J384" s="56">
        <v>1428</v>
      </c>
      <c r="K384" s="107">
        <f t="shared" si="10"/>
        <v>6235</v>
      </c>
      <c r="L384" s="56"/>
      <c r="M384" s="57">
        <v>307</v>
      </c>
      <c r="N384" s="57">
        <v>0</v>
      </c>
      <c r="O384" s="56">
        <v>214</v>
      </c>
      <c r="P384" s="107">
        <f t="shared" si="11"/>
        <v>521</v>
      </c>
      <c r="Q384" s="56"/>
      <c r="R384" s="57">
        <v>3655</v>
      </c>
      <c r="S384" s="58">
        <v>237</v>
      </c>
      <c r="T384" s="58">
        <v>3892</v>
      </c>
    </row>
    <row r="385" spans="1:20">
      <c r="A385" s="54">
        <v>94004</v>
      </c>
      <c r="B385" s="55" t="s">
        <v>1761</v>
      </c>
      <c r="C385" s="106">
        <v>7.3000000000000004E-6</v>
      </c>
      <c r="D385" s="106">
        <v>2.7999999999999999E-6</v>
      </c>
      <c r="E385" s="56">
        <v>11152</v>
      </c>
      <c r="F385" s="56"/>
      <c r="G385" s="57">
        <v>642</v>
      </c>
      <c r="H385" s="107">
        <v>2708</v>
      </c>
      <c r="I385" s="57">
        <v>1593</v>
      </c>
      <c r="J385" s="56">
        <v>4768</v>
      </c>
      <c r="K385" s="107">
        <f t="shared" si="10"/>
        <v>9711</v>
      </c>
      <c r="L385" s="56"/>
      <c r="M385" s="57">
        <v>316</v>
      </c>
      <c r="N385" s="57">
        <v>0</v>
      </c>
      <c r="O385" s="56">
        <v>626</v>
      </c>
      <c r="P385" s="107">
        <f t="shared" si="11"/>
        <v>942</v>
      </c>
      <c r="Q385" s="56"/>
      <c r="R385" s="57">
        <v>3758</v>
      </c>
      <c r="S385" s="58">
        <v>706</v>
      </c>
      <c r="T385" s="58">
        <v>4464</v>
      </c>
    </row>
    <row r="386" spans="1:20">
      <c r="A386" s="54">
        <v>94005</v>
      </c>
      <c r="B386" s="55" t="s">
        <v>1762</v>
      </c>
      <c r="C386" s="106">
        <v>0</v>
      </c>
      <c r="D386" s="106">
        <v>5.4999999999999999E-6</v>
      </c>
      <c r="E386" s="56">
        <v>0</v>
      </c>
      <c r="F386" s="56"/>
      <c r="G386" s="57">
        <v>0</v>
      </c>
      <c r="H386" s="107">
        <v>0</v>
      </c>
      <c r="I386" s="57">
        <v>0</v>
      </c>
      <c r="J386" s="56">
        <v>0</v>
      </c>
      <c r="K386" s="107">
        <f t="shared" si="10"/>
        <v>0</v>
      </c>
      <c r="L386" s="56"/>
      <c r="M386" s="57">
        <v>0</v>
      </c>
      <c r="N386" s="57">
        <v>0</v>
      </c>
      <c r="O386" s="56">
        <v>5864</v>
      </c>
      <c r="P386" s="107">
        <f t="shared" si="11"/>
        <v>5864</v>
      </c>
      <c r="Q386" s="56"/>
      <c r="R386" s="57">
        <v>0</v>
      </c>
      <c r="S386" s="58">
        <v>-1984</v>
      </c>
      <c r="T386" s="58">
        <v>-1984</v>
      </c>
    </row>
    <row r="387" spans="1:20">
      <c r="A387" s="54">
        <v>94011</v>
      </c>
      <c r="B387" s="55" t="s">
        <v>1763</v>
      </c>
      <c r="C387" s="106">
        <v>2.3600000000000001E-5</v>
      </c>
      <c r="D387" s="106">
        <v>2.5599999999999999E-5</v>
      </c>
      <c r="E387" s="56">
        <v>36054</v>
      </c>
      <c r="F387" s="56"/>
      <c r="G387" s="57">
        <v>2077</v>
      </c>
      <c r="H387" s="107">
        <v>8754</v>
      </c>
      <c r="I387" s="57">
        <v>5149</v>
      </c>
      <c r="J387" s="56">
        <v>3216</v>
      </c>
      <c r="K387" s="107">
        <f t="shared" si="10"/>
        <v>19196</v>
      </c>
      <c r="L387" s="56"/>
      <c r="M387" s="57">
        <v>1021</v>
      </c>
      <c r="N387" s="57">
        <v>0</v>
      </c>
      <c r="O387" s="56">
        <v>3156</v>
      </c>
      <c r="P387" s="107">
        <f t="shared" si="11"/>
        <v>4177</v>
      </c>
      <c r="Q387" s="56"/>
      <c r="R387" s="57">
        <v>12150</v>
      </c>
      <c r="S387" s="58">
        <v>-16</v>
      </c>
      <c r="T387" s="58">
        <v>12134</v>
      </c>
    </row>
    <row r="388" spans="1:20">
      <c r="A388" s="54">
        <v>94021</v>
      </c>
      <c r="B388" s="55" t="s">
        <v>1764</v>
      </c>
      <c r="C388" s="106">
        <v>9.3399999999999993E-5</v>
      </c>
      <c r="D388" s="106">
        <v>8.1699999999999994E-5</v>
      </c>
      <c r="E388" s="56">
        <v>142689</v>
      </c>
      <c r="F388" s="56"/>
      <c r="G388" s="57">
        <v>8220</v>
      </c>
      <c r="H388" s="107">
        <v>34645</v>
      </c>
      <c r="I388" s="57">
        <v>20378</v>
      </c>
      <c r="J388" s="56">
        <v>20025</v>
      </c>
      <c r="K388" s="107">
        <f t="shared" si="10"/>
        <v>83268</v>
      </c>
      <c r="L388" s="56"/>
      <c r="M388" s="57">
        <v>4039</v>
      </c>
      <c r="N388" s="57">
        <v>0</v>
      </c>
      <c r="O388" s="56">
        <v>0</v>
      </c>
      <c r="P388" s="107">
        <f t="shared" si="11"/>
        <v>4039</v>
      </c>
      <c r="Q388" s="56"/>
      <c r="R388" s="57">
        <v>48086</v>
      </c>
      <c r="S388" s="58">
        <v>8567</v>
      </c>
      <c r="T388" s="58">
        <v>56653</v>
      </c>
    </row>
    <row r="389" spans="1:20">
      <c r="A389" s="54">
        <v>94031</v>
      </c>
      <c r="B389" s="55" t="s">
        <v>1765</v>
      </c>
      <c r="C389" s="106">
        <v>5.4E-6</v>
      </c>
      <c r="D389" s="106">
        <v>8.1000000000000004E-6</v>
      </c>
      <c r="E389" s="56">
        <v>8250</v>
      </c>
      <c r="F389" s="56"/>
      <c r="G389" s="57">
        <v>475</v>
      </c>
      <c r="H389" s="107">
        <v>2003</v>
      </c>
      <c r="I389" s="57">
        <v>1178</v>
      </c>
      <c r="J389" s="56">
        <v>7232</v>
      </c>
      <c r="K389" s="107">
        <f t="shared" si="10"/>
        <v>10888</v>
      </c>
      <c r="L389" s="56"/>
      <c r="M389" s="57">
        <v>234</v>
      </c>
      <c r="N389" s="57">
        <v>0</v>
      </c>
      <c r="O389" s="56">
        <v>41</v>
      </c>
      <c r="P389" s="107">
        <f t="shared" si="11"/>
        <v>275</v>
      </c>
      <c r="Q389" s="56"/>
      <c r="R389" s="57">
        <v>2780</v>
      </c>
      <c r="S389" s="58">
        <v>2829</v>
      </c>
      <c r="T389" s="58">
        <v>5609</v>
      </c>
    </row>
    <row r="390" spans="1:20">
      <c r="A390" s="54">
        <v>94101</v>
      </c>
      <c r="B390" s="55" t="s">
        <v>1766</v>
      </c>
      <c r="C390" s="106">
        <v>1.8321799999999999E-2</v>
      </c>
      <c r="D390" s="106">
        <v>1.85028E-2</v>
      </c>
      <c r="E390" s="56">
        <v>27990635</v>
      </c>
      <c r="F390" s="56"/>
      <c r="G390" s="57">
        <v>1612520</v>
      </c>
      <c r="H390" s="107">
        <v>6796161</v>
      </c>
      <c r="I390" s="57">
        <v>3997450</v>
      </c>
      <c r="J390" s="56">
        <v>271577</v>
      </c>
      <c r="K390" s="107">
        <f t="shared" si="10"/>
        <v>12677708</v>
      </c>
      <c r="L390" s="56"/>
      <c r="M390" s="57">
        <v>792326</v>
      </c>
      <c r="N390" s="57">
        <v>0</v>
      </c>
      <c r="O390" s="56">
        <v>721969</v>
      </c>
      <c r="P390" s="107">
        <f t="shared" si="11"/>
        <v>1514295</v>
      </c>
      <c r="Q390" s="56"/>
      <c r="R390" s="57">
        <v>9432869</v>
      </c>
      <c r="S390" s="58">
        <v>-270678</v>
      </c>
      <c r="T390" s="58">
        <v>9162191</v>
      </c>
    </row>
    <row r="391" spans="1:20">
      <c r="A391" s="54">
        <v>94102</v>
      </c>
      <c r="B391" s="55" t="s">
        <v>1767</v>
      </c>
      <c r="C391" s="106">
        <v>2.965E-4</v>
      </c>
      <c r="D391" s="106">
        <v>2.7569999999999998E-4</v>
      </c>
      <c r="E391" s="56">
        <v>452970</v>
      </c>
      <c r="F391" s="56"/>
      <c r="G391" s="57">
        <v>26095</v>
      </c>
      <c r="H391" s="107">
        <v>109981</v>
      </c>
      <c r="I391" s="57">
        <v>64690</v>
      </c>
      <c r="J391" s="56">
        <v>2570</v>
      </c>
      <c r="K391" s="107">
        <f t="shared" ref="K391:K454" si="12">G391+H391+I391+J391</f>
        <v>203336</v>
      </c>
      <c r="L391" s="56"/>
      <c r="M391" s="57">
        <v>12822</v>
      </c>
      <c r="N391" s="57">
        <v>0</v>
      </c>
      <c r="O391" s="56">
        <v>36856</v>
      </c>
      <c r="P391" s="107">
        <f t="shared" ref="P391:P454" si="13">M391+N391+O391</f>
        <v>49678</v>
      </c>
      <c r="Q391" s="56"/>
      <c r="R391" s="57">
        <v>152651</v>
      </c>
      <c r="S391" s="58">
        <v>-11311</v>
      </c>
      <c r="T391" s="58">
        <v>141340</v>
      </c>
    </row>
    <row r="392" spans="1:20">
      <c r="A392" s="54">
        <v>94108</v>
      </c>
      <c r="B392" s="55" t="s">
        <v>1768</v>
      </c>
      <c r="C392" s="106">
        <v>3.1389999999999999E-4</v>
      </c>
      <c r="D392" s="106">
        <v>3.1809999999999998E-4</v>
      </c>
      <c r="E392" s="56">
        <v>479552</v>
      </c>
      <c r="F392" s="56"/>
      <c r="G392" s="57">
        <v>27627</v>
      </c>
      <c r="H392" s="107">
        <v>116436</v>
      </c>
      <c r="I392" s="57">
        <v>68487</v>
      </c>
      <c r="J392" s="56">
        <v>0</v>
      </c>
      <c r="K392" s="107">
        <f t="shared" si="12"/>
        <v>212550</v>
      </c>
      <c r="L392" s="56"/>
      <c r="M392" s="57">
        <v>13575</v>
      </c>
      <c r="N392" s="57">
        <v>0</v>
      </c>
      <c r="O392" s="56">
        <v>108607</v>
      </c>
      <c r="P392" s="107">
        <f t="shared" si="13"/>
        <v>122182</v>
      </c>
      <c r="Q392" s="56"/>
      <c r="R392" s="57">
        <v>161610</v>
      </c>
      <c r="S392" s="58">
        <v>-47459</v>
      </c>
      <c r="T392" s="58">
        <v>114151</v>
      </c>
    </row>
    <row r="393" spans="1:20">
      <c r="A393" s="54">
        <v>94109</v>
      </c>
      <c r="B393" s="55" t="s">
        <v>1769</v>
      </c>
      <c r="C393" s="106">
        <v>9.09E-5</v>
      </c>
      <c r="D393" s="106">
        <v>1.0399999999999999E-4</v>
      </c>
      <c r="E393" s="56">
        <v>138870</v>
      </c>
      <c r="F393" s="56"/>
      <c r="G393" s="57">
        <v>8000</v>
      </c>
      <c r="H393" s="107">
        <v>33718</v>
      </c>
      <c r="I393" s="57">
        <v>19833</v>
      </c>
      <c r="J393" s="56">
        <v>796</v>
      </c>
      <c r="K393" s="107">
        <f t="shared" si="12"/>
        <v>62347</v>
      </c>
      <c r="L393" s="56"/>
      <c r="M393" s="57">
        <v>3931</v>
      </c>
      <c r="N393" s="57">
        <v>0</v>
      </c>
      <c r="O393" s="56">
        <v>41294</v>
      </c>
      <c r="P393" s="107">
        <f t="shared" si="13"/>
        <v>45225</v>
      </c>
      <c r="Q393" s="56"/>
      <c r="R393" s="57">
        <v>46799</v>
      </c>
      <c r="S393" s="58">
        <v>-12890</v>
      </c>
      <c r="T393" s="58">
        <v>33909</v>
      </c>
    </row>
    <row r="394" spans="1:20">
      <c r="A394" s="54">
        <v>94111</v>
      </c>
      <c r="B394" s="55" t="s">
        <v>1770</v>
      </c>
      <c r="C394" s="106">
        <v>2.5682300000000002E-2</v>
      </c>
      <c r="D394" s="106">
        <v>2.5623300000000002E-2</v>
      </c>
      <c r="E394" s="56">
        <v>39235440</v>
      </c>
      <c r="F394" s="56"/>
      <c r="G394" s="57">
        <v>2260325</v>
      </c>
      <c r="H394" s="107">
        <v>9526412</v>
      </c>
      <c r="I394" s="57">
        <v>5603364</v>
      </c>
      <c r="J394" s="56">
        <v>7528</v>
      </c>
      <c r="K394" s="107">
        <f t="shared" si="12"/>
        <v>17397629</v>
      </c>
      <c r="L394" s="56"/>
      <c r="M394" s="57">
        <v>1110631</v>
      </c>
      <c r="N394" s="57">
        <v>0</v>
      </c>
      <c r="O394" s="56">
        <v>1491627</v>
      </c>
      <c r="P394" s="107">
        <f t="shared" si="13"/>
        <v>2602258</v>
      </c>
      <c r="Q394" s="56"/>
      <c r="R394" s="57">
        <v>13222378</v>
      </c>
      <c r="S394" s="58">
        <v>-524586</v>
      </c>
      <c r="T394" s="58">
        <v>12697792</v>
      </c>
    </row>
    <row r="395" spans="1:20">
      <c r="A395" s="54">
        <v>94112</v>
      </c>
      <c r="B395" s="55" t="s">
        <v>1771</v>
      </c>
      <c r="C395" s="106">
        <v>1.6699999999999999E-4</v>
      </c>
      <c r="D395" s="106">
        <v>1.6530000000000001E-4</v>
      </c>
      <c r="E395" s="56">
        <v>255130</v>
      </c>
      <c r="F395" s="56"/>
      <c r="G395" s="57">
        <v>14698</v>
      </c>
      <c r="H395" s="107">
        <v>61946</v>
      </c>
      <c r="I395" s="57">
        <v>36436</v>
      </c>
      <c r="J395" s="56">
        <v>0</v>
      </c>
      <c r="K395" s="107">
        <f t="shared" si="12"/>
        <v>113080</v>
      </c>
      <c r="L395" s="56"/>
      <c r="M395" s="57">
        <v>7222</v>
      </c>
      <c r="N395" s="57">
        <v>0</v>
      </c>
      <c r="O395" s="56">
        <v>18973</v>
      </c>
      <c r="P395" s="107">
        <f t="shared" si="13"/>
        <v>26195</v>
      </c>
      <c r="Q395" s="56"/>
      <c r="R395" s="57">
        <v>85979</v>
      </c>
      <c r="S395" s="58">
        <v>-8534</v>
      </c>
      <c r="T395" s="58">
        <v>77445</v>
      </c>
    </row>
    <row r="396" spans="1:20">
      <c r="A396" s="54">
        <v>94117</v>
      </c>
      <c r="B396" s="55" t="s">
        <v>1772</v>
      </c>
      <c r="C396" s="106">
        <v>3.9809999999999997E-4</v>
      </c>
      <c r="D396" s="106">
        <v>4.0709999999999997E-4</v>
      </c>
      <c r="E396" s="56">
        <v>608187</v>
      </c>
      <c r="F396" s="56"/>
      <c r="G396" s="57">
        <v>35037</v>
      </c>
      <c r="H396" s="107">
        <v>147669</v>
      </c>
      <c r="I396" s="57">
        <v>86857</v>
      </c>
      <c r="J396" s="56">
        <v>8133</v>
      </c>
      <c r="K396" s="107">
        <f t="shared" si="12"/>
        <v>277696</v>
      </c>
      <c r="L396" s="56"/>
      <c r="M396" s="57">
        <v>17216</v>
      </c>
      <c r="N396" s="57">
        <v>0</v>
      </c>
      <c r="O396" s="56">
        <v>15587</v>
      </c>
      <c r="P396" s="107">
        <f t="shared" si="13"/>
        <v>32803</v>
      </c>
      <c r="Q396" s="56"/>
      <c r="R396" s="57">
        <v>204959</v>
      </c>
      <c r="S396" s="58">
        <v>-79</v>
      </c>
      <c r="T396" s="58">
        <v>204880</v>
      </c>
    </row>
    <row r="397" spans="1:20">
      <c r="A397" s="54">
        <v>94118</v>
      </c>
      <c r="B397" s="55" t="s">
        <v>1773</v>
      </c>
      <c r="C397" s="106">
        <v>1.494E-4</v>
      </c>
      <c r="D397" s="106">
        <v>1.63E-4</v>
      </c>
      <c r="E397" s="56">
        <v>228242</v>
      </c>
      <c r="F397" s="56"/>
      <c r="G397" s="57">
        <v>13149</v>
      </c>
      <c r="H397" s="107">
        <v>55417</v>
      </c>
      <c r="I397" s="57">
        <v>32596</v>
      </c>
      <c r="J397" s="56">
        <v>0</v>
      </c>
      <c r="K397" s="107">
        <f t="shared" si="12"/>
        <v>101162</v>
      </c>
      <c r="L397" s="56"/>
      <c r="M397" s="57">
        <v>6461</v>
      </c>
      <c r="N397" s="57">
        <v>0</v>
      </c>
      <c r="O397" s="56">
        <v>56599</v>
      </c>
      <c r="P397" s="107">
        <f t="shared" si="13"/>
        <v>63060</v>
      </c>
      <c r="Q397" s="56"/>
      <c r="R397" s="57">
        <v>76918</v>
      </c>
      <c r="S397" s="58">
        <v>-24768</v>
      </c>
      <c r="T397" s="58">
        <v>52150</v>
      </c>
    </row>
    <row r="398" spans="1:20">
      <c r="A398" s="54">
        <v>94121</v>
      </c>
      <c r="B398" s="55" t="s">
        <v>1774</v>
      </c>
      <c r="C398" s="106">
        <v>1.1246000000000001E-2</v>
      </c>
      <c r="D398" s="106">
        <v>1.12823E-2</v>
      </c>
      <c r="E398" s="56">
        <v>17180773</v>
      </c>
      <c r="F398" s="56"/>
      <c r="G398" s="57">
        <v>989772</v>
      </c>
      <c r="H398" s="107">
        <v>4171512</v>
      </c>
      <c r="I398" s="57">
        <v>2453652</v>
      </c>
      <c r="J398" s="56">
        <v>65556</v>
      </c>
      <c r="K398" s="107">
        <f t="shared" si="12"/>
        <v>7680492</v>
      </c>
      <c r="L398" s="56"/>
      <c r="M398" s="57">
        <v>486333</v>
      </c>
      <c r="N398" s="57">
        <v>0</v>
      </c>
      <c r="O398" s="56">
        <v>276825</v>
      </c>
      <c r="P398" s="107">
        <f t="shared" si="13"/>
        <v>763158</v>
      </c>
      <c r="Q398" s="56"/>
      <c r="R398" s="57">
        <v>5789936</v>
      </c>
      <c r="S398" s="58">
        <v>-128084</v>
      </c>
      <c r="T398" s="58">
        <v>5661852</v>
      </c>
    </row>
    <row r="399" spans="1:20">
      <c r="A399" s="54">
        <v>94127</v>
      </c>
      <c r="B399" s="55" t="s">
        <v>1775</v>
      </c>
      <c r="C399" s="106">
        <v>1.7310000000000001E-4</v>
      </c>
      <c r="D399" s="106">
        <v>1.528E-4</v>
      </c>
      <c r="E399" s="56">
        <v>264449</v>
      </c>
      <c r="F399" s="56"/>
      <c r="G399" s="57">
        <v>15235</v>
      </c>
      <c r="H399" s="107">
        <v>64208</v>
      </c>
      <c r="I399" s="57">
        <v>37767</v>
      </c>
      <c r="J399" s="56">
        <v>8697</v>
      </c>
      <c r="K399" s="107">
        <f t="shared" si="12"/>
        <v>125907</v>
      </c>
      <c r="L399" s="56"/>
      <c r="M399" s="57">
        <v>7486</v>
      </c>
      <c r="N399" s="57">
        <v>0</v>
      </c>
      <c r="O399" s="56">
        <v>398</v>
      </c>
      <c r="P399" s="107">
        <f t="shared" si="13"/>
        <v>7884</v>
      </c>
      <c r="Q399" s="56"/>
      <c r="R399" s="57">
        <v>89119</v>
      </c>
      <c r="S399" s="58">
        <v>2605</v>
      </c>
      <c r="T399" s="58">
        <v>91724</v>
      </c>
    </row>
    <row r="400" spans="1:20">
      <c r="A400" s="54">
        <v>94131</v>
      </c>
      <c r="B400" s="55" t="s">
        <v>1776</v>
      </c>
      <c r="C400" s="106">
        <v>1.7479999999999999E-4</v>
      </c>
      <c r="D400" s="106">
        <v>2.0049999999999999E-4</v>
      </c>
      <c r="E400" s="56">
        <v>267046</v>
      </c>
      <c r="F400" s="56"/>
      <c r="G400" s="57">
        <v>15384</v>
      </c>
      <c r="H400" s="107">
        <v>64840</v>
      </c>
      <c r="I400" s="57">
        <v>38138</v>
      </c>
      <c r="J400" s="56">
        <v>3004</v>
      </c>
      <c r="K400" s="107">
        <f t="shared" si="12"/>
        <v>121366</v>
      </c>
      <c r="L400" s="56"/>
      <c r="M400" s="57">
        <v>7559</v>
      </c>
      <c r="N400" s="57">
        <v>0</v>
      </c>
      <c r="O400" s="56">
        <v>9062</v>
      </c>
      <c r="P400" s="107">
        <f t="shared" si="13"/>
        <v>16621</v>
      </c>
      <c r="Q400" s="56"/>
      <c r="R400" s="57">
        <v>89995</v>
      </c>
      <c r="S400" s="58">
        <v>-1148</v>
      </c>
      <c r="T400" s="58">
        <v>88847</v>
      </c>
    </row>
    <row r="401" spans="1:20">
      <c r="A401" s="54">
        <v>94151</v>
      </c>
      <c r="B401" s="55" t="s">
        <v>1777</v>
      </c>
      <c r="C401" s="106">
        <v>4.1590000000000003E-4</v>
      </c>
      <c r="D401" s="106">
        <v>4.2870000000000001E-4</v>
      </c>
      <c r="E401" s="56">
        <v>635380</v>
      </c>
      <c r="F401" s="56"/>
      <c r="G401" s="57">
        <v>36604</v>
      </c>
      <c r="H401" s="107">
        <v>154271</v>
      </c>
      <c r="I401" s="57">
        <v>90741</v>
      </c>
      <c r="J401" s="56">
        <v>0</v>
      </c>
      <c r="K401" s="107">
        <f t="shared" si="12"/>
        <v>281616</v>
      </c>
      <c r="L401" s="56"/>
      <c r="M401" s="57">
        <v>17986</v>
      </c>
      <c r="N401" s="57">
        <v>0</v>
      </c>
      <c r="O401" s="56">
        <v>36672</v>
      </c>
      <c r="P401" s="107">
        <f t="shared" si="13"/>
        <v>54658</v>
      </c>
      <c r="Q401" s="56"/>
      <c r="R401" s="57">
        <v>214124</v>
      </c>
      <c r="S401" s="58">
        <v>-12878</v>
      </c>
      <c r="T401" s="58">
        <v>201246</v>
      </c>
    </row>
    <row r="402" spans="1:20">
      <c r="A402" s="54">
        <v>94157</v>
      </c>
      <c r="B402" s="55" t="s">
        <v>1778</v>
      </c>
      <c r="C402" s="106">
        <v>8.8999999999999995E-6</v>
      </c>
      <c r="D402" s="106">
        <v>9.3999999999999998E-6</v>
      </c>
      <c r="E402" s="56">
        <v>13597</v>
      </c>
      <c r="F402" s="56"/>
      <c r="G402" s="57">
        <v>783</v>
      </c>
      <c r="H402" s="107">
        <v>3302</v>
      </c>
      <c r="I402" s="57">
        <v>1942</v>
      </c>
      <c r="J402" s="56">
        <v>3748</v>
      </c>
      <c r="K402" s="107">
        <f t="shared" si="12"/>
        <v>9775</v>
      </c>
      <c r="L402" s="56"/>
      <c r="M402" s="57">
        <v>385</v>
      </c>
      <c r="N402" s="57">
        <v>0</v>
      </c>
      <c r="O402" s="56">
        <v>0</v>
      </c>
      <c r="P402" s="107">
        <f t="shared" si="13"/>
        <v>385</v>
      </c>
      <c r="Q402" s="56"/>
      <c r="R402" s="57">
        <v>4582</v>
      </c>
      <c r="S402" s="58">
        <v>2084</v>
      </c>
      <c r="T402" s="58">
        <v>6666</v>
      </c>
    </row>
    <row r="403" spans="1:20">
      <c r="A403" s="54">
        <v>94161</v>
      </c>
      <c r="B403" s="55" t="s">
        <v>1779</v>
      </c>
      <c r="C403" s="106">
        <v>5.1900000000000001E-5</v>
      </c>
      <c r="D403" s="106">
        <v>5.7899999999999998E-5</v>
      </c>
      <c r="E403" s="56">
        <v>79289</v>
      </c>
      <c r="F403" s="56"/>
      <c r="G403" s="57">
        <v>4568</v>
      </c>
      <c r="H403" s="107">
        <v>19252</v>
      </c>
      <c r="I403" s="57">
        <v>11324</v>
      </c>
      <c r="J403" s="56">
        <v>5455</v>
      </c>
      <c r="K403" s="107">
        <f t="shared" si="12"/>
        <v>40599</v>
      </c>
      <c r="L403" s="56"/>
      <c r="M403" s="57">
        <v>2244</v>
      </c>
      <c r="N403" s="57">
        <v>0</v>
      </c>
      <c r="O403" s="56">
        <v>3144</v>
      </c>
      <c r="P403" s="107">
        <f t="shared" si="13"/>
        <v>5388</v>
      </c>
      <c r="Q403" s="56"/>
      <c r="R403" s="57">
        <v>26720</v>
      </c>
      <c r="S403" s="58">
        <v>2302</v>
      </c>
      <c r="T403" s="58">
        <v>29022</v>
      </c>
    </row>
    <row r="404" spans="1:20">
      <c r="A404" s="54">
        <v>94168</v>
      </c>
      <c r="B404" s="55" t="s">
        <v>1780</v>
      </c>
      <c r="C404" s="106">
        <v>2.5899999999999999E-5</v>
      </c>
      <c r="D404" s="106">
        <v>3.4E-5</v>
      </c>
      <c r="E404" s="56">
        <v>39568</v>
      </c>
      <c r="F404" s="56"/>
      <c r="G404" s="57">
        <v>2279</v>
      </c>
      <c r="H404" s="107">
        <v>9607</v>
      </c>
      <c r="I404" s="57">
        <v>5651</v>
      </c>
      <c r="J404" s="56">
        <v>0</v>
      </c>
      <c r="K404" s="107">
        <f t="shared" si="12"/>
        <v>17537</v>
      </c>
      <c r="L404" s="56"/>
      <c r="M404" s="57">
        <v>1120</v>
      </c>
      <c r="N404" s="57">
        <v>0</v>
      </c>
      <c r="O404" s="56">
        <v>11664</v>
      </c>
      <c r="P404" s="107">
        <f t="shared" si="13"/>
        <v>12784</v>
      </c>
      <c r="Q404" s="56"/>
      <c r="R404" s="57">
        <v>13334</v>
      </c>
      <c r="S404" s="58">
        <v>-5442</v>
      </c>
      <c r="T404" s="58">
        <v>7892</v>
      </c>
    </row>
    <row r="405" spans="1:20">
      <c r="A405" s="54">
        <v>94171</v>
      </c>
      <c r="B405" s="55" t="s">
        <v>1781</v>
      </c>
      <c r="C405" s="106">
        <v>6.9800000000000003E-5</v>
      </c>
      <c r="D405" s="106">
        <v>5.5000000000000002E-5</v>
      </c>
      <c r="E405" s="56">
        <v>106635</v>
      </c>
      <c r="F405" s="56"/>
      <c r="G405" s="57">
        <v>6143</v>
      </c>
      <c r="H405" s="107">
        <v>25891</v>
      </c>
      <c r="I405" s="57">
        <v>15229</v>
      </c>
      <c r="J405" s="56">
        <v>10026</v>
      </c>
      <c r="K405" s="107">
        <f t="shared" si="12"/>
        <v>57289</v>
      </c>
      <c r="L405" s="56"/>
      <c r="M405" s="57">
        <v>3019</v>
      </c>
      <c r="N405" s="57">
        <v>0</v>
      </c>
      <c r="O405" s="56">
        <v>862</v>
      </c>
      <c r="P405" s="107">
        <f t="shared" si="13"/>
        <v>3881</v>
      </c>
      <c r="Q405" s="56"/>
      <c r="R405" s="57">
        <v>35936</v>
      </c>
      <c r="S405" s="58">
        <v>2780</v>
      </c>
      <c r="T405" s="58">
        <v>38716</v>
      </c>
    </row>
    <row r="406" spans="1:20">
      <c r="A406" s="54">
        <v>94172</v>
      </c>
      <c r="B406" s="55" t="s">
        <v>1782</v>
      </c>
      <c r="C406" s="106">
        <v>2.6289999999999999E-4</v>
      </c>
      <c r="D406" s="106">
        <v>2.6699999999999998E-4</v>
      </c>
      <c r="E406" s="56">
        <v>401638</v>
      </c>
      <c r="F406" s="56"/>
      <c r="G406" s="57">
        <v>23138</v>
      </c>
      <c r="H406" s="107">
        <v>97518</v>
      </c>
      <c r="I406" s="57">
        <v>57360</v>
      </c>
      <c r="J406" s="56">
        <v>0</v>
      </c>
      <c r="K406" s="107">
        <f t="shared" si="12"/>
        <v>178016</v>
      </c>
      <c r="L406" s="56"/>
      <c r="M406" s="57">
        <v>11369</v>
      </c>
      <c r="N406" s="57">
        <v>0</v>
      </c>
      <c r="O406" s="56">
        <v>90059</v>
      </c>
      <c r="P406" s="107">
        <f t="shared" si="13"/>
        <v>101428</v>
      </c>
      <c r="Q406" s="56"/>
      <c r="R406" s="57">
        <v>135352</v>
      </c>
      <c r="S406" s="58">
        <v>-41178</v>
      </c>
      <c r="T406" s="58">
        <v>94174</v>
      </c>
    </row>
    <row r="407" spans="1:20">
      <c r="A407" s="54">
        <v>94201</v>
      </c>
      <c r="B407" s="55" t="s">
        <v>1783</v>
      </c>
      <c r="C407" s="106">
        <v>3.3658999999999998E-3</v>
      </c>
      <c r="D407" s="106">
        <v>3.4813000000000001E-3</v>
      </c>
      <c r="E407" s="56">
        <v>5142163</v>
      </c>
      <c r="F407" s="56"/>
      <c r="G407" s="57">
        <v>296236</v>
      </c>
      <c r="H407" s="107">
        <v>1248524</v>
      </c>
      <c r="I407" s="57">
        <v>734372</v>
      </c>
      <c r="J407" s="56">
        <v>37947</v>
      </c>
      <c r="K407" s="107">
        <f t="shared" si="12"/>
        <v>2317079</v>
      </c>
      <c r="L407" s="56"/>
      <c r="M407" s="57">
        <v>145558</v>
      </c>
      <c r="N407" s="57">
        <v>0</v>
      </c>
      <c r="O407" s="56">
        <v>70514</v>
      </c>
      <c r="P407" s="107">
        <f t="shared" si="13"/>
        <v>216072</v>
      </c>
      <c r="Q407" s="56"/>
      <c r="R407" s="57">
        <v>1732913</v>
      </c>
      <c r="S407" s="58">
        <v>-942</v>
      </c>
      <c r="T407" s="58">
        <v>1731971</v>
      </c>
    </row>
    <row r="408" spans="1:20">
      <c r="A408" s="54">
        <v>94204</v>
      </c>
      <c r="B408" s="55" t="s">
        <v>1784</v>
      </c>
      <c r="C408" s="106">
        <v>2.5899999999999999E-5</v>
      </c>
      <c r="D408" s="106">
        <v>2.4899999999999999E-5</v>
      </c>
      <c r="E408" s="56">
        <v>39568</v>
      </c>
      <c r="F408" s="56"/>
      <c r="G408" s="57">
        <v>2279</v>
      </c>
      <c r="H408" s="107">
        <v>9607</v>
      </c>
      <c r="I408" s="57">
        <v>5651</v>
      </c>
      <c r="J408" s="56">
        <v>12190</v>
      </c>
      <c r="K408" s="107">
        <f t="shared" si="12"/>
        <v>29727</v>
      </c>
      <c r="L408" s="56"/>
      <c r="M408" s="57">
        <v>1120</v>
      </c>
      <c r="N408" s="57">
        <v>0</v>
      </c>
      <c r="O408" s="56">
        <v>0</v>
      </c>
      <c r="P408" s="107">
        <f t="shared" si="13"/>
        <v>1120</v>
      </c>
      <c r="Q408" s="56"/>
      <c r="R408" s="57">
        <v>13334</v>
      </c>
      <c r="S408" s="58">
        <v>4996</v>
      </c>
      <c r="T408" s="58">
        <v>18330</v>
      </c>
    </row>
    <row r="409" spans="1:20">
      <c r="A409" s="54">
        <v>94205</v>
      </c>
      <c r="B409" s="55" t="s">
        <v>1785</v>
      </c>
      <c r="C409" s="106">
        <v>2.0699999999999998E-5</v>
      </c>
      <c r="D409" s="106">
        <v>2.6100000000000001E-5</v>
      </c>
      <c r="E409" s="56">
        <v>31624</v>
      </c>
      <c r="F409" s="56"/>
      <c r="G409" s="57">
        <v>1822</v>
      </c>
      <c r="H409" s="107">
        <v>7678</v>
      </c>
      <c r="I409" s="57">
        <v>4516</v>
      </c>
      <c r="J409" s="56">
        <v>1652</v>
      </c>
      <c r="K409" s="107">
        <f t="shared" si="12"/>
        <v>15668</v>
      </c>
      <c r="L409" s="56"/>
      <c r="M409" s="57">
        <v>895</v>
      </c>
      <c r="N409" s="57">
        <v>0</v>
      </c>
      <c r="O409" s="56">
        <v>5048</v>
      </c>
      <c r="P409" s="107">
        <f t="shared" si="13"/>
        <v>5943</v>
      </c>
      <c r="Q409" s="56"/>
      <c r="R409" s="57">
        <v>10657</v>
      </c>
      <c r="S409" s="58">
        <v>-3026</v>
      </c>
      <c r="T409" s="58">
        <v>7631</v>
      </c>
    </row>
    <row r="410" spans="1:20">
      <c r="A410" s="54">
        <v>94209</v>
      </c>
      <c r="B410" s="55" t="s">
        <v>1786</v>
      </c>
      <c r="C410" s="106">
        <v>3.4190000000000002E-4</v>
      </c>
      <c r="D410" s="106">
        <v>3.2909999999999998E-4</v>
      </c>
      <c r="E410" s="56">
        <v>522328</v>
      </c>
      <c r="F410" s="56"/>
      <c r="G410" s="57">
        <v>30091</v>
      </c>
      <c r="H410" s="107">
        <v>126822</v>
      </c>
      <c r="I410" s="57">
        <v>74596</v>
      </c>
      <c r="J410" s="56">
        <v>23431</v>
      </c>
      <c r="K410" s="107">
        <f t="shared" si="12"/>
        <v>254940</v>
      </c>
      <c r="L410" s="56"/>
      <c r="M410" s="57">
        <v>14785</v>
      </c>
      <c r="N410" s="57">
        <v>0</v>
      </c>
      <c r="O410" s="56">
        <v>7196</v>
      </c>
      <c r="P410" s="107">
        <f t="shared" si="13"/>
        <v>21981</v>
      </c>
      <c r="Q410" s="56"/>
      <c r="R410" s="57">
        <v>176025</v>
      </c>
      <c r="S410" s="58">
        <v>9128</v>
      </c>
      <c r="T410" s="58">
        <v>185153</v>
      </c>
    </row>
    <row r="411" spans="1:20">
      <c r="A411" s="54">
        <v>94211</v>
      </c>
      <c r="B411" s="55" t="s">
        <v>1787</v>
      </c>
      <c r="C411" s="106">
        <v>1.3660000000000001E-4</v>
      </c>
      <c r="D411" s="106">
        <v>1.2400000000000001E-4</v>
      </c>
      <c r="E411" s="56">
        <v>208687</v>
      </c>
      <c r="F411" s="56"/>
      <c r="G411" s="57">
        <v>12022</v>
      </c>
      <c r="H411" s="107">
        <v>50669</v>
      </c>
      <c r="I411" s="57">
        <v>29803</v>
      </c>
      <c r="J411" s="56">
        <v>7857</v>
      </c>
      <c r="K411" s="107">
        <f t="shared" si="12"/>
        <v>100351</v>
      </c>
      <c r="L411" s="56"/>
      <c r="M411" s="57">
        <v>5907</v>
      </c>
      <c r="N411" s="57">
        <v>0</v>
      </c>
      <c r="O411" s="56">
        <v>17326</v>
      </c>
      <c r="P411" s="107">
        <f t="shared" si="13"/>
        <v>23233</v>
      </c>
      <c r="Q411" s="56"/>
      <c r="R411" s="57">
        <v>70328</v>
      </c>
      <c r="S411" s="58">
        <v>-11553</v>
      </c>
      <c r="T411" s="58">
        <v>58775</v>
      </c>
    </row>
    <row r="412" spans="1:20">
      <c r="A412" s="54">
        <v>94221</v>
      </c>
      <c r="B412" s="55" t="s">
        <v>1788</v>
      </c>
      <c r="C412" s="106">
        <v>1.0436E-3</v>
      </c>
      <c r="D412" s="106">
        <v>1.0705999999999999E-3</v>
      </c>
      <c r="E412" s="56">
        <v>1594332</v>
      </c>
      <c r="F412" s="56"/>
      <c r="G412" s="57">
        <v>91848</v>
      </c>
      <c r="H412" s="107">
        <v>387106</v>
      </c>
      <c r="I412" s="57">
        <v>227693</v>
      </c>
      <c r="J412" s="56">
        <v>63725</v>
      </c>
      <c r="K412" s="107">
        <f t="shared" si="12"/>
        <v>770372</v>
      </c>
      <c r="L412" s="56"/>
      <c r="M412" s="57">
        <v>45130</v>
      </c>
      <c r="N412" s="57">
        <v>0</v>
      </c>
      <c r="O412" s="56">
        <v>120971</v>
      </c>
      <c r="P412" s="107">
        <f t="shared" si="13"/>
        <v>166101</v>
      </c>
      <c r="Q412" s="56"/>
      <c r="R412" s="57">
        <v>537291</v>
      </c>
      <c r="S412" s="58">
        <v>-24799</v>
      </c>
      <c r="T412" s="58">
        <v>512492</v>
      </c>
    </row>
    <row r="413" spans="1:20">
      <c r="A413" s="54">
        <v>94231</v>
      </c>
      <c r="B413" s="55" t="s">
        <v>1789</v>
      </c>
      <c r="C413" s="106">
        <v>2.2609999999999999E-4</v>
      </c>
      <c r="D413" s="106">
        <v>2.1269999999999999E-4</v>
      </c>
      <c r="E413" s="56">
        <v>345418</v>
      </c>
      <c r="F413" s="56"/>
      <c r="G413" s="57">
        <v>19899</v>
      </c>
      <c r="H413" s="107">
        <v>83868</v>
      </c>
      <c r="I413" s="57">
        <v>49330</v>
      </c>
      <c r="J413" s="56">
        <v>8354</v>
      </c>
      <c r="K413" s="107">
        <f t="shared" si="12"/>
        <v>161451</v>
      </c>
      <c r="L413" s="56"/>
      <c r="M413" s="57">
        <v>9778</v>
      </c>
      <c r="N413" s="57">
        <v>0</v>
      </c>
      <c r="O413" s="56">
        <v>6714</v>
      </c>
      <c r="P413" s="107">
        <f t="shared" si="13"/>
        <v>16492</v>
      </c>
      <c r="Q413" s="56"/>
      <c r="R413" s="57">
        <v>116406</v>
      </c>
      <c r="S413" s="58">
        <v>-2799</v>
      </c>
      <c r="T413" s="58">
        <v>113607</v>
      </c>
    </row>
    <row r="414" spans="1:20">
      <c r="A414" s="54">
        <v>94241</v>
      </c>
      <c r="B414" s="55" t="s">
        <v>1790</v>
      </c>
      <c r="C414" s="106">
        <v>1.2669999999999999E-4</v>
      </c>
      <c r="D414" s="106">
        <v>8.4099999999999998E-5</v>
      </c>
      <c r="E414" s="56">
        <v>193563</v>
      </c>
      <c r="F414" s="56"/>
      <c r="G414" s="57">
        <v>11151</v>
      </c>
      <c r="H414" s="107">
        <v>46997</v>
      </c>
      <c r="I414" s="57">
        <v>27643</v>
      </c>
      <c r="J414" s="56">
        <v>26711</v>
      </c>
      <c r="K414" s="107">
        <f t="shared" si="12"/>
        <v>112502</v>
      </c>
      <c r="L414" s="56"/>
      <c r="M414" s="57">
        <v>5479</v>
      </c>
      <c r="N414" s="57">
        <v>0</v>
      </c>
      <c r="O414" s="56">
        <v>856</v>
      </c>
      <c r="P414" s="107">
        <f t="shared" si="13"/>
        <v>6335</v>
      </c>
      <c r="Q414" s="56"/>
      <c r="R414" s="57">
        <v>65231</v>
      </c>
      <c r="S414" s="58">
        <v>6835</v>
      </c>
      <c r="T414" s="58">
        <v>72066</v>
      </c>
    </row>
    <row r="415" spans="1:20">
      <c r="A415" s="54">
        <v>94251</v>
      </c>
      <c r="B415" s="55" t="s">
        <v>1791</v>
      </c>
      <c r="C415" s="106">
        <v>1.95E-5</v>
      </c>
      <c r="D415" s="106">
        <v>1.4E-5</v>
      </c>
      <c r="E415" s="56">
        <v>29791</v>
      </c>
      <c r="F415" s="56"/>
      <c r="G415" s="57">
        <v>1716</v>
      </c>
      <c r="H415" s="107">
        <v>7233</v>
      </c>
      <c r="I415" s="57">
        <v>4255</v>
      </c>
      <c r="J415" s="56">
        <v>3290</v>
      </c>
      <c r="K415" s="107">
        <f t="shared" si="12"/>
        <v>16494</v>
      </c>
      <c r="L415" s="56"/>
      <c r="M415" s="57">
        <v>843</v>
      </c>
      <c r="N415" s="57">
        <v>0</v>
      </c>
      <c r="O415" s="56">
        <v>6508</v>
      </c>
      <c r="P415" s="107">
        <f t="shared" si="13"/>
        <v>7351</v>
      </c>
      <c r="Q415" s="56"/>
      <c r="R415" s="57">
        <v>10039</v>
      </c>
      <c r="S415" s="58">
        <v>-2297</v>
      </c>
      <c r="T415" s="58">
        <v>7742</v>
      </c>
    </row>
    <row r="416" spans="1:20">
      <c r="A416" s="54">
        <v>94261</v>
      </c>
      <c r="B416" s="55" t="s">
        <v>1792</v>
      </c>
      <c r="C416" s="106">
        <v>3.9199999999999997E-5</v>
      </c>
      <c r="D416" s="106">
        <v>2.9499999999999999E-5</v>
      </c>
      <c r="E416" s="56">
        <v>59887</v>
      </c>
      <c r="F416" s="56"/>
      <c r="G416" s="57">
        <v>3450</v>
      </c>
      <c r="H416" s="107">
        <v>14541</v>
      </c>
      <c r="I416" s="57">
        <v>8553</v>
      </c>
      <c r="J416" s="56">
        <v>15518</v>
      </c>
      <c r="K416" s="107">
        <f t="shared" si="12"/>
        <v>42062</v>
      </c>
      <c r="L416" s="56"/>
      <c r="M416" s="57">
        <v>1695</v>
      </c>
      <c r="N416" s="57">
        <v>0</v>
      </c>
      <c r="O416" s="56">
        <v>0</v>
      </c>
      <c r="P416" s="107">
        <f t="shared" si="13"/>
        <v>1695</v>
      </c>
      <c r="Q416" s="56"/>
      <c r="R416" s="57">
        <v>20182</v>
      </c>
      <c r="S416" s="58">
        <v>5508</v>
      </c>
      <c r="T416" s="58">
        <v>25690</v>
      </c>
    </row>
    <row r="417" spans="1:20">
      <c r="A417" s="54">
        <v>94301</v>
      </c>
      <c r="B417" s="55" t="s">
        <v>1793</v>
      </c>
      <c r="C417" s="106">
        <v>6.2988999999999996E-3</v>
      </c>
      <c r="D417" s="106">
        <v>6.0746999999999997E-3</v>
      </c>
      <c r="E417" s="56">
        <v>9622974</v>
      </c>
      <c r="F417" s="56"/>
      <c r="G417" s="57">
        <v>554372</v>
      </c>
      <c r="H417" s="107">
        <v>2336470</v>
      </c>
      <c r="I417" s="57">
        <v>1374294</v>
      </c>
      <c r="J417" s="56">
        <v>85982</v>
      </c>
      <c r="K417" s="107">
        <f t="shared" si="12"/>
        <v>4351118</v>
      </c>
      <c r="L417" s="56"/>
      <c r="M417" s="57">
        <v>272396</v>
      </c>
      <c r="N417" s="57">
        <v>0</v>
      </c>
      <c r="O417" s="56">
        <v>117980</v>
      </c>
      <c r="P417" s="107">
        <f t="shared" si="13"/>
        <v>390376</v>
      </c>
      <c r="Q417" s="56"/>
      <c r="R417" s="57">
        <v>3242951</v>
      </c>
      <c r="S417" s="58">
        <v>-22710</v>
      </c>
      <c r="T417" s="58">
        <v>3220241</v>
      </c>
    </row>
    <row r="418" spans="1:20">
      <c r="A418" s="54">
        <v>94311</v>
      </c>
      <c r="B418" s="55" t="s">
        <v>1794</v>
      </c>
      <c r="C418" s="106">
        <v>7.8540000000000001E-4</v>
      </c>
      <c r="D418" s="106">
        <v>7.4399999999999998E-4</v>
      </c>
      <c r="E418" s="56">
        <v>1199874</v>
      </c>
      <c r="F418" s="56"/>
      <c r="G418" s="57">
        <v>69124</v>
      </c>
      <c r="H418" s="107">
        <v>291331</v>
      </c>
      <c r="I418" s="57">
        <v>171359</v>
      </c>
      <c r="J418" s="56">
        <v>26150</v>
      </c>
      <c r="K418" s="107">
        <f t="shared" si="12"/>
        <v>557964</v>
      </c>
      <c r="L418" s="56"/>
      <c r="M418" s="57">
        <v>33965</v>
      </c>
      <c r="N418" s="57">
        <v>0</v>
      </c>
      <c r="O418" s="56">
        <v>52115</v>
      </c>
      <c r="P418" s="107">
        <f t="shared" si="13"/>
        <v>86080</v>
      </c>
      <c r="Q418" s="56"/>
      <c r="R418" s="57">
        <v>404358</v>
      </c>
      <c r="S418" s="58">
        <v>-13365</v>
      </c>
      <c r="T418" s="58">
        <v>390993</v>
      </c>
    </row>
    <row r="419" spans="1:20">
      <c r="A419" s="54">
        <v>94313</v>
      </c>
      <c r="B419" s="55" t="s">
        <v>1795</v>
      </c>
      <c r="C419" s="106">
        <v>1.8700000000000001E-5</v>
      </c>
      <c r="D419" s="106">
        <v>2.0299999999999999E-5</v>
      </c>
      <c r="E419" s="56">
        <v>28568</v>
      </c>
      <c r="F419" s="56"/>
      <c r="G419" s="57">
        <v>1646</v>
      </c>
      <c r="H419" s="107">
        <v>6936</v>
      </c>
      <c r="I419" s="57">
        <v>4080</v>
      </c>
      <c r="J419" s="56">
        <v>7421</v>
      </c>
      <c r="K419" s="107">
        <f t="shared" si="12"/>
        <v>20083</v>
      </c>
      <c r="L419" s="56"/>
      <c r="M419" s="57">
        <v>809</v>
      </c>
      <c r="N419" s="57">
        <v>0</v>
      </c>
      <c r="O419" s="56">
        <v>0</v>
      </c>
      <c r="P419" s="107">
        <f t="shared" si="13"/>
        <v>809</v>
      </c>
      <c r="Q419" s="56"/>
      <c r="R419" s="57">
        <v>9628</v>
      </c>
      <c r="S419" s="58">
        <v>3124</v>
      </c>
      <c r="T419" s="58">
        <v>12752</v>
      </c>
    </row>
    <row r="420" spans="1:20">
      <c r="A420" s="54">
        <v>94317</v>
      </c>
      <c r="B420" s="55" t="s">
        <v>1796</v>
      </c>
      <c r="C420" s="106">
        <v>1.2E-5</v>
      </c>
      <c r="D420" s="106">
        <v>1.2099999999999999E-5</v>
      </c>
      <c r="E420" s="56">
        <v>18333</v>
      </c>
      <c r="F420" s="56"/>
      <c r="G420" s="57">
        <v>1056</v>
      </c>
      <c r="H420" s="107">
        <v>4451</v>
      </c>
      <c r="I420" s="57">
        <v>2618</v>
      </c>
      <c r="J420" s="56">
        <v>7663</v>
      </c>
      <c r="K420" s="107">
        <f t="shared" si="12"/>
        <v>15788</v>
      </c>
      <c r="L420" s="56"/>
      <c r="M420" s="57">
        <v>519</v>
      </c>
      <c r="N420" s="57">
        <v>0</v>
      </c>
      <c r="O420" s="56">
        <v>0</v>
      </c>
      <c r="P420" s="107">
        <f t="shared" si="13"/>
        <v>519</v>
      </c>
      <c r="Q420" s="56"/>
      <c r="R420" s="57">
        <v>6178</v>
      </c>
      <c r="S420" s="58">
        <v>3130</v>
      </c>
      <c r="T420" s="58">
        <v>9308</v>
      </c>
    </row>
    <row r="421" spans="1:20">
      <c r="A421" s="54">
        <v>94321</v>
      </c>
      <c r="B421" s="55" t="s">
        <v>1797</v>
      </c>
      <c r="C421" s="106">
        <v>2.7760000000000003E-4</v>
      </c>
      <c r="D421" s="106">
        <v>2.7070000000000002E-4</v>
      </c>
      <c r="E421" s="56">
        <v>424096</v>
      </c>
      <c r="F421" s="56"/>
      <c r="G421" s="57">
        <v>24432</v>
      </c>
      <c r="H421" s="107">
        <v>102971</v>
      </c>
      <c r="I421" s="57">
        <v>60567</v>
      </c>
      <c r="J421" s="56">
        <v>1692</v>
      </c>
      <c r="K421" s="107">
        <f t="shared" si="12"/>
        <v>189662</v>
      </c>
      <c r="L421" s="56"/>
      <c r="M421" s="57">
        <v>12005</v>
      </c>
      <c r="N421" s="57">
        <v>0</v>
      </c>
      <c r="O421" s="56">
        <v>19924</v>
      </c>
      <c r="P421" s="107">
        <f t="shared" si="13"/>
        <v>31929</v>
      </c>
      <c r="Q421" s="56"/>
      <c r="R421" s="57">
        <v>142921</v>
      </c>
      <c r="S421" s="58">
        <v>-5646</v>
      </c>
      <c r="T421" s="58">
        <v>137275</v>
      </c>
    </row>
    <row r="422" spans="1:20">
      <c r="A422" s="54">
        <v>94331</v>
      </c>
      <c r="B422" s="55" t="s">
        <v>1798</v>
      </c>
      <c r="C422" s="106">
        <v>1.3569999999999999E-4</v>
      </c>
      <c r="D422" s="106">
        <v>1.517E-4</v>
      </c>
      <c r="E422" s="56">
        <v>207312</v>
      </c>
      <c r="F422" s="56"/>
      <c r="G422" s="57">
        <v>11943</v>
      </c>
      <c r="H422" s="107">
        <v>50336</v>
      </c>
      <c r="I422" s="57">
        <v>29607</v>
      </c>
      <c r="J422" s="56">
        <v>7715</v>
      </c>
      <c r="K422" s="107">
        <f t="shared" si="12"/>
        <v>99601</v>
      </c>
      <c r="L422" s="56"/>
      <c r="M422" s="57">
        <v>5868</v>
      </c>
      <c r="N422" s="57">
        <v>0</v>
      </c>
      <c r="O422" s="56">
        <v>10557</v>
      </c>
      <c r="P422" s="107">
        <f t="shared" si="13"/>
        <v>16425</v>
      </c>
      <c r="Q422" s="56"/>
      <c r="R422" s="57">
        <v>69864</v>
      </c>
      <c r="S422" s="58">
        <v>2981</v>
      </c>
      <c r="T422" s="58">
        <v>72845</v>
      </c>
    </row>
    <row r="423" spans="1:20">
      <c r="A423" s="54">
        <v>94341</v>
      </c>
      <c r="B423" s="55" t="s">
        <v>1799</v>
      </c>
      <c r="C423" s="106">
        <v>9.4699999999999998E-5</v>
      </c>
      <c r="D423" s="106">
        <v>8.1000000000000004E-5</v>
      </c>
      <c r="E423" s="56">
        <v>144675</v>
      </c>
      <c r="F423" s="56"/>
      <c r="G423" s="57">
        <v>8335</v>
      </c>
      <c r="H423" s="107">
        <v>35127</v>
      </c>
      <c r="I423" s="57">
        <v>20662</v>
      </c>
      <c r="J423" s="56">
        <v>5564</v>
      </c>
      <c r="K423" s="107">
        <f t="shared" si="12"/>
        <v>69688</v>
      </c>
      <c r="L423" s="56"/>
      <c r="M423" s="57">
        <v>4095</v>
      </c>
      <c r="N423" s="57">
        <v>0</v>
      </c>
      <c r="O423" s="56">
        <v>5713</v>
      </c>
      <c r="P423" s="107">
        <f t="shared" si="13"/>
        <v>9808</v>
      </c>
      <c r="Q423" s="56"/>
      <c r="R423" s="57">
        <v>48756</v>
      </c>
      <c r="S423" s="58">
        <v>-1783</v>
      </c>
      <c r="T423" s="58">
        <v>46973</v>
      </c>
    </row>
    <row r="424" spans="1:20">
      <c r="A424" s="54">
        <v>94347</v>
      </c>
      <c r="B424" s="55" t="s">
        <v>1800</v>
      </c>
      <c r="C424" s="106">
        <v>1.22E-5</v>
      </c>
      <c r="D424" s="106">
        <v>1.2300000000000001E-5</v>
      </c>
      <c r="E424" s="56">
        <v>18638</v>
      </c>
      <c r="F424" s="56"/>
      <c r="G424" s="57">
        <v>1074</v>
      </c>
      <c r="H424" s="107">
        <v>4526</v>
      </c>
      <c r="I424" s="57">
        <v>2662</v>
      </c>
      <c r="J424" s="56">
        <v>4271</v>
      </c>
      <c r="K424" s="107">
        <f t="shared" si="12"/>
        <v>12533</v>
      </c>
      <c r="L424" s="56"/>
      <c r="M424" s="57">
        <v>528</v>
      </c>
      <c r="N424" s="57">
        <v>0</v>
      </c>
      <c r="O424" s="56">
        <v>0</v>
      </c>
      <c r="P424" s="107">
        <f t="shared" si="13"/>
        <v>528</v>
      </c>
      <c r="Q424" s="56"/>
      <c r="R424" s="57">
        <v>6281</v>
      </c>
      <c r="S424" s="58">
        <v>1892</v>
      </c>
      <c r="T424" s="58">
        <v>8173</v>
      </c>
    </row>
    <row r="425" spans="1:20">
      <c r="A425" s="54">
        <v>94351</v>
      </c>
      <c r="B425" s="55" t="s">
        <v>1801</v>
      </c>
      <c r="C425" s="106">
        <v>2.433E-4</v>
      </c>
      <c r="D425" s="106">
        <v>2.377E-4</v>
      </c>
      <c r="E425" s="56">
        <v>371695</v>
      </c>
      <c r="F425" s="56"/>
      <c r="G425" s="57">
        <v>21413</v>
      </c>
      <c r="H425" s="107">
        <v>90248</v>
      </c>
      <c r="I425" s="57">
        <v>53083</v>
      </c>
      <c r="J425" s="56">
        <v>1592</v>
      </c>
      <c r="K425" s="107">
        <f t="shared" si="12"/>
        <v>166336</v>
      </c>
      <c r="L425" s="56"/>
      <c r="M425" s="57">
        <v>10522</v>
      </c>
      <c r="N425" s="57">
        <v>0</v>
      </c>
      <c r="O425" s="56">
        <v>4723</v>
      </c>
      <c r="P425" s="107">
        <f t="shared" si="13"/>
        <v>15245</v>
      </c>
      <c r="Q425" s="56"/>
      <c r="R425" s="57">
        <v>125262</v>
      </c>
      <c r="S425" s="58">
        <v>-1683</v>
      </c>
      <c r="T425" s="58">
        <v>123579</v>
      </c>
    </row>
    <row r="426" spans="1:20">
      <c r="A426" s="54">
        <v>94401</v>
      </c>
      <c r="B426" s="55" t="s">
        <v>1802</v>
      </c>
      <c r="C426" s="106">
        <v>3.2718000000000001E-3</v>
      </c>
      <c r="D426" s="106">
        <v>3.4548999999999999E-3</v>
      </c>
      <c r="E426" s="56">
        <v>4998404</v>
      </c>
      <c r="F426" s="56"/>
      <c r="G426" s="57">
        <v>287954</v>
      </c>
      <c r="H426" s="107">
        <v>1213619</v>
      </c>
      <c r="I426" s="57">
        <v>713841</v>
      </c>
      <c r="J426" s="56">
        <v>20795</v>
      </c>
      <c r="K426" s="107">
        <f t="shared" si="12"/>
        <v>2236209</v>
      </c>
      <c r="L426" s="56"/>
      <c r="M426" s="57">
        <v>141489</v>
      </c>
      <c r="N426" s="57">
        <v>0</v>
      </c>
      <c r="O426" s="56">
        <v>83776</v>
      </c>
      <c r="P426" s="107">
        <f t="shared" si="13"/>
        <v>225265</v>
      </c>
      <c r="Q426" s="56"/>
      <c r="R426" s="57">
        <v>1684467</v>
      </c>
      <c r="S426" s="58">
        <v>-11283</v>
      </c>
      <c r="T426" s="58">
        <v>1673184</v>
      </c>
    </row>
    <row r="427" spans="1:20">
      <c r="A427" s="54">
        <v>94402</v>
      </c>
      <c r="B427" s="55" t="s">
        <v>1803</v>
      </c>
      <c r="C427" s="106">
        <v>0</v>
      </c>
      <c r="D427" s="106">
        <v>0</v>
      </c>
      <c r="E427" s="56">
        <v>0</v>
      </c>
      <c r="F427" s="56"/>
      <c r="G427" s="57">
        <v>0</v>
      </c>
      <c r="H427" s="107">
        <v>0</v>
      </c>
      <c r="I427" s="57">
        <v>0</v>
      </c>
      <c r="J427" s="56">
        <v>0</v>
      </c>
      <c r="K427" s="107">
        <f t="shared" si="12"/>
        <v>0</v>
      </c>
      <c r="L427" s="56"/>
      <c r="M427" s="57">
        <v>0</v>
      </c>
      <c r="N427" s="57">
        <v>0</v>
      </c>
      <c r="O427" s="56">
        <v>1774367</v>
      </c>
      <c r="P427" s="107">
        <f t="shared" si="13"/>
        <v>1774367</v>
      </c>
      <c r="Q427" s="56"/>
      <c r="R427" s="57">
        <v>0</v>
      </c>
      <c r="S427" s="58">
        <v>-1007431</v>
      </c>
      <c r="T427" s="58">
        <v>-1007431</v>
      </c>
    </row>
    <row r="428" spans="1:20">
      <c r="A428" s="54">
        <v>94403</v>
      </c>
      <c r="B428" s="55" t="s">
        <v>1804</v>
      </c>
      <c r="C428" s="106">
        <v>2.2099999999999998E-5</v>
      </c>
      <c r="D428" s="106">
        <v>0</v>
      </c>
      <c r="E428" s="56">
        <v>33763</v>
      </c>
      <c r="F428" s="56"/>
      <c r="G428" s="57">
        <v>1945</v>
      </c>
      <c r="H428" s="107">
        <v>8198</v>
      </c>
      <c r="I428" s="57">
        <v>4822</v>
      </c>
      <c r="J428" s="56">
        <v>14624</v>
      </c>
      <c r="K428" s="107">
        <f t="shared" si="12"/>
        <v>29589</v>
      </c>
      <c r="L428" s="56"/>
      <c r="M428" s="57">
        <v>956</v>
      </c>
      <c r="N428" s="57">
        <v>0</v>
      </c>
      <c r="O428" s="56">
        <v>0</v>
      </c>
      <c r="P428" s="107">
        <f t="shared" si="13"/>
        <v>956</v>
      </c>
      <c r="Q428" s="56"/>
      <c r="R428" s="57">
        <v>11378</v>
      </c>
      <c r="S428" s="58">
        <v>3656</v>
      </c>
      <c r="T428" s="58">
        <v>15034</v>
      </c>
    </row>
    <row r="429" spans="1:20">
      <c r="A429" s="54">
        <v>94408</v>
      </c>
      <c r="B429" s="55" t="s">
        <v>1805</v>
      </c>
      <c r="C429" s="106">
        <v>4.2400000000000001E-5</v>
      </c>
      <c r="D429" s="106">
        <v>4.0099999999999999E-5</v>
      </c>
      <c r="E429" s="56">
        <v>64775</v>
      </c>
      <c r="F429" s="56"/>
      <c r="G429" s="57">
        <v>3732</v>
      </c>
      <c r="H429" s="107">
        <v>15728</v>
      </c>
      <c r="I429" s="57">
        <v>9251</v>
      </c>
      <c r="J429" s="56">
        <v>7577</v>
      </c>
      <c r="K429" s="107">
        <f t="shared" si="12"/>
        <v>36288</v>
      </c>
      <c r="L429" s="56"/>
      <c r="M429" s="57">
        <v>1834</v>
      </c>
      <c r="N429" s="57">
        <v>0</v>
      </c>
      <c r="O429" s="56">
        <v>4064</v>
      </c>
      <c r="P429" s="107">
        <f t="shared" si="13"/>
        <v>5898</v>
      </c>
      <c r="Q429" s="56"/>
      <c r="R429" s="57">
        <v>21829</v>
      </c>
      <c r="S429" s="58">
        <v>382</v>
      </c>
      <c r="T429" s="58">
        <v>22211</v>
      </c>
    </row>
    <row r="430" spans="1:20">
      <c r="A430" s="54">
        <v>94411</v>
      </c>
      <c r="B430" s="55" t="s">
        <v>1806</v>
      </c>
      <c r="C430" s="106">
        <v>1.2672E-3</v>
      </c>
      <c r="D430" s="106">
        <v>1.1592E-3</v>
      </c>
      <c r="E430" s="56">
        <v>1935931</v>
      </c>
      <c r="F430" s="56"/>
      <c r="G430" s="57">
        <v>111528</v>
      </c>
      <c r="H430" s="107">
        <v>470046</v>
      </c>
      <c r="I430" s="57">
        <v>276478</v>
      </c>
      <c r="J430" s="56">
        <v>63511</v>
      </c>
      <c r="K430" s="107">
        <f t="shared" si="12"/>
        <v>921563</v>
      </c>
      <c r="L430" s="56"/>
      <c r="M430" s="57">
        <v>54800</v>
      </c>
      <c r="N430" s="57">
        <v>0</v>
      </c>
      <c r="O430" s="56">
        <v>4125</v>
      </c>
      <c r="P430" s="107">
        <f t="shared" si="13"/>
        <v>58925</v>
      </c>
      <c r="Q430" s="56"/>
      <c r="R430" s="57">
        <v>652410</v>
      </c>
      <c r="S430" s="58">
        <v>18114</v>
      </c>
      <c r="T430" s="58">
        <v>670524</v>
      </c>
    </row>
    <row r="431" spans="1:20">
      <c r="A431" s="54">
        <v>94412</v>
      </c>
      <c r="B431" s="55" t="s">
        <v>1807</v>
      </c>
      <c r="C431" s="106">
        <v>1.5099999999999999E-5</v>
      </c>
      <c r="D431" s="106">
        <v>1.63E-5</v>
      </c>
      <c r="E431" s="56">
        <v>23069</v>
      </c>
      <c r="F431" s="56"/>
      <c r="G431" s="57">
        <v>1329</v>
      </c>
      <c r="H431" s="107">
        <v>5602</v>
      </c>
      <c r="I431" s="57">
        <v>3295</v>
      </c>
      <c r="J431" s="56">
        <v>12533</v>
      </c>
      <c r="K431" s="107">
        <f t="shared" si="12"/>
        <v>22759</v>
      </c>
      <c r="L431" s="56"/>
      <c r="M431" s="57">
        <v>653</v>
      </c>
      <c r="N431" s="57">
        <v>0</v>
      </c>
      <c r="O431" s="56">
        <v>0</v>
      </c>
      <c r="P431" s="107">
        <f t="shared" si="13"/>
        <v>653</v>
      </c>
      <c r="Q431" s="56"/>
      <c r="R431" s="57">
        <v>7774</v>
      </c>
      <c r="S431" s="58">
        <v>5893</v>
      </c>
      <c r="T431" s="58">
        <v>13667</v>
      </c>
    </row>
    <row r="432" spans="1:20">
      <c r="A432" s="54">
        <v>94421</v>
      </c>
      <c r="B432" s="55" t="s">
        <v>1808</v>
      </c>
      <c r="C432" s="106">
        <v>1.6679999999999999E-4</v>
      </c>
      <c r="D432" s="106">
        <v>1.6899999999999999E-4</v>
      </c>
      <c r="E432" s="56">
        <v>254824</v>
      </c>
      <c r="F432" s="56"/>
      <c r="G432" s="57">
        <v>14680</v>
      </c>
      <c r="H432" s="107">
        <v>61871</v>
      </c>
      <c r="I432" s="57">
        <v>36392</v>
      </c>
      <c r="J432" s="56">
        <v>4157</v>
      </c>
      <c r="K432" s="107">
        <f t="shared" si="12"/>
        <v>117100</v>
      </c>
      <c r="L432" s="56"/>
      <c r="M432" s="57">
        <v>7213</v>
      </c>
      <c r="N432" s="57">
        <v>0</v>
      </c>
      <c r="O432" s="56">
        <v>6763</v>
      </c>
      <c r="P432" s="107">
        <f t="shared" si="13"/>
        <v>13976</v>
      </c>
      <c r="Q432" s="56"/>
      <c r="R432" s="57">
        <v>85876</v>
      </c>
      <c r="S432" s="58">
        <v>-3870</v>
      </c>
      <c r="T432" s="58">
        <v>82006</v>
      </c>
    </row>
    <row r="433" spans="1:20">
      <c r="A433" s="54">
        <v>94427</v>
      </c>
      <c r="B433" s="55" t="s">
        <v>1809</v>
      </c>
      <c r="C433" s="106">
        <v>1.5699999999999999E-5</v>
      </c>
      <c r="D433" s="106">
        <v>1.29E-5</v>
      </c>
      <c r="E433" s="56">
        <v>23985</v>
      </c>
      <c r="F433" s="56"/>
      <c r="G433" s="57">
        <v>1382</v>
      </c>
      <c r="H433" s="107">
        <v>5824</v>
      </c>
      <c r="I433" s="57">
        <v>3425</v>
      </c>
      <c r="J433" s="56">
        <v>4090</v>
      </c>
      <c r="K433" s="107">
        <f t="shared" si="12"/>
        <v>14721</v>
      </c>
      <c r="L433" s="56"/>
      <c r="M433" s="57">
        <v>679</v>
      </c>
      <c r="N433" s="57">
        <v>0</v>
      </c>
      <c r="O433" s="56">
        <v>478</v>
      </c>
      <c r="P433" s="107">
        <f t="shared" si="13"/>
        <v>1157</v>
      </c>
      <c r="Q433" s="56"/>
      <c r="R433" s="57">
        <v>8083</v>
      </c>
      <c r="S433" s="58">
        <v>943</v>
      </c>
      <c r="T433" s="58">
        <v>9026</v>
      </c>
    </row>
    <row r="434" spans="1:20">
      <c r="A434" s="54">
        <v>94428</v>
      </c>
      <c r="B434" s="55" t="s">
        <v>1810</v>
      </c>
      <c r="C434" s="106">
        <v>6.5199999999999999E-5</v>
      </c>
      <c r="D434" s="106">
        <v>7.4400000000000006E-5</v>
      </c>
      <c r="E434" s="56">
        <v>99608</v>
      </c>
      <c r="F434" s="56"/>
      <c r="G434" s="57">
        <v>5738</v>
      </c>
      <c r="H434" s="107">
        <v>24185</v>
      </c>
      <c r="I434" s="57">
        <v>14225</v>
      </c>
      <c r="J434" s="56">
        <v>2315</v>
      </c>
      <c r="K434" s="107">
        <f t="shared" si="12"/>
        <v>46463</v>
      </c>
      <c r="L434" s="56"/>
      <c r="M434" s="57">
        <v>2820</v>
      </c>
      <c r="N434" s="57">
        <v>0</v>
      </c>
      <c r="O434" s="56">
        <v>3346</v>
      </c>
      <c r="P434" s="107">
        <f t="shared" si="13"/>
        <v>6166</v>
      </c>
      <c r="Q434" s="56"/>
      <c r="R434" s="57">
        <v>33568</v>
      </c>
      <c r="S434" s="58">
        <v>366</v>
      </c>
      <c r="T434" s="58">
        <v>33934</v>
      </c>
    </row>
    <row r="435" spans="1:20">
      <c r="A435" s="54">
        <v>94431</v>
      </c>
      <c r="B435" s="55" t="s">
        <v>1811</v>
      </c>
      <c r="C435" s="106">
        <v>4.2440000000000002E-4</v>
      </c>
      <c r="D435" s="106">
        <v>3.7589999999999998E-4</v>
      </c>
      <c r="E435" s="56">
        <v>648366</v>
      </c>
      <c r="F435" s="56"/>
      <c r="G435" s="57">
        <v>37352</v>
      </c>
      <c r="H435" s="107">
        <v>157424</v>
      </c>
      <c r="I435" s="57">
        <v>92596</v>
      </c>
      <c r="J435" s="56">
        <v>210809</v>
      </c>
      <c r="K435" s="107">
        <f t="shared" si="12"/>
        <v>498181</v>
      </c>
      <c r="L435" s="56"/>
      <c r="M435" s="57">
        <v>18353</v>
      </c>
      <c r="N435" s="57">
        <v>0</v>
      </c>
      <c r="O435" s="56">
        <v>611</v>
      </c>
      <c r="P435" s="107">
        <f t="shared" si="13"/>
        <v>18964</v>
      </c>
      <c r="Q435" s="56"/>
      <c r="R435" s="57">
        <v>218500</v>
      </c>
      <c r="S435" s="58">
        <v>68328</v>
      </c>
      <c r="T435" s="58">
        <v>286828</v>
      </c>
    </row>
    <row r="436" spans="1:20">
      <c r="A436" s="54">
        <v>94437</v>
      </c>
      <c r="B436" s="55" t="s">
        <v>1812</v>
      </c>
      <c r="C436" s="106">
        <v>1.5299999999999999E-5</v>
      </c>
      <c r="D436" s="106">
        <v>1.34E-5</v>
      </c>
      <c r="E436" s="56">
        <v>23374</v>
      </c>
      <c r="F436" s="56"/>
      <c r="G436" s="57">
        <v>1347</v>
      </c>
      <c r="H436" s="107">
        <v>5675</v>
      </c>
      <c r="I436" s="57">
        <v>3338</v>
      </c>
      <c r="J436" s="56">
        <v>13868</v>
      </c>
      <c r="K436" s="107">
        <f t="shared" si="12"/>
        <v>24228</v>
      </c>
      <c r="L436" s="56"/>
      <c r="M436" s="57">
        <v>662</v>
      </c>
      <c r="N436" s="57">
        <v>0</v>
      </c>
      <c r="O436" s="56">
        <v>0</v>
      </c>
      <c r="P436" s="107">
        <f t="shared" si="13"/>
        <v>662</v>
      </c>
      <c r="Q436" s="56"/>
      <c r="R436" s="57">
        <v>7877</v>
      </c>
      <c r="S436" s="58">
        <v>5640</v>
      </c>
      <c r="T436" s="58">
        <v>13517</v>
      </c>
    </row>
    <row r="437" spans="1:20">
      <c r="A437" s="54">
        <v>94501</v>
      </c>
      <c r="B437" s="55" t="s">
        <v>1813</v>
      </c>
      <c r="C437" s="106">
        <v>5.6991000000000003E-3</v>
      </c>
      <c r="D437" s="106">
        <v>5.8474E-3</v>
      </c>
      <c r="E437" s="56">
        <v>8706646</v>
      </c>
      <c r="F437" s="56"/>
      <c r="G437" s="57">
        <v>501583</v>
      </c>
      <c r="H437" s="107">
        <v>2113984</v>
      </c>
      <c r="I437" s="57">
        <v>1243430</v>
      </c>
      <c r="J437" s="56">
        <v>145440</v>
      </c>
      <c r="K437" s="107">
        <f t="shared" si="12"/>
        <v>4004437</v>
      </c>
      <c r="L437" s="56"/>
      <c r="M437" s="57">
        <v>246458</v>
      </c>
      <c r="N437" s="57">
        <v>0</v>
      </c>
      <c r="O437" s="56">
        <v>11569</v>
      </c>
      <c r="P437" s="107">
        <f t="shared" si="13"/>
        <v>258027</v>
      </c>
      <c r="Q437" s="56"/>
      <c r="R437" s="57">
        <v>2934147</v>
      </c>
      <c r="S437" s="58">
        <v>99795</v>
      </c>
      <c r="T437" s="58">
        <v>3033942</v>
      </c>
    </row>
    <row r="438" spans="1:20">
      <c r="A438" s="54">
        <v>94511</v>
      </c>
      <c r="B438" s="55" t="s">
        <v>1814</v>
      </c>
      <c r="C438" s="106">
        <v>1.8538999999999999E-3</v>
      </c>
      <c r="D438" s="106">
        <v>1.7432000000000001E-3</v>
      </c>
      <c r="E438" s="56">
        <v>2832246</v>
      </c>
      <c r="F438" s="56"/>
      <c r="G438" s="57">
        <v>163164</v>
      </c>
      <c r="H438" s="107">
        <v>687673</v>
      </c>
      <c r="I438" s="57">
        <v>404484</v>
      </c>
      <c r="J438" s="56">
        <v>155537</v>
      </c>
      <c r="K438" s="107">
        <f t="shared" si="12"/>
        <v>1410858</v>
      </c>
      <c r="L438" s="56"/>
      <c r="M438" s="57">
        <v>80172</v>
      </c>
      <c r="N438" s="57">
        <v>0</v>
      </c>
      <c r="O438" s="56">
        <v>31633</v>
      </c>
      <c r="P438" s="107">
        <f t="shared" si="13"/>
        <v>111805</v>
      </c>
      <c r="Q438" s="56"/>
      <c r="R438" s="57">
        <v>954469</v>
      </c>
      <c r="S438" s="58">
        <v>72914</v>
      </c>
      <c r="T438" s="58">
        <v>1027383</v>
      </c>
    </row>
    <row r="439" spans="1:20">
      <c r="A439" s="54">
        <v>94512</v>
      </c>
      <c r="B439" s="55" t="s">
        <v>1815</v>
      </c>
      <c r="C439" s="106">
        <v>0</v>
      </c>
      <c r="D439" s="106">
        <v>0</v>
      </c>
      <c r="E439" s="56">
        <v>0</v>
      </c>
      <c r="F439" s="56"/>
      <c r="G439" s="57">
        <v>0</v>
      </c>
      <c r="H439" s="107">
        <v>0</v>
      </c>
      <c r="I439" s="57">
        <v>0</v>
      </c>
      <c r="J439" s="56">
        <v>0</v>
      </c>
      <c r="K439" s="107">
        <f t="shared" si="12"/>
        <v>0</v>
      </c>
      <c r="L439" s="56"/>
      <c r="M439" s="57">
        <v>0</v>
      </c>
      <c r="N439" s="57">
        <v>0</v>
      </c>
      <c r="O439" s="56">
        <v>138579</v>
      </c>
      <c r="P439" s="107">
        <f t="shared" si="13"/>
        <v>138579</v>
      </c>
      <c r="Q439" s="56"/>
      <c r="R439" s="57">
        <v>0</v>
      </c>
      <c r="S439" s="58">
        <v>-78713</v>
      </c>
      <c r="T439" s="58">
        <v>-78713</v>
      </c>
    </row>
    <row r="440" spans="1:20">
      <c r="A440" s="54">
        <v>94517</v>
      </c>
      <c r="B440" s="55" t="s">
        <v>1816</v>
      </c>
      <c r="C440" s="106">
        <v>4.7599999999999998E-5</v>
      </c>
      <c r="D440" s="106">
        <v>4.9599999999999999E-5</v>
      </c>
      <c r="E440" s="56">
        <v>72720</v>
      </c>
      <c r="F440" s="56"/>
      <c r="G440" s="57">
        <v>4189</v>
      </c>
      <c r="H440" s="107">
        <v>17656</v>
      </c>
      <c r="I440" s="57">
        <v>10385</v>
      </c>
      <c r="J440" s="56">
        <v>18702</v>
      </c>
      <c r="K440" s="107">
        <f t="shared" si="12"/>
        <v>50932</v>
      </c>
      <c r="L440" s="56"/>
      <c r="M440" s="57">
        <v>2058</v>
      </c>
      <c r="N440" s="57">
        <v>0</v>
      </c>
      <c r="O440" s="56">
        <v>0</v>
      </c>
      <c r="P440" s="107">
        <f t="shared" si="13"/>
        <v>2058</v>
      </c>
      <c r="Q440" s="56"/>
      <c r="R440" s="57">
        <v>24507</v>
      </c>
      <c r="S440" s="58">
        <v>9021</v>
      </c>
      <c r="T440" s="58">
        <v>33528</v>
      </c>
    </row>
    <row r="441" spans="1:20">
      <c r="A441" s="54">
        <v>94521</v>
      </c>
      <c r="B441" s="55" t="s">
        <v>1817</v>
      </c>
      <c r="C441" s="106">
        <v>1.517E-4</v>
      </c>
      <c r="D441" s="106">
        <v>1.2410000000000001E-4</v>
      </c>
      <c r="E441" s="56">
        <v>231756</v>
      </c>
      <c r="F441" s="56"/>
      <c r="G441" s="57">
        <v>13351</v>
      </c>
      <c r="H441" s="107">
        <v>56271</v>
      </c>
      <c r="I441" s="57">
        <v>33098</v>
      </c>
      <c r="J441" s="56">
        <v>15354</v>
      </c>
      <c r="K441" s="107">
        <f t="shared" si="12"/>
        <v>118074</v>
      </c>
      <c r="L441" s="56"/>
      <c r="M441" s="57">
        <v>6560</v>
      </c>
      <c r="N441" s="57">
        <v>0</v>
      </c>
      <c r="O441" s="56">
        <v>13856</v>
      </c>
      <c r="P441" s="107">
        <f t="shared" si="13"/>
        <v>20416</v>
      </c>
      <c r="Q441" s="56"/>
      <c r="R441" s="57">
        <v>78102</v>
      </c>
      <c r="S441" s="58">
        <v>429</v>
      </c>
      <c r="T441" s="58">
        <v>78531</v>
      </c>
    </row>
    <row r="442" spans="1:20">
      <c r="A442" s="54">
        <v>94527</v>
      </c>
      <c r="B442" s="55" t="s">
        <v>1818</v>
      </c>
      <c r="C442" s="106">
        <v>5.4E-6</v>
      </c>
      <c r="D442" s="106">
        <v>6.3999999999999997E-6</v>
      </c>
      <c r="E442" s="56">
        <v>8250</v>
      </c>
      <c r="F442" s="56"/>
      <c r="G442" s="57">
        <v>475</v>
      </c>
      <c r="H442" s="107">
        <v>2003</v>
      </c>
      <c r="I442" s="57">
        <v>1178</v>
      </c>
      <c r="J442" s="56">
        <v>308</v>
      </c>
      <c r="K442" s="107">
        <f t="shared" si="12"/>
        <v>3964</v>
      </c>
      <c r="L442" s="56"/>
      <c r="M442" s="57">
        <v>234</v>
      </c>
      <c r="N442" s="57">
        <v>0</v>
      </c>
      <c r="O442" s="56">
        <v>3369</v>
      </c>
      <c r="P442" s="107">
        <f t="shared" si="13"/>
        <v>3603</v>
      </c>
      <c r="Q442" s="56"/>
      <c r="R442" s="57">
        <v>2780</v>
      </c>
      <c r="S442" s="58">
        <v>-953</v>
      </c>
      <c r="T442" s="58">
        <v>1827</v>
      </c>
    </row>
    <row r="443" spans="1:20">
      <c r="A443" s="54">
        <v>94531</v>
      </c>
      <c r="B443" s="55" t="s">
        <v>1819</v>
      </c>
      <c r="C443" s="106">
        <v>1.5E-5</v>
      </c>
      <c r="D443" s="106">
        <v>1.5500000000000001E-5</v>
      </c>
      <c r="E443" s="56">
        <v>22916</v>
      </c>
      <c r="F443" s="56"/>
      <c r="G443" s="57">
        <v>1320</v>
      </c>
      <c r="H443" s="107">
        <v>5564</v>
      </c>
      <c r="I443" s="57">
        <v>3273</v>
      </c>
      <c r="J443" s="56">
        <v>6665</v>
      </c>
      <c r="K443" s="107">
        <f t="shared" si="12"/>
        <v>16822</v>
      </c>
      <c r="L443" s="56"/>
      <c r="M443" s="57">
        <v>649</v>
      </c>
      <c r="N443" s="57">
        <v>0</v>
      </c>
      <c r="O443" s="56">
        <v>0</v>
      </c>
      <c r="P443" s="107">
        <f t="shared" si="13"/>
        <v>649</v>
      </c>
      <c r="Q443" s="56"/>
      <c r="R443" s="57">
        <v>7723</v>
      </c>
      <c r="S443" s="58">
        <v>2681</v>
      </c>
      <c r="T443" s="58">
        <v>10404</v>
      </c>
    </row>
    <row r="444" spans="1:20">
      <c r="A444" s="54">
        <v>94532</v>
      </c>
      <c r="B444" s="55" t="s">
        <v>1820</v>
      </c>
      <c r="C444" s="106">
        <v>8.7800000000000006E-5</v>
      </c>
      <c r="D444" s="106">
        <v>9.4099999999999997E-5</v>
      </c>
      <c r="E444" s="56">
        <v>134134</v>
      </c>
      <c r="F444" s="56"/>
      <c r="G444" s="57">
        <v>7727</v>
      </c>
      <c r="H444" s="107">
        <v>32568</v>
      </c>
      <c r="I444" s="57">
        <v>19156</v>
      </c>
      <c r="J444" s="56">
        <v>0</v>
      </c>
      <c r="K444" s="107">
        <f t="shared" si="12"/>
        <v>59451</v>
      </c>
      <c r="L444" s="56"/>
      <c r="M444" s="57">
        <v>3797</v>
      </c>
      <c r="N444" s="57">
        <v>0</v>
      </c>
      <c r="O444" s="56">
        <v>10367</v>
      </c>
      <c r="P444" s="107">
        <f t="shared" si="13"/>
        <v>14164</v>
      </c>
      <c r="Q444" s="56"/>
      <c r="R444" s="57">
        <v>45203</v>
      </c>
      <c r="S444" s="58">
        <v>-5525</v>
      </c>
      <c r="T444" s="58">
        <v>39678</v>
      </c>
    </row>
    <row r="445" spans="1:20">
      <c r="A445" s="54">
        <v>94541</v>
      </c>
      <c r="B445" s="55" t="s">
        <v>1821</v>
      </c>
      <c r="C445" s="106">
        <v>2.9300000000000002E-4</v>
      </c>
      <c r="D445" s="106">
        <v>2.9839999999999999E-4</v>
      </c>
      <c r="E445" s="56">
        <v>447623</v>
      </c>
      <c r="F445" s="56"/>
      <c r="G445" s="57">
        <v>25787</v>
      </c>
      <c r="H445" s="107">
        <v>108683</v>
      </c>
      <c r="I445" s="57">
        <v>63927</v>
      </c>
      <c r="J445" s="56">
        <v>0</v>
      </c>
      <c r="K445" s="107">
        <f t="shared" si="12"/>
        <v>198397</v>
      </c>
      <c r="L445" s="56"/>
      <c r="M445" s="57">
        <v>12671</v>
      </c>
      <c r="N445" s="57">
        <v>0</v>
      </c>
      <c r="O445" s="56">
        <v>27614</v>
      </c>
      <c r="P445" s="107">
        <f t="shared" si="13"/>
        <v>40285</v>
      </c>
      <c r="Q445" s="56"/>
      <c r="R445" s="57">
        <v>150849</v>
      </c>
      <c r="S445" s="58">
        <v>-10625</v>
      </c>
      <c r="T445" s="58">
        <v>140224</v>
      </c>
    </row>
    <row r="446" spans="1:20">
      <c r="A446" s="54">
        <v>94547</v>
      </c>
      <c r="B446" s="55" t="s">
        <v>1822</v>
      </c>
      <c r="C446" s="106">
        <v>1.08E-5</v>
      </c>
      <c r="D446" s="106">
        <v>1.24E-5</v>
      </c>
      <c r="E446" s="56">
        <v>16499</v>
      </c>
      <c r="F446" s="56"/>
      <c r="G446" s="57">
        <v>951</v>
      </c>
      <c r="H446" s="107">
        <v>4006</v>
      </c>
      <c r="I446" s="57">
        <v>2356</v>
      </c>
      <c r="J446" s="56">
        <v>2853</v>
      </c>
      <c r="K446" s="107">
        <f t="shared" si="12"/>
        <v>10166</v>
      </c>
      <c r="L446" s="56"/>
      <c r="M446" s="57">
        <v>467</v>
      </c>
      <c r="N446" s="57">
        <v>0</v>
      </c>
      <c r="O446" s="56">
        <v>0</v>
      </c>
      <c r="P446" s="107">
        <f t="shared" si="13"/>
        <v>467</v>
      </c>
      <c r="Q446" s="56"/>
      <c r="R446" s="57">
        <v>5560</v>
      </c>
      <c r="S446" s="58">
        <v>1000</v>
      </c>
      <c r="T446" s="58">
        <v>6560</v>
      </c>
    </row>
    <row r="447" spans="1:20">
      <c r="A447" s="54">
        <v>94551</v>
      </c>
      <c r="B447" s="55" t="s">
        <v>1823</v>
      </c>
      <c r="C447" s="106">
        <v>4.1900000000000002E-5</v>
      </c>
      <c r="D447" s="106">
        <v>4.5899999999999998E-5</v>
      </c>
      <c r="E447" s="56">
        <v>64012</v>
      </c>
      <c r="F447" s="56"/>
      <c r="G447" s="57">
        <v>3688</v>
      </c>
      <c r="H447" s="107">
        <v>15543</v>
      </c>
      <c r="I447" s="57">
        <v>9142</v>
      </c>
      <c r="J447" s="56">
        <v>11600</v>
      </c>
      <c r="K447" s="107">
        <f t="shared" si="12"/>
        <v>39973</v>
      </c>
      <c r="L447" s="56"/>
      <c r="M447" s="57">
        <v>1812</v>
      </c>
      <c r="N447" s="57">
        <v>0</v>
      </c>
      <c r="O447" s="56">
        <v>1576</v>
      </c>
      <c r="P447" s="107">
        <f t="shared" si="13"/>
        <v>3388</v>
      </c>
      <c r="Q447" s="56"/>
      <c r="R447" s="57">
        <v>21572</v>
      </c>
      <c r="S447" s="58">
        <v>4116</v>
      </c>
      <c r="T447" s="58">
        <v>25688</v>
      </c>
    </row>
    <row r="448" spans="1:20">
      <c r="A448" s="54">
        <v>94601</v>
      </c>
      <c r="B448" s="55" t="s">
        <v>1824</v>
      </c>
      <c r="C448" s="106">
        <v>1.0602999999999999E-3</v>
      </c>
      <c r="D448" s="106">
        <v>1.0011E-3</v>
      </c>
      <c r="E448" s="56">
        <v>1619845</v>
      </c>
      <c r="F448" s="56"/>
      <c r="G448" s="57">
        <v>93318</v>
      </c>
      <c r="H448" s="107">
        <v>393300</v>
      </c>
      <c r="I448" s="57">
        <v>231336</v>
      </c>
      <c r="J448" s="56">
        <v>77480</v>
      </c>
      <c r="K448" s="107">
        <f t="shared" si="12"/>
        <v>795434</v>
      </c>
      <c r="L448" s="56"/>
      <c r="M448" s="57">
        <v>45853</v>
      </c>
      <c r="N448" s="57">
        <v>0</v>
      </c>
      <c r="O448" s="56">
        <v>2182</v>
      </c>
      <c r="P448" s="107">
        <f t="shared" si="13"/>
        <v>48035</v>
      </c>
      <c r="Q448" s="56"/>
      <c r="R448" s="57">
        <v>545889</v>
      </c>
      <c r="S448" s="58">
        <v>21640</v>
      </c>
      <c r="T448" s="58">
        <v>567529</v>
      </c>
    </row>
    <row r="449" spans="1:20">
      <c r="A449" s="54">
        <v>94604</v>
      </c>
      <c r="B449" s="55" t="s">
        <v>1825</v>
      </c>
      <c r="C449" s="106">
        <v>2.62E-5</v>
      </c>
      <c r="D449" s="106">
        <v>2.65E-5</v>
      </c>
      <c r="E449" s="56">
        <v>40026</v>
      </c>
      <c r="F449" s="56"/>
      <c r="G449" s="57">
        <v>2306</v>
      </c>
      <c r="H449" s="107">
        <v>9718</v>
      </c>
      <c r="I449" s="57">
        <v>5716</v>
      </c>
      <c r="J449" s="56">
        <v>2471</v>
      </c>
      <c r="K449" s="107">
        <f t="shared" si="12"/>
        <v>20211</v>
      </c>
      <c r="L449" s="56"/>
      <c r="M449" s="57">
        <v>1133</v>
      </c>
      <c r="N449" s="57">
        <v>0</v>
      </c>
      <c r="O449" s="56">
        <v>26</v>
      </c>
      <c r="P449" s="107">
        <f t="shared" si="13"/>
        <v>1159</v>
      </c>
      <c r="Q449" s="56"/>
      <c r="R449" s="57">
        <v>13489</v>
      </c>
      <c r="S449" s="58">
        <v>697</v>
      </c>
      <c r="T449" s="58">
        <v>14186</v>
      </c>
    </row>
    <row r="450" spans="1:20">
      <c r="A450" s="54">
        <v>94606</v>
      </c>
      <c r="B450" s="55" t="s">
        <v>1826</v>
      </c>
      <c r="C450" s="106">
        <v>2.3550000000000001E-4</v>
      </c>
      <c r="D450" s="106">
        <v>2.6229999999999998E-4</v>
      </c>
      <c r="E450" s="56">
        <v>359779</v>
      </c>
      <c r="F450" s="56"/>
      <c r="G450" s="57">
        <v>20727</v>
      </c>
      <c r="H450" s="107">
        <v>87355</v>
      </c>
      <c r="I450" s="57">
        <v>51381</v>
      </c>
      <c r="J450" s="56">
        <v>0</v>
      </c>
      <c r="K450" s="107">
        <f t="shared" si="12"/>
        <v>159463</v>
      </c>
      <c r="L450" s="56"/>
      <c r="M450" s="57">
        <v>10184</v>
      </c>
      <c r="N450" s="57">
        <v>0</v>
      </c>
      <c r="O450" s="56">
        <v>51703</v>
      </c>
      <c r="P450" s="107">
        <f t="shared" si="13"/>
        <v>61887</v>
      </c>
      <c r="Q450" s="56"/>
      <c r="R450" s="57">
        <v>121246</v>
      </c>
      <c r="S450" s="58">
        <v>-24169</v>
      </c>
      <c r="T450" s="58">
        <v>97077</v>
      </c>
    </row>
    <row r="451" spans="1:20">
      <c r="A451" s="54">
        <v>94611</v>
      </c>
      <c r="B451" s="55" t="s">
        <v>1827</v>
      </c>
      <c r="C451" s="106">
        <v>3.6850000000000001E-4</v>
      </c>
      <c r="D451" s="106">
        <v>4.4450000000000002E-4</v>
      </c>
      <c r="E451" s="56">
        <v>562966</v>
      </c>
      <c r="F451" s="56"/>
      <c r="G451" s="57">
        <v>32432</v>
      </c>
      <c r="H451" s="107">
        <v>136689</v>
      </c>
      <c r="I451" s="57">
        <v>80399</v>
      </c>
      <c r="J451" s="56">
        <v>2567</v>
      </c>
      <c r="K451" s="107">
        <f t="shared" si="12"/>
        <v>252087</v>
      </c>
      <c r="L451" s="56"/>
      <c r="M451" s="57">
        <v>15936</v>
      </c>
      <c r="N451" s="57">
        <v>0</v>
      </c>
      <c r="O451" s="56">
        <v>35426</v>
      </c>
      <c r="P451" s="107">
        <f t="shared" si="13"/>
        <v>51362</v>
      </c>
      <c r="Q451" s="56"/>
      <c r="R451" s="57">
        <v>189720</v>
      </c>
      <c r="S451" s="58">
        <v>-9323</v>
      </c>
      <c r="T451" s="58">
        <v>180397</v>
      </c>
    </row>
    <row r="452" spans="1:20">
      <c r="A452" s="54">
        <v>94621</v>
      </c>
      <c r="B452" s="55" t="s">
        <v>1828</v>
      </c>
      <c r="C452" s="106">
        <v>9.7600000000000001E-5</v>
      </c>
      <c r="D452" s="106">
        <v>1.3119999999999999E-4</v>
      </c>
      <c r="E452" s="56">
        <v>149106</v>
      </c>
      <c r="F452" s="56"/>
      <c r="G452" s="57">
        <v>8590</v>
      </c>
      <c r="H452" s="107">
        <v>36203</v>
      </c>
      <c r="I452" s="57">
        <v>21294</v>
      </c>
      <c r="J452" s="56">
        <v>6585</v>
      </c>
      <c r="K452" s="107">
        <f t="shared" si="12"/>
        <v>72672</v>
      </c>
      <c r="L452" s="56"/>
      <c r="M452" s="57">
        <v>4221</v>
      </c>
      <c r="N452" s="57">
        <v>0</v>
      </c>
      <c r="O452" s="56">
        <v>18055</v>
      </c>
      <c r="P452" s="107">
        <f t="shared" si="13"/>
        <v>22276</v>
      </c>
      <c r="Q452" s="56"/>
      <c r="R452" s="57">
        <v>50249</v>
      </c>
      <c r="S452" s="58">
        <v>-1288</v>
      </c>
      <c r="T452" s="58">
        <v>48961</v>
      </c>
    </row>
    <row r="453" spans="1:20">
      <c r="A453" s="54">
        <v>94631</v>
      </c>
      <c r="B453" s="55" t="s">
        <v>1829</v>
      </c>
      <c r="C453" s="106">
        <v>3.9100000000000002E-5</v>
      </c>
      <c r="D453" s="106">
        <v>3.9799999999999998E-5</v>
      </c>
      <c r="E453" s="56">
        <v>59734</v>
      </c>
      <c r="F453" s="56"/>
      <c r="G453" s="57">
        <v>3441</v>
      </c>
      <c r="H453" s="107">
        <v>14504</v>
      </c>
      <c r="I453" s="57">
        <v>8531</v>
      </c>
      <c r="J453" s="56">
        <v>6569</v>
      </c>
      <c r="K453" s="107">
        <f t="shared" si="12"/>
        <v>33045</v>
      </c>
      <c r="L453" s="56"/>
      <c r="M453" s="57">
        <v>1691</v>
      </c>
      <c r="N453" s="57">
        <v>0</v>
      </c>
      <c r="O453" s="56">
        <v>0</v>
      </c>
      <c r="P453" s="107">
        <f t="shared" si="13"/>
        <v>1691</v>
      </c>
      <c r="Q453" s="56"/>
      <c r="R453" s="57">
        <v>20130</v>
      </c>
      <c r="S453" s="58">
        <v>2517</v>
      </c>
      <c r="T453" s="58">
        <v>22647</v>
      </c>
    </row>
    <row r="454" spans="1:20">
      <c r="A454" s="54">
        <v>94641</v>
      </c>
      <c r="B454" s="55" t="s">
        <v>1830</v>
      </c>
      <c r="C454" s="106">
        <v>3.8999999999999999E-6</v>
      </c>
      <c r="D454" s="106">
        <v>4.6999999999999999E-6</v>
      </c>
      <c r="E454" s="56">
        <v>5958</v>
      </c>
      <c r="F454" s="56"/>
      <c r="G454" s="57">
        <v>343</v>
      </c>
      <c r="H454" s="107">
        <v>1446</v>
      </c>
      <c r="I454" s="57">
        <v>851</v>
      </c>
      <c r="J454" s="56">
        <v>5156</v>
      </c>
      <c r="K454" s="107">
        <f t="shared" si="12"/>
        <v>7796</v>
      </c>
      <c r="L454" s="56"/>
      <c r="M454" s="57">
        <v>169</v>
      </c>
      <c r="N454" s="57">
        <v>0</v>
      </c>
      <c r="O454" s="56">
        <v>0</v>
      </c>
      <c r="P454" s="107">
        <f t="shared" si="13"/>
        <v>169</v>
      </c>
      <c r="Q454" s="56"/>
      <c r="R454" s="57">
        <v>2008</v>
      </c>
      <c r="S454" s="58">
        <v>2187</v>
      </c>
      <c r="T454" s="58">
        <v>4195</v>
      </c>
    </row>
    <row r="455" spans="1:20">
      <c r="A455" s="54">
        <v>94701</v>
      </c>
      <c r="B455" s="55" t="s">
        <v>1831</v>
      </c>
      <c r="C455" s="106">
        <v>2.5446000000000002E-3</v>
      </c>
      <c r="D455" s="106">
        <v>2.5636000000000001E-3</v>
      </c>
      <c r="E455" s="56">
        <v>3887444</v>
      </c>
      <c r="F455" s="56"/>
      <c r="G455" s="57">
        <v>223953</v>
      </c>
      <c r="H455" s="107">
        <v>943877</v>
      </c>
      <c r="I455" s="57">
        <v>555181</v>
      </c>
      <c r="J455" s="56">
        <v>45251</v>
      </c>
      <c r="K455" s="107">
        <f t="shared" ref="K455:K518" si="14">G455+H455+I455+J455</f>
        <v>1768262</v>
      </c>
      <c r="L455" s="56"/>
      <c r="M455" s="57">
        <v>110041</v>
      </c>
      <c r="N455" s="57">
        <v>0</v>
      </c>
      <c r="O455" s="56">
        <v>103182</v>
      </c>
      <c r="P455" s="107">
        <f t="shared" ref="P455:P518" si="15">M455+N455+O455</f>
        <v>213223</v>
      </c>
      <c r="Q455" s="56"/>
      <c r="R455" s="57">
        <v>1310072</v>
      </c>
      <c r="S455" s="58">
        <v>-2731</v>
      </c>
      <c r="T455" s="58">
        <v>1307341</v>
      </c>
    </row>
    <row r="456" spans="1:20">
      <c r="A456" s="54">
        <v>94704</v>
      </c>
      <c r="B456" s="55" t="s">
        <v>1832</v>
      </c>
      <c r="C456" s="106">
        <v>9.5000000000000005E-6</v>
      </c>
      <c r="D456" s="106">
        <v>1.04E-5</v>
      </c>
      <c r="E456" s="56">
        <v>14513</v>
      </c>
      <c r="F456" s="56"/>
      <c r="G456" s="57">
        <v>836</v>
      </c>
      <c r="H456" s="107">
        <v>3524</v>
      </c>
      <c r="I456" s="57">
        <v>2073</v>
      </c>
      <c r="J456" s="56">
        <v>77</v>
      </c>
      <c r="K456" s="107">
        <f t="shared" si="14"/>
        <v>6510</v>
      </c>
      <c r="L456" s="56"/>
      <c r="M456" s="57">
        <v>411</v>
      </c>
      <c r="N456" s="57">
        <v>0</v>
      </c>
      <c r="O456" s="56">
        <v>100</v>
      </c>
      <c r="P456" s="107">
        <f t="shared" si="15"/>
        <v>511</v>
      </c>
      <c r="Q456" s="56"/>
      <c r="R456" s="57">
        <v>4891</v>
      </c>
      <c r="S456" s="58">
        <v>38</v>
      </c>
      <c r="T456" s="58">
        <v>4929</v>
      </c>
    </row>
    <row r="457" spans="1:20">
      <c r="A457" s="54">
        <v>94711</v>
      </c>
      <c r="B457" s="55" t="s">
        <v>1833</v>
      </c>
      <c r="C457" s="106">
        <v>3.3599999999999998E-4</v>
      </c>
      <c r="D457" s="106">
        <v>3.5110000000000002E-4</v>
      </c>
      <c r="E457" s="56">
        <v>513315</v>
      </c>
      <c r="F457" s="56"/>
      <c r="G457" s="57">
        <v>29572</v>
      </c>
      <c r="H457" s="107">
        <v>124633</v>
      </c>
      <c r="I457" s="57">
        <v>73308</v>
      </c>
      <c r="J457" s="56">
        <v>9113</v>
      </c>
      <c r="K457" s="107">
        <f t="shared" si="14"/>
        <v>236626</v>
      </c>
      <c r="L457" s="56"/>
      <c r="M457" s="57">
        <v>14530</v>
      </c>
      <c r="N457" s="57">
        <v>0</v>
      </c>
      <c r="O457" s="56">
        <v>6693</v>
      </c>
      <c r="P457" s="107">
        <f t="shared" si="15"/>
        <v>21223</v>
      </c>
      <c r="Q457" s="56"/>
      <c r="R457" s="57">
        <v>172988</v>
      </c>
      <c r="S457" s="58">
        <v>1163</v>
      </c>
      <c r="T457" s="58">
        <v>174151</v>
      </c>
    </row>
    <row r="458" spans="1:20">
      <c r="A458" s="54">
        <v>94801</v>
      </c>
      <c r="B458" s="55" t="s">
        <v>1834</v>
      </c>
      <c r="C458" s="106">
        <v>7.2440000000000004E-4</v>
      </c>
      <c r="D458" s="106">
        <v>7.6539999999999996E-4</v>
      </c>
      <c r="E458" s="56">
        <v>1106683</v>
      </c>
      <c r="F458" s="56"/>
      <c r="G458" s="57">
        <v>63755</v>
      </c>
      <c r="H458" s="107">
        <v>268704</v>
      </c>
      <c r="I458" s="57">
        <v>158050</v>
      </c>
      <c r="J458" s="56">
        <v>40380</v>
      </c>
      <c r="K458" s="107">
        <f t="shared" si="14"/>
        <v>530889</v>
      </c>
      <c r="L458" s="56"/>
      <c r="M458" s="57">
        <v>31327</v>
      </c>
      <c r="N458" s="57">
        <v>0</v>
      </c>
      <c r="O458" s="56">
        <v>19605</v>
      </c>
      <c r="P458" s="107">
        <f t="shared" si="15"/>
        <v>50932</v>
      </c>
      <c r="Q458" s="56"/>
      <c r="R458" s="57">
        <v>372953</v>
      </c>
      <c r="S458" s="58">
        <v>17711</v>
      </c>
      <c r="T458" s="58">
        <v>390664</v>
      </c>
    </row>
    <row r="459" spans="1:20">
      <c r="A459" s="54">
        <v>94804</v>
      </c>
      <c r="B459" s="55" t="s">
        <v>1835</v>
      </c>
      <c r="C459" s="106">
        <v>3.8E-6</v>
      </c>
      <c r="D459" s="106">
        <v>3.8E-6</v>
      </c>
      <c r="E459" s="56">
        <v>5805</v>
      </c>
      <c r="F459" s="56"/>
      <c r="G459" s="57">
        <v>334</v>
      </c>
      <c r="H459" s="107">
        <v>1409</v>
      </c>
      <c r="I459" s="57">
        <v>829</v>
      </c>
      <c r="J459" s="56">
        <v>2556</v>
      </c>
      <c r="K459" s="107">
        <f t="shared" si="14"/>
        <v>5128</v>
      </c>
      <c r="L459" s="56"/>
      <c r="M459" s="57">
        <v>164</v>
      </c>
      <c r="N459" s="57">
        <v>0</v>
      </c>
      <c r="O459" s="56">
        <v>218</v>
      </c>
      <c r="P459" s="107">
        <f t="shared" si="15"/>
        <v>382</v>
      </c>
      <c r="Q459" s="56"/>
      <c r="R459" s="57">
        <v>1956</v>
      </c>
      <c r="S459" s="58">
        <v>1879</v>
      </c>
      <c r="T459" s="58">
        <v>3835</v>
      </c>
    </row>
    <row r="460" spans="1:20">
      <c r="A460" s="54">
        <v>94812</v>
      </c>
      <c r="B460" s="55" t="s">
        <v>1836</v>
      </c>
      <c r="C460" s="106">
        <v>3.3000000000000003E-5</v>
      </c>
      <c r="D460" s="106">
        <v>3.3500000000000001E-5</v>
      </c>
      <c r="E460" s="56">
        <v>50415</v>
      </c>
      <c r="F460" s="56"/>
      <c r="G460" s="57">
        <v>2904</v>
      </c>
      <c r="H460" s="107">
        <v>12241</v>
      </c>
      <c r="I460" s="57">
        <v>7200</v>
      </c>
      <c r="J460" s="56">
        <v>10442</v>
      </c>
      <c r="K460" s="107">
        <f t="shared" si="14"/>
        <v>32787</v>
      </c>
      <c r="L460" s="56"/>
      <c r="M460" s="57">
        <v>1427</v>
      </c>
      <c r="N460" s="57">
        <v>0</v>
      </c>
      <c r="O460" s="56">
        <v>0</v>
      </c>
      <c r="P460" s="107">
        <f t="shared" si="15"/>
        <v>1427</v>
      </c>
      <c r="Q460" s="56"/>
      <c r="R460" s="57">
        <v>16990</v>
      </c>
      <c r="S460" s="58">
        <v>4040</v>
      </c>
      <c r="T460" s="58">
        <v>21030</v>
      </c>
    </row>
    <row r="461" spans="1:20">
      <c r="A461" s="54">
        <v>94901</v>
      </c>
      <c r="B461" s="55" t="s">
        <v>1837</v>
      </c>
      <c r="C461" s="106">
        <v>6.7841999999999998E-3</v>
      </c>
      <c r="D461" s="106">
        <v>7.0014999999999999E-3</v>
      </c>
      <c r="E461" s="56">
        <v>10364378</v>
      </c>
      <c r="F461" s="56"/>
      <c r="G461" s="57">
        <v>597084</v>
      </c>
      <c r="H461" s="107">
        <v>2516484</v>
      </c>
      <c r="I461" s="57">
        <v>1480177</v>
      </c>
      <c r="J461" s="56">
        <v>16760</v>
      </c>
      <c r="K461" s="107">
        <f t="shared" si="14"/>
        <v>4610505</v>
      </c>
      <c r="L461" s="56"/>
      <c r="M461" s="57">
        <v>293383</v>
      </c>
      <c r="N461" s="57">
        <v>0</v>
      </c>
      <c r="O461" s="56">
        <v>129476</v>
      </c>
      <c r="P461" s="107">
        <f t="shared" si="15"/>
        <v>422859</v>
      </c>
      <c r="Q461" s="56"/>
      <c r="R461" s="57">
        <v>3492805</v>
      </c>
      <c r="S461" s="58">
        <v>-36324</v>
      </c>
      <c r="T461" s="58">
        <v>3456481</v>
      </c>
    </row>
    <row r="462" spans="1:20">
      <c r="A462" s="54">
        <v>94908</v>
      </c>
      <c r="B462" s="55" t="s">
        <v>1838</v>
      </c>
      <c r="C462" s="106">
        <v>7.7000000000000008E-6</v>
      </c>
      <c r="D462" s="106">
        <v>3.9799999999999998E-5</v>
      </c>
      <c r="E462" s="56">
        <v>11763</v>
      </c>
      <c r="F462" s="56"/>
      <c r="G462" s="57">
        <v>678</v>
      </c>
      <c r="H462" s="107">
        <v>2857</v>
      </c>
      <c r="I462" s="57">
        <v>1680</v>
      </c>
      <c r="J462" s="56">
        <v>0</v>
      </c>
      <c r="K462" s="107">
        <f t="shared" si="14"/>
        <v>5215</v>
      </c>
      <c r="L462" s="56"/>
      <c r="M462" s="57">
        <v>333</v>
      </c>
      <c r="N462" s="57">
        <v>0</v>
      </c>
      <c r="O462" s="56">
        <v>21664</v>
      </c>
      <c r="P462" s="107">
        <f t="shared" si="15"/>
        <v>21997</v>
      </c>
      <c r="Q462" s="56"/>
      <c r="R462" s="57">
        <v>3964</v>
      </c>
      <c r="S462" s="58">
        <v>-6783</v>
      </c>
      <c r="T462" s="58">
        <v>-2819</v>
      </c>
    </row>
    <row r="463" spans="1:20">
      <c r="A463" s="54">
        <v>94911</v>
      </c>
      <c r="B463" s="55" t="s">
        <v>1839</v>
      </c>
      <c r="C463" s="106">
        <v>2.8311E-3</v>
      </c>
      <c r="D463" s="106">
        <v>2.7745999999999999E-3</v>
      </c>
      <c r="E463" s="56">
        <v>4325137</v>
      </c>
      <c r="F463" s="56"/>
      <c r="G463" s="57">
        <v>249168</v>
      </c>
      <c r="H463" s="107">
        <v>1050149</v>
      </c>
      <c r="I463" s="57">
        <v>617689</v>
      </c>
      <c r="J463" s="56">
        <v>39747</v>
      </c>
      <c r="K463" s="107">
        <f t="shared" si="14"/>
        <v>1956753</v>
      </c>
      <c r="L463" s="56"/>
      <c r="M463" s="57">
        <v>122431</v>
      </c>
      <c r="N463" s="57">
        <v>0</v>
      </c>
      <c r="O463" s="56">
        <v>40147</v>
      </c>
      <c r="P463" s="107">
        <f t="shared" si="15"/>
        <v>162578</v>
      </c>
      <c r="Q463" s="56"/>
      <c r="R463" s="57">
        <v>1457575</v>
      </c>
      <c r="S463" s="58">
        <v>-7457</v>
      </c>
      <c r="T463" s="58">
        <v>1450118</v>
      </c>
    </row>
    <row r="464" spans="1:20">
      <c r="A464" s="54">
        <v>94917</v>
      </c>
      <c r="B464" s="55" t="s">
        <v>1840</v>
      </c>
      <c r="C464" s="106">
        <v>3.5099999999999999E-5</v>
      </c>
      <c r="D464" s="106">
        <v>3.7400000000000001E-5</v>
      </c>
      <c r="E464" s="56">
        <v>53623</v>
      </c>
      <c r="F464" s="56"/>
      <c r="G464" s="57">
        <v>3089</v>
      </c>
      <c r="H464" s="107">
        <v>13020</v>
      </c>
      <c r="I464" s="57">
        <v>7658</v>
      </c>
      <c r="J464" s="56">
        <v>16574</v>
      </c>
      <c r="K464" s="107">
        <f t="shared" si="14"/>
        <v>40341</v>
      </c>
      <c r="L464" s="56"/>
      <c r="M464" s="57">
        <v>1518</v>
      </c>
      <c r="N464" s="57">
        <v>0</v>
      </c>
      <c r="O464" s="56">
        <v>0</v>
      </c>
      <c r="P464" s="107">
        <f t="shared" si="15"/>
        <v>1518</v>
      </c>
      <c r="Q464" s="56"/>
      <c r="R464" s="57">
        <v>18071</v>
      </c>
      <c r="S464" s="58">
        <v>7114</v>
      </c>
      <c r="T464" s="58">
        <v>25185</v>
      </c>
    </row>
    <row r="465" spans="1:20">
      <c r="A465" s="54">
        <v>94921</v>
      </c>
      <c r="B465" s="55" t="s">
        <v>1841</v>
      </c>
      <c r="C465" s="106">
        <v>3.9515000000000002E-3</v>
      </c>
      <c r="D465" s="106">
        <v>3.7063E-3</v>
      </c>
      <c r="E465" s="56">
        <v>6036797</v>
      </c>
      <c r="F465" s="56"/>
      <c r="G465" s="57">
        <v>347775</v>
      </c>
      <c r="H465" s="107">
        <v>1465741</v>
      </c>
      <c r="I465" s="57">
        <v>862138</v>
      </c>
      <c r="J465" s="56">
        <v>19200</v>
      </c>
      <c r="K465" s="107">
        <f t="shared" si="14"/>
        <v>2694854</v>
      </c>
      <c r="L465" s="56"/>
      <c r="M465" s="57">
        <v>170883</v>
      </c>
      <c r="N465" s="57">
        <v>0</v>
      </c>
      <c r="O465" s="56">
        <v>350239</v>
      </c>
      <c r="P465" s="107">
        <f t="shared" si="15"/>
        <v>521122</v>
      </c>
      <c r="Q465" s="56"/>
      <c r="R465" s="57">
        <v>2034406</v>
      </c>
      <c r="S465" s="58">
        <v>-150626</v>
      </c>
      <c r="T465" s="58">
        <v>1883780</v>
      </c>
    </row>
    <row r="466" spans="1:20">
      <c r="A466" s="54">
        <v>94923</v>
      </c>
      <c r="B466" s="55" t="s">
        <v>1842</v>
      </c>
      <c r="C466" s="106">
        <v>3.0700000000000001E-5</v>
      </c>
      <c r="D466" s="106">
        <v>2.4499999999999999E-5</v>
      </c>
      <c r="E466" s="56">
        <v>46901</v>
      </c>
      <c r="F466" s="56"/>
      <c r="G466" s="57">
        <v>2702</v>
      </c>
      <c r="H466" s="107">
        <v>11387</v>
      </c>
      <c r="I466" s="57">
        <v>6698</v>
      </c>
      <c r="J466" s="56">
        <v>5727</v>
      </c>
      <c r="K466" s="107">
        <f t="shared" si="14"/>
        <v>26514</v>
      </c>
      <c r="L466" s="56"/>
      <c r="M466" s="57">
        <v>1328</v>
      </c>
      <c r="N466" s="57">
        <v>0</v>
      </c>
      <c r="O466" s="56">
        <v>86</v>
      </c>
      <c r="P466" s="107">
        <f t="shared" si="15"/>
        <v>1414</v>
      </c>
      <c r="Q466" s="56"/>
      <c r="R466" s="57">
        <v>15806</v>
      </c>
      <c r="S466" s="58">
        <v>1556</v>
      </c>
      <c r="T466" s="58">
        <v>17362</v>
      </c>
    </row>
    <row r="467" spans="1:20">
      <c r="A467" s="54">
        <v>94927</v>
      </c>
      <c r="B467" s="55" t="s">
        <v>1843</v>
      </c>
      <c r="C467" s="106">
        <v>3.0599999999999998E-5</v>
      </c>
      <c r="D467" s="106">
        <v>3.3899999999999997E-5</v>
      </c>
      <c r="E467" s="56">
        <v>46748</v>
      </c>
      <c r="F467" s="56"/>
      <c r="G467" s="57">
        <v>2693</v>
      </c>
      <c r="H467" s="107">
        <v>11350</v>
      </c>
      <c r="I467" s="57">
        <v>6676</v>
      </c>
      <c r="J467" s="56">
        <v>2683</v>
      </c>
      <c r="K467" s="107">
        <f t="shared" si="14"/>
        <v>23402</v>
      </c>
      <c r="L467" s="56"/>
      <c r="M467" s="57">
        <v>1323</v>
      </c>
      <c r="N467" s="57">
        <v>0</v>
      </c>
      <c r="O467" s="56">
        <v>26</v>
      </c>
      <c r="P467" s="107">
        <f t="shared" si="15"/>
        <v>1349</v>
      </c>
      <c r="Q467" s="56"/>
      <c r="R467" s="57">
        <v>15754</v>
      </c>
      <c r="S467" s="58">
        <v>911</v>
      </c>
      <c r="T467" s="58">
        <v>16665</v>
      </c>
    </row>
    <row r="468" spans="1:20">
      <c r="A468" s="54">
        <v>94931</v>
      </c>
      <c r="B468" s="55" t="s">
        <v>1844</v>
      </c>
      <c r="C468" s="106">
        <v>2.163E-4</v>
      </c>
      <c r="D468" s="106">
        <v>2.1130000000000001E-4</v>
      </c>
      <c r="E468" s="56">
        <v>330446</v>
      </c>
      <c r="F468" s="56"/>
      <c r="G468" s="57">
        <v>19037</v>
      </c>
      <c r="H468" s="107">
        <v>80233</v>
      </c>
      <c r="I468" s="57">
        <v>47192</v>
      </c>
      <c r="J468" s="56">
        <v>954</v>
      </c>
      <c r="K468" s="107">
        <f t="shared" si="14"/>
        <v>147416</v>
      </c>
      <c r="L468" s="56"/>
      <c r="M468" s="57">
        <v>9354</v>
      </c>
      <c r="N468" s="57">
        <v>0</v>
      </c>
      <c r="O468" s="56">
        <v>15740</v>
      </c>
      <c r="P468" s="107">
        <f t="shared" si="15"/>
        <v>25094</v>
      </c>
      <c r="Q468" s="56"/>
      <c r="R468" s="57">
        <v>111361</v>
      </c>
      <c r="S468" s="58">
        <v>-7901</v>
      </c>
      <c r="T468" s="58">
        <v>103460</v>
      </c>
    </row>
    <row r="469" spans="1:20">
      <c r="A469" s="54">
        <v>94941</v>
      </c>
      <c r="B469" s="55" t="s">
        <v>1845</v>
      </c>
      <c r="C469" s="106">
        <v>5.7879999999999997E-4</v>
      </c>
      <c r="D469" s="106">
        <v>5.2959999999999997E-4</v>
      </c>
      <c r="E469" s="56">
        <v>884246</v>
      </c>
      <c r="F469" s="56"/>
      <c r="G469" s="57">
        <v>50941</v>
      </c>
      <c r="H469" s="107">
        <v>214696</v>
      </c>
      <c r="I469" s="57">
        <v>126283</v>
      </c>
      <c r="J469" s="56">
        <v>68775</v>
      </c>
      <c r="K469" s="107">
        <f t="shared" si="14"/>
        <v>460695</v>
      </c>
      <c r="L469" s="56"/>
      <c r="M469" s="57">
        <v>25030</v>
      </c>
      <c r="N469" s="57">
        <v>0</v>
      </c>
      <c r="O469" s="56">
        <v>0</v>
      </c>
      <c r="P469" s="107">
        <f t="shared" si="15"/>
        <v>25030</v>
      </c>
      <c r="Q469" s="56"/>
      <c r="R469" s="57">
        <v>297992</v>
      </c>
      <c r="S469" s="58">
        <v>46151</v>
      </c>
      <c r="T469" s="58">
        <v>344143</v>
      </c>
    </row>
    <row r="470" spans="1:20">
      <c r="A470" s="54">
        <v>95001</v>
      </c>
      <c r="B470" s="55" t="s">
        <v>1846</v>
      </c>
      <c r="C470" s="106">
        <v>2.4867000000000001E-3</v>
      </c>
      <c r="D470" s="106">
        <v>2.3779000000000001E-3</v>
      </c>
      <c r="E470" s="56">
        <v>3798989</v>
      </c>
      <c r="F470" s="56"/>
      <c r="G470" s="57">
        <v>218857</v>
      </c>
      <c r="H470" s="107">
        <v>922399</v>
      </c>
      <c r="I470" s="57">
        <v>542548</v>
      </c>
      <c r="J470" s="56">
        <v>176888</v>
      </c>
      <c r="K470" s="107">
        <f t="shared" si="14"/>
        <v>1860692</v>
      </c>
      <c r="L470" s="56"/>
      <c r="M470" s="57">
        <v>107537</v>
      </c>
      <c r="N470" s="57">
        <v>0</v>
      </c>
      <c r="O470" s="56">
        <v>3991</v>
      </c>
      <c r="P470" s="107">
        <f t="shared" si="15"/>
        <v>111528</v>
      </c>
      <c r="Q470" s="56"/>
      <c r="R470" s="57">
        <v>1280263</v>
      </c>
      <c r="S470" s="58">
        <v>51652</v>
      </c>
      <c r="T470" s="58">
        <v>1331915</v>
      </c>
    </row>
    <row r="471" spans="1:20">
      <c r="A471" s="54">
        <v>95002</v>
      </c>
      <c r="B471" s="55" t="s">
        <v>1847</v>
      </c>
      <c r="C471" s="106">
        <v>1.907E-4</v>
      </c>
      <c r="D471" s="106">
        <v>2.0120000000000001E-4</v>
      </c>
      <c r="E471" s="56">
        <v>291337</v>
      </c>
      <c r="F471" s="56"/>
      <c r="G471" s="57">
        <v>16784</v>
      </c>
      <c r="H471" s="107">
        <v>70737</v>
      </c>
      <c r="I471" s="57">
        <v>41607</v>
      </c>
      <c r="J471" s="56">
        <v>15647</v>
      </c>
      <c r="K471" s="107">
        <f t="shared" si="14"/>
        <v>144775</v>
      </c>
      <c r="L471" s="56"/>
      <c r="M471" s="57">
        <v>8247</v>
      </c>
      <c r="N471" s="57">
        <v>0</v>
      </c>
      <c r="O471" s="56">
        <v>0</v>
      </c>
      <c r="P471" s="107">
        <f t="shared" si="15"/>
        <v>8247</v>
      </c>
      <c r="Q471" s="56"/>
      <c r="R471" s="57">
        <v>98181</v>
      </c>
      <c r="S471" s="58">
        <v>6293</v>
      </c>
      <c r="T471" s="58">
        <v>104474</v>
      </c>
    </row>
    <row r="472" spans="1:20">
      <c r="A472" s="54">
        <v>95005</v>
      </c>
      <c r="B472" s="55" t="s">
        <v>1848</v>
      </c>
      <c r="C472" s="106">
        <v>2.2949999999999999E-4</v>
      </c>
      <c r="D472" s="106">
        <v>2.3829999999999999E-4</v>
      </c>
      <c r="E472" s="56">
        <v>350612</v>
      </c>
      <c r="F472" s="56"/>
      <c r="G472" s="57">
        <v>20199</v>
      </c>
      <c r="H472" s="107">
        <v>85129</v>
      </c>
      <c r="I472" s="57">
        <v>50072</v>
      </c>
      <c r="J472" s="56">
        <v>13727</v>
      </c>
      <c r="K472" s="107">
        <f t="shared" si="14"/>
        <v>169127</v>
      </c>
      <c r="L472" s="56"/>
      <c r="M472" s="57">
        <v>9925</v>
      </c>
      <c r="N472" s="57">
        <v>0</v>
      </c>
      <c r="O472" s="56">
        <v>1630</v>
      </c>
      <c r="P472" s="107">
        <f t="shared" si="15"/>
        <v>11555</v>
      </c>
      <c r="Q472" s="56"/>
      <c r="R472" s="57">
        <v>118157</v>
      </c>
      <c r="S472" s="58">
        <v>9042</v>
      </c>
      <c r="T472" s="58">
        <v>127199</v>
      </c>
    </row>
    <row r="473" spans="1:20">
      <c r="A473" s="54">
        <v>95008</v>
      </c>
      <c r="B473" s="55" t="s">
        <v>1849</v>
      </c>
      <c r="C473" s="106">
        <v>1.1519999999999999E-4</v>
      </c>
      <c r="D473" s="106">
        <v>1.169E-4</v>
      </c>
      <c r="E473" s="56">
        <v>175994</v>
      </c>
      <c r="F473" s="56"/>
      <c r="G473" s="57">
        <v>10139</v>
      </c>
      <c r="H473" s="107">
        <v>42731</v>
      </c>
      <c r="I473" s="57">
        <v>25134</v>
      </c>
      <c r="J473" s="56">
        <v>19189</v>
      </c>
      <c r="K473" s="107">
        <f t="shared" si="14"/>
        <v>97193</v>
      </c>
      <c r="L473" s="56"/>
      <c r="M473" s="57">
        <v>4982</v>
      </c>
      <c r="N473" s="57">
        <v>0</v>
      </c>
      <c r="O473" s="56">
        <v>6239</v>
      </c>
      <c r="P473" s="107">
        <f t="shared" si="15"/>
        <v>11221</v>
      </c>
      <c r="Q473" s="56"/>
      <c r="R473" s="57">
        <v>59310</v>
      </c>
      <c r="S473" s="58">
        <v>9098</v>
      </c>
      <c r="T473" s="58">
        <v>68408</v>
      </c>
    </row>
    <row r="474" spans="1:20">
      <c r="A474" s="54">
        <v>95009</v>
      </c>
      <c r="B474" s="55" t="s">
        <v>1850</v>
      </c>
      <c r="C474" s="106">
        <v>4.2208999999999997E-3</v>
      </c>
      <c r="D474" s="106">
        <v>3.9902000000000002E-3</v>
      </c>
      <c r="E474" s="56">
        <v>6448366</v>
      </c>
      <c r="F474" s="56"/>
      <c r="G474" s="57">
        <v>371486</v>
      </c>
      <c r="H474" s="107">
        <v>1565671</v>
      </c>
      <c r="I474" s="57">
        <v>920916</v>
      </c>
      <c r="J474" s="56">
        <v>897451</v>
      </c>
      <c r="K474" s="107">
        <f t="shared" si="14"/>
        <v>3755524</v>
      </c>
      <c r="L474" s="56"/>
      <c r="M474" s="57">
        <v>182533</v>
      </c>
      <c r="N474" s="57">
        <v>0</v>
      </c>
      <c r="O474" s="56">
        <v>0</v>
      </c>
      <c r="P474" s="107">
        <f t="shared" si="15"/>
        <v>182533</v>
      </c>
      <c r="Q474" s="56"/>
      <c r="R474" s="57">
        <v>2173105</v>
      </c>
      <c r="S474" s="58">
        <v>582135</v>
      </c>
      <c r="T474" s="58">
        <v>2755240</v>
      </c>
    </row>
    <row r="475" spans="1:20">
      <c r="A475" s="54">
        <v>95011</v>
      </c>
      <c r="B475" s="55" t="s">
        <v>1851</v>
      </c>
      <c r="C475" s="106">
        <v>1.8000000000000001E-4</v>
      </c>
      <c r="D475" s="106">
        <v>1.707E-4</v>
      </c>
      <c r="E475" s="56">
        <v>274990</v>
      </c>
      <c r="F475" s="56"/>
      <c r="G475" s="57">
        <v>15842</v>
      </c>
      <c r="H475" s="107">
        <v>66768</v>
      </c>
      <c r="I475" s="57">
        <v>39272</v>
      </c>
      <c r="J475" s="56">
        <v>3275</v>
      </c>
      <c r="K475" s="107">
        <f t="shared" si="14"/>
        <v>125157</v>
      </c>
      <c r="L475" s="56"/>
      <c r="M475" s="57">
        <v>7784</v>
      </c>
      <c r="N475" s="57">
        <v>0</v>
      </c>
      <c r="O475" s="56">
        <v>8909</v>
      </c>
      <c r="P475" s="107">
        <f t="shared" si="15"/>
        <v>16693</v>
      </c>
      <c r="Q475" s="56"/>
      <c r="R475" s="57">
        <v>92672</v>
      </c>
      <c r="S475" s="58">
        <v>-3840</v>
      </c>
      <c r="T475" s="58">
        <v>88832</v>
      </c>
    </row>
    <row r="476" spans="1:20">
      <c r="A476" s="54">
        <v>95017</v>
      </c>
      <c r="B476" s="55" t="s">
        <v>1852</v>
      </c>
      <c r="C476" s="106">
        <v>3.8800000000000001E-5</v>
      </c>
      <c r="D476" s="106">
        <v>3.5800000000000003E-5</v>
      </c>
      <c r="E476" s="56">
        <v>59276</v>
      </c>
      <c r="F476" s="56"/>
      <c r="G476" s="57">
        <v>3415</v>
      </c>
      <c r="H476" s="107">
        <v>14392</v>
      </c>
      <c r="I476" s="57">
        <v>8465</v>
      </c>
      <c r="J476" s="56">
        <v>13339</v>
      </c>
      <c r="K476" s="107">
        <f t="shared" si="14"/>
        <v>39611</v>
      </c>
      <c r="L476" s="56"/>
      <c r="M476" s="57">
        <v>1678</v>
      </c>
      <c r="N476" s="57">
        <v>0</v>
      </c>
      <c r="O476" s="56">
        <v>0</v>
      </c>
      <c r="P476" s="107">
        <f t="shared" si="15"/>
        <v>1678</v>
      </c>
      <c r="Q476" s="56"/>
      <c r="R476" s="57">
        <v>19976</v>
      </c>
      <c r="S476" s="58">
        <v>7635</v>
      </c>
      <c r="T476" s="58">
        <v>27611</v>
      </c>
    </row>
    <row r="477" spans="1:20">
      <c r="A477" s="54">
        <v>95101</v>
      </c>
      <c r="B477" s="55" t="s">
        <v>1853</v>
      </c>
      <c r="C477" s="106">
        <v>8.3750999999999999E-3</v>
      </c>
      <c r="D477" s="106">
        <v>8.0955999999999997E-3</v>
      </c>
      <c r="E477" s="56">
        <v>12794833</v>
      </c>
      <c r="F477" s="56"/>
      <c r="G477" s="57">
        <v>737101</v>
      </c>
      <c r="H477" s="107">
        <v>3106601</v>
      </c>
      <c r="I477" s="57">
        <v>1827279</v>
      </c>
      <c r="J477" s="56">
        <v>39562</v>
      </c>
      <c r="K477" s="107">
        <f t="shared" si="14"/>
        <v>5710543</v>
      </c>
      <c r="L477" s="56"/>
      <c r="M477" s="57">
        <v>362181</v>
      </c>
      <c r="N477" s="57">
        <v>0</v>
      </c>
      <c r="O477" s="56">
        <v>114122</v>
      </c>
      <c r="P477" s="107">
        <f t="shared" si="15"/>
        <v>476303</v>
      </c>
      <c r="Q477" s="56"/>
      <c r="R477" s="57">
        <v>4311870</v>
      </c>
      <c r="S477" s="58">
        <v>1978</v>
      </c>
      <c r="T477" s="58">
        <v>4313848</v>
      </c>
    </row>
    <row r="478" spans="1:20">
      <c r="A478" s="54">
        <v>95103</v>
      </c>
      <c r="B478" s="55" t="s">
        <v>1854</v>
      </c>
      <c r="C478" s="106">
        <v>4.9100000000000001E-5</v>
      </c>
      <c r="D478" s="106">
        <v>6.02E-5</v>
      </c>
      <c r="E478" s="56">
        <v>75011</v>
      </c>
      <c r="F478" s="56"/>
      <c r="G478" s="57">
        <v>4321</v>
      </c>
      <c r="H478" s="107">
        <v>18213</v>
      </c>
      <c r="I478" s="57">
        <v>10713</v>
      </c>
      <c r="J478" s="56">
        <v>24203</v>
      </c>
      <c r="K478" s="107">
        <f t="shared" si="14"/>
        <v>57450</v>
      </c>
      <c r="L478" s="56"/>
      <c r="M478" s="57">
        <v>2123</v>
      </c>
      <c r="N478" s="57">
        <v>0</v>
      </c>
      <c r="O478" s="56">
        <v>0</v>
      </c>
      <c r="P478" s="107">
        <f t="shared" si="15"/>
        <v>2123</v>
      </c>
      <c r="Q478" s="56"/>
      <c r="R478" s="57">
        <v>25279</v>
      </c>
      <c r="S478" s="58">
        <v>18053</v>
      </c>
      <c r="T478" s="58">
        <v>43332</v>
      </c>
    </row>
    <row r="479" spans="1:20">
      <c r="A479" s="54">
        <v>95104</v>
      </c>
      <c r="B479" s="55" t="s">
        <v>1855</v>
      </c>
      <c r="C479" s="106">
        <v>1.02E-4</v>
      </c>
      <c r="D479" s="106">
        <v>1.011E-4</v>
      </c>
      <c r="E479" s="56">
        <v>155828</v>
      </c>
      <c r="F479" s="56"/>
      <c r="G479" s="57">
        <v>8977</v>
      </c>
      <c r="H479" s="107">
        <v>37835</v>
      </c>
      <c r="I479" s="57">
        <v>22254</v>
      </c>
      <c r="J479" s="56">
        <v>19729</v>
      </c>
      <c r="K479" s="107">
        <f t="shared" si="14"/>
        <v>88795</v>
      </c>
      <c r="L479" s="56"/>
      <c r="M479" s="57">
        <v>4411</v>
      </c>
      <c r="N479" s="57">
        <v>0</v>
      </c>
      <c r="O479" s="56">
        <v>0</v>
      </c>
      <c r="P479" s="107">
        <f t="shared" si="15"/>
        <v>4411</v>
      </c>
      <c r="Q479" s="56"/>
      <c r="R479" s="57">
        <v>52514</v>
      </c>
      <c r="S479" s="58">
        <v>8399</v>
      </c>
      <c r="T479" s="58">
        <v>60913</v>
      </c>
    </row>
    <row r="480" spans="1:20">
      <c r="A480" s="54">
        <v>95105</v>
      </c>
      <c r="B480" s="55" t="s">
        <v>1856</v>
      </c>
      <c r="C480" s="106">
        <v>6.1099999999999994E-5</v>
      </c>
      <c r="D480" s="106">
        <v>6.3700000000000003E-5</v>
      </c>
      <c r="E480" s="56">
        <v>93344</v>
      </c>
      <c r="F480" s="56"/>
      <c r="G480" s="57">
        <v>5377</v>
      </c>
      <c r="H480" s="107">
        <v>22664</v>
      </c>
      <c r="I480" s="57">
        <v>13331</v>
      </c>
      <c r="J480" s="56">
        <v>8129</v>
      </c>
      <c r="K480" s="107">
        <f t="shared" si="14"/>
        <v>49501</v>
      </c>
      <c r="L480" s="56"/>
      <c r="M480" s="57">
        <v>2642</v>
      </c>
      <c r="N480" s="57">
        <v>0</v>
      </c>
      <c r="O480" s="56">
        <v>0</v>
      </c>
      <c r="P480" s="107">
        <f t="shared" si="15"/>
        <v>2642</v>
      </c>
      <c r="Q480" s="56"/>
      <c r="R480" s="57">
        <v>31457</v>
      </c>
      <c r="S480" s="58">
        <v>4018</v>
      </c>
      <c r="T480" s="58">
        <v>35475</v>
      </c>
    </row>
    <row r="481" spans="1:20">
      <c r="A481" s="54">
        <v>95106</v>
      </c>
      <c r="B481" s="55" t="s">
        <v>1857</v>
      </c>
      <c r="C481" s="106">
        <v>1.2099999999999999E-5</v>
      </c>
      <c r="D481" s="106">
        <v>1.3900000000000001E-5</v>
      </c>
      <c r="E481" s="56">
        <v>18485</v>
      </c>
      <c r="F481" s="56"/>
      <c r="G481" s="57">
        <v>1065</v>
      </c>
      <c r="H481" s="107">
        <v>4488</v>
      </c>
      <c r="I481" s="57">
        <v>2640</v>
      </c>
      <c r="J481" s="56">
        <v>4918</v>
      </c>
      <c r="K481" s="107">
        <f t="shared" si="14"/>
        <v>13111</v>
      </c>
      <c r="L481" s="56"/>
      <c r="M481" s="57">
        <v>523</v>
      </c>
      <c r="N481" s="57">
        <v>0</v>
      </c>
      <c r="O481" s="56">
        <v>1433</v>
      </c>
      <c r="P481" s="107">
        <f t="shared" si="15"/>
        <v>1956</v>
      </c>
      <c r="Q481" s="56"/>
      <c r="R481" s="57">
        <v>6230</v>
      </c>
      <c r="S481" s="58">
        <v>2234</v>
      </c>
      <c r="T481" s="58">
        <v>8464</v>
      </c>
    </row>
    <row r="482" spans="1:20">
      <c r="A482" s="54">
        <v>95110</v>
      </c>
      <c r="B482" s="55" t="s">
        <v>1858</v>
      </c>
      <c r="C482" s="106">
        <v>4.2902000000000001E-3</v>
      </c>
      <c r="D482" s="106">
        <v>4.4609000000000003E-3</v>
      </c>
      <c r="E482" s="56">
        <v>6554237</v>
      </c>
      <c r="F482" s="56"/>
      <c r="G482" s="57">
        <v>377585</v>
      </c>
      <c r="H482" s="107">
        <v>1591377</v>
      </c>
      <c r="I482" s="57">
        <v>936036</v>
      </c>
      <c r="J482" s="56">
        <v>0</v>
      </c>
      <c r="K482" s="107">
        <f t="shared" si="14"/>
        <v>2904998</v>
      </c>
      <c r="L482" s="56"/>
      <c r="M482" s="57">
        <v>185530</v>
      </c>
      <c r="N482" s="57">
        <v>0</v>
      </c>
      <c r="O482" s="56">
        <v>1097124</v>
      </c>
      <c r="P482" s="107">
        <f t="shared" si="15"/>
        <v>1282654</v>
      </c>
      <c r="Q482" s="56"/>
      <c r="R482" s="57">
        <v>2208784</v>
      </c>
      <c r="S482" s="58">
        <v>-636198</v>
      </c>
      <c r="T482" s="58">
        <v>1572586</v>
      </c>
    </row>
    <row r="483" spans="1:20">
      <c r="A483" s="54">
        <v>95111</v>
      </c>
      <c r="B483" s="55" t="s">
        <v>1859</v>
      </c>
      <c r="C483" s="106">
        <v>1.0778999999999999E-3</v>
      </c>
      <c r="D483" s="106">
        <v>1.0709000000000001E-3</v>
      </c>
      <c r="E483" s="56">
        <v>1646733</v>
      </c>
      <c r="F483" s="56"/>
      <c r="G483" s="57">
        <v>94867</v>
      </c>
      <c r="H483" s="107">
        <v>399829</v>
      </c>
      <c r="I483" s="57">
        <v>235176</v>
      </c>
      <c r="J483" s="56">
        <v>0</v>
      </c>
      <c r="K483" s="107">
        <f t="shared" si="14"/>
        <v>729872</v>
      </c>
      <c r="L483" s="56"/>
      <c r="M483" s="57">
        <v>46614</v>
      </c>
      <c r="N483" s="57">
        <v>0</v>
      </c>
      <c r="O483" s="56">
        <v>120462</v>
      </c>
      <c r="P483" s="107">
        <f t="shared" si="15"/>
        <v>167076</v>
      </c>
      <c r="Q483" s="56"/>
      <c r="R483" s="57">
        <v>554950</v>
      </c>
      <c r="S483" s="58">
        <v>-59518</v>
      </c>
      <c r="T483" s="58">
        <v>495432</v>
      </c>
    </row>
    <row r="484" spans="1:20">
      <c r="A484" s="54">
        <v>95113</v>
      </c>
      <c r="B484" s="55" t="s">
        <v>1860</v>
      </c>
      <c r="C484" s="106">
        <v>4.6699999999999997E-5</v>
      </c>
      <c r="D484" s="106">
        <v>4.7500000000000003E-5</v>
      </c>
      <c r="E484" s="56">
        <v>71345</v>
      </c>
      <c r="F484" s="56"/>
      <c r="G484" s="57">
        <v>4110</v>
      </c>
      <c r="H484" s="107">
        <v>17322</v>
      </c>
      <c r="I484" s="57">
        <v>10189</v>
      </c>
      <c r="J484" s="56">
        <v>82563</v>
      </c>
      <c r="K484" s="107">
        <f t="shared" si="14"/>
        <v>114184</v>
      </c>
      <c r="L484" s="56"/>
      <c r="M484" s="57">
        <v>2020</v>
      </c>
      <c r="N484" s="57">
        <v>0</v>
      </c>
      <c r="O484" s="56">
        <v>0</v>
      </c>
      <c r="P484" s="107">
        <f t="shared" si="15"/>
        <v>2020</v>
      </c>
      <c r="Q484" s="56"/>
      <c r="R484" s="57">
        <v>24043</v>
      </c>
      <c r="S484" s="58">
        <v>31359</v>
      </c>
      <c r="T484" s="58">
        <v>55402</v>
      </c>
    </row>
    <row r="485" spans="1:20">
      <c r="A485" s="54">
        <v>95121</v>
      </c>
      <c r="B485" s="55" t="s">
        <v>1861</v>
      </c>
      <c r="C485" s="106">
        <v>4.9770000000000001E-4</v>
      </c>
      <c r="D485" s="106">
        <v>4.9580000000000002E-4</v>
      </c>
      <c r="E485" s="56">
        <v>760348</v>
      </c>
      <c r="F485" s="56"/>
      <c r="G485" s="57">
        <v>43803</v>
      </c>
      <c r="H485" s="107">
        <v>184613</v>
      </c>
      <c r="I485" s="57">
        <v>108588</v>
      </c>
      <c r="J485" s="56">
        <v>12640</v>
      </c>
      <c r="K485" s="107">
        <f t="shared" si="14"/>
        <v>349644</v>
      </c>
      <c r="L485" s="56"/>
      <c r="M485" s="57">
        <v>21523</v>
      </c>
      <c r="N485" s="57">
        <v>0</v>
      </c>
      <c r="O485" s="56">
        <v>14371</v>
      </c>
      <c r="P485" s="107">
        <f t="shared" si="15"/>
        <v>35894</v>
      </c>
      <c r="Q485" s="56"/>
      <c r="R485" s="57">
        <v>256238</v>
      </c>
      <c r="S485" s="58">
        <v>-7628</v>
      </c>
      <c r="T485" s="58">
        <v>248610</v>
      </c>
    </row>
    <row r="486" spans="1:20">
      <c r="A486" s="54">
        <v>95122</v>
      </c>
      <c r="B486" s="55" t="s">
        <v>1862</v>
      </c>
      <c r="C486" s="106">
        <v>6.4999999999999996E-6</v>
      </c>
      <c r="D486" s="106">
        <v>2.7999999999999999E-6</v>
      </c>
      <c r="E486" s="56">
        <v>9930</v>
      </c>
      <c r="F486" s="56"/>
      <c r="G486" s="57">
        <v>572</v>
      </c>
      <c r="H486" s="107">
        <v>2411</v>
      </c>
      <c r="I486" s="57">
        <v>1418</v>
      </c>
      <c r="J486" s="56">
        <v>3675</v>
      </c>
      <c r="K486" s="107">
        <f t="shared" si="14"/>
        <v>8076</v>
      </c>
      <c r="L486" s="56"/>
      <c r="M486" s="57">
        <v>281</v>
      </c>
      <c r="N486" s="57">
        <v>0</v>
      </c>
      <c r="O486" s="56">
        <v>0</v>
      </c>
      <c r="P486" s="107">
        <f t="shared" si="15"/>
        <v>281</v>
      </c>
      <c r="Q486" s="56"/>
      <c r="R486" s="57">
        <v>3346</v>
      </c>
      <c r="S486" s="58">
        <v>1103</v>
      </c>
      <c r="T486" s="58">
        <v>4449</v>
      </c>
    </row>
    <row r="487" spans="1:20">
      <c r="A487" s="54">
        <v>95123</v>
      </c>
      <c r="B487" s="55" t="s">
        <v>1863</v>
      </c>
      <c r="C487" s="106">
        <v>5.7399999999999999E-5</v>
      </c>
      <c r="D487" s="106">
        <v>5.6700000000000003E-5</v>
      </c>
      <c r="E487" s="56">
        <v>87691</v>
      </c>
      <c r="F487" s="56"/>
      <c r="G487" s="57">
        <v>5052</v>
      </c>
      <c r="H487" s="107">
        <v>21291</v>
      </c>
      <c r="I487" s="57">
        <v>12524</v>
      </c>
      <c r="J487" s="56">
        <v>8811</v>
      </c>
      <c r="K487" s="107">
        <f t="shared" si="14"/>
        <v>47678</v>
      </c>
      <c r="L487" s="56"/>
      <c r="M487" s="57">
        <v>2482</v>
      </c>
      <c r="N487" s="57">
        <v>0</v>
      </c>
      <c r="O487" s="56">
        <v>1459</v>
      </c>
      <c r="P487" s="107">
        <f t="shared" si="15"/>
        <v>3941</v>
      </c>
      <c r="Q487" s="56"/>
      <c r="R487" s="57">
        <v>29552</v>
      </c>
      <c r="S487" s="58">
        <v>1830</v>
      </c>
      <c r="T487" s="58">
        <v>31382</v>
      </c>
    </row>
    <row r="488" spans="1:20">
      <c r="A488" s="54">
        <v>95131</v>
      </c>
      <c r="B488" s="55" t="s">
        <v>1864</v>
      </c>
      <c r="C488" s="106">
        <v>1.6682999999999999E-3</v>
      </c>
      <c r="D488" s="106">
        <v>1.5451E-3</v>
      </c>
      <c r="E488" s="56">
        <v>2548700</v>
      </c>
      <c r="F488" s="56"/>
      <c r="G488" s="57">
        <v>146829</v>
      </c>
      <c r="H488" s="107">
        <v>618827</v>
      </c>
      <c r="I488" s="57">
        <v>363990</v>
      </c>
      <c r="J488" s="56">
        <v>105945</v>
      </c>
      <c r="K488" s="107">
        <f t="shared" si="14"/>
        <v>1235591</v>
      </c>
      <c r="L488" s="56"/>
      <c r="M488" s="57">
        <v>72146</v>
      </c>
      <c r="N488" s="57">
        <v>0</v>
      </c>
      <c r="O488" s="56">
        <v>846</v>
      </c>
      <c r="P488" s="107">
        <f t="shared" si="15"/>
        <v>72992</v>
      </c>
      <c r="Q488" s="56"/>
      <c r="R488" s="57">
        <v>858914</v>
      </c>
      <c r="S488" s="58">
        <v>33842</v>
      </c>
      <c r="T488" s="58">
        <v>892756</v>
      </c>
    </row>
    <row r="489" spans="1:20">
      <c r="A489" s="54">
        <v>95141</v>
      </c>
      <c r="B489" s="55" t="s">
        <v>1865</v>
      </c>
      <c r="C489" s="106">
        <v>3.2220000000000003E-4</v>
      </c>
      <c r="D489" s="106">
        <v>3.1819999999999998E-4</v>
      </c>
      <c r="E489" s="56">
        <v>492232</v>
      </c>
      <c r="F489" s="56"/>
      <c r="G489" s="57">
        <v>28357</v>
      </c>
      <c r="H489" s="107">
        <v>119515</v>
      </c>
      <c r="I489" s="57">
        <v>70298</v>
      </c>
      <c r="J489" s="56">
        <v>1251</v>
      </c>
      <c r="K489" s="107">
        <f t="shared" si="14"/>
        <v>219421</v>
      </c>
      <c r="L489" s="56"/>
      <c r="M489" s="57">
        <v>13934</v>
      </c>
      <c r="N489" s="57">
        <v>0</v>
      </c>
      <c r="O489" s="56">
        <v>29129</v>
      </c>
      <c r="P489" s="107">
        <f t="shared" si="15"/>
        <v>43063</v>
      </c>
      <c r="Q489" s="56"/>
      <c r="R489" s="57">
        <v>165883</v>
      </c>
      <c r="S489" s="58">
        <v>-11233</v>
      </c>
      <c r="T489" s="58">
        <v>154650</v>
      </c>
    </row>
    <row r="490" spans="1:20">
      <c r="A490" s="54">
        <v>95151</v>
      </c>
      <c r="B490" s="55" t="s">
        <v>1866</v>
      </c>
      <c r="C490" s="106">
        <v>1.092E-4</v>
      </c>
      <c r="D490" s="106">
        <v>1.158E-4</v>
      </c>
      <c r="E490" s="56">
        <v>166827</v>
      </c>
      <c r="F490" s="56"/>
      <c r="G490" s="57">
        <v>9611</v>
      </c>
      <c r="H490" s="107">
        <v>40506</v>
      </c>
      <c r="I490" s="57">
        <v>23825</v>
      </c>
      <c r="J490" s="56">
        <v>364</v>
      </c>
      <c r="K490" s="107">
        <f t="shared" si="14"/>
        <v>74306</v>
      </c>
      <c r="L490" s="56"/>
      <c r="M490" s="57">
        <v>4722</v>
      </c>
      <c r="N490" s="57">
        <v>0</v>
      </c>
      <c r="O490" s="56">
        <v>10802</v>
      </c>
      <c r="P490" s="107">
        <f t="shared" si="15"/>
        <v>15524</v>
      </c>
      <c r="Q490" s="56"/>
      <c r="R490" s="57">
        <v>56221</v>
      </c>
      <c r="S490" s="58">
        <v>-3332</v>
      </c>
      <c r="T490" s="58">
        <v>52889</v>
      </c>
    </row>
    <row r="491" spans="1:20">
      <c r="A491" s="54">
        <v>95161</v>
      </c>
      <c r="B491" s="55" t="s">
        <v>1867</v>
      </c>
      <c r="C491" s="106">
        <v>6.8100000000000002E-5</v>
      </c>
      <c r="D491" s="106">
        <v>7.4800000000000002E-5</v>
      </c>
      <c r="E491" s="56">
        <v>104038</v>
      </c>
      <c r="F491" s="56"/>
      <c r="G491" s="57">
        <v>5994</v>
      </c>
      <c r="H491" s="107">
        <v>25261</v>
      </c>
      <c r="I491" s="57">
        <v>14858</v>
      </c>
      <c r="J491" s="56">
        <v>5468</v>
      </c>
      <c r="K491" s="107">
        <f t="shared" si="14"/>
        <v>51581</v>
      </c>
      <c r="L491" s="56"/>
      <c r="M491" s="57">
        <v>2945</v>
      </c>
      <c r="N491" s="57">
        <v>0</v>
      </c>
      <c r="O491" s="56">
        <v>1353</v>
      </c>
      <c r="P491" s="107">
        <f t="shared" si="15"/>
        <v>4298</v>
      </c>
      <c r="Q491" s="56"/>
      <c r="R491" s="57">
        <v>35061</v>
      </c>
      <c r="S491" s="58">
        <v>1287</v>
      </c>
      <c r="T491" s="58">
        <v>36348</v>
      </c>
    </row>
    <row r="492" spans="1:20">
      <c r="A492" s="54">
        <v>95171</v>
      </c>
      <c r="B492" s="55" t="s">
        <v>1868</v>
      </c>
      <c r="C492" s="106">
        <v>1.0459999999999999E-4</v>
      </c>
      <c r="D492" s="106">
        <v>1.2300000000000001E-4</v>
      </c>
      <c r="E492" s="56">
        <v>159800</v>
      </c>
      <c r="F492" s="56"/>
      <c r="G492" s="57">
        <v>9206</v>
      </c>
      <c r="H492" s="107">
        <v>38799</v>
      </c>
      <c r="I492" s="57">
        <v>22822</v>
      </c>
      <c r="J492" s="56">
        <v>6705</v>
      </c>
      <c r="K492" s="107">
        <f t="shared" si="14"/>
        <v>77532</v>
      </c>
      <c r="L492" s="56"/>
      <c r="M492" s="57">
        <v>4523</v>
      </c>
      <c r="N492" s="57">
        <v>0</v>
      </c>
      <c r="O492" s="56">
        <v>14987</v>
      </c>
      <c r="P492" s="107">
        <f t="shared" si="15"/>
        <v>19510</v>
      </c>
      <c r="Q492" s="56"/>
      <c r="R492" s="57">
        <v>53853</v>
      </c>
      <c r="S492" s="58">
        <v>-3646</v>
      </c>
      <c r="T492" s="58">
        <v>50207</v>
      </c>
    </row>
    <row r="493" spans="1:20">
      <c r="A493" s="54">
        <v>95181</v>
      </c>
      <c r="B493" s="55" t="s">
        <v>1869</v>
      </c>
      <c r="C493" s="106">
        <v>7.7100000000000004E-5</v>
      </c>
      <c r="D493" s="106">
        <v>7.7899999999999996E-5</v>
      </c>
      <c r="E493" s="56">
        <v>117787</v>
      </c>
      <c r="F493" s="56"/>
      <c r="G493" s="57">
        <v>6786</v>
      </c>
      <c r="H493" s="107">
        <v>28599</v>
      </c>
      <c r="I493" s="57">
        <v>16822</v>
      </c>
      <c r="J493" s="56">
        <v>1069</v>
      </c>
      <c r="K493" s="107">
        <f t="shared" si="14"/>
        <v>53276</v>
      </c>
      <c r="L493" s="56"/>
      <c r="M493" s="57">
        <v>3334</v>
      </c>
      <c r="N493" s="57">
        <v>0</v>
      </c>
      <c r="O493" s="56">
        <v>9474</v>
      </c>
      <c r="P493" s="107">
        <f t="shared" si="15"/>
        <v>12808</v>
      </c>
      <c r="Q493" s="56"/>
      <c r="R493" s="57">
        <v>39694</v>
      </c>
      <c r="S493" s="58">
        <v>-2444</v>
      </c>
      <c r="T493" s="58">
        <v>37250</v>
      </c>
    </row>
    <row r="494" spans="1:20">
      <c r="A494" s="54">
        <v>95191</v>
      </c>
      <c r="B494" s="55" t="s">
        <v>1870</v>
      </c>
      <c r="C494" s="106">
        <v>5.3999999999999998E-5</v>
      </c>
      <c r="D494" s="106">
        <v>5.3999999999999998E-5</v>
      </c>
      <c r="E494" s="56">
        <v>82497</v>
      </c>
      <c r="F494" s="56"/>
      <c r="G494" s="57">
        <v>4753</v>
      </c>
      <c r="H494" s="107">
        <v>20031</v>
      </c>
      <c r="I494" s="57">
        <v>11782</v>
      </c>
      <c r="J494" s="56">
        <v>12522</v>
      </c>
      <c r="K494" s="107">
        <f t="shared" si="14"/>
        <v>49088</v>
      </c>
      <c r="L494" s="56"/>
      <c r="M494" s="57">
        <v>2335</v>
      </c>
      <c r="N494" s="57">
        <v>0</v>
      </c>
      <c r="O494" s="56">
        <v>5293</v>
      </c>
      <c r="P494" s="107">
        <f t="shared" si="15"/>
        <v>7628</v>
      </c>
      <c r="Q494" s="56"/>
      <c r="R494" s="57">
        <v>27802</v>
      </c>
      <c r="S494" s="58">
        <v>4438</v>
      </c>
      <c r="T494" s="58">
        <v>32240</v>
      </c>
    </row>
    <row r="495" spans="1:20">
      <c r="A495" s="54">
        <v>95201</v>
      </c>
      <c r="B495" s="55" t="s">
        <v>1871</v>
      </c>
      <c r="C495" s="106">
        <v>7.0969999999999996E-4</v>
      </c>
      <c r="D495" s="106">
        <v>6.8329999999999997E-4</v>
      </c>
      <c r="E495" s="56">
        <v>1084225</v>
      </c>
      <c r="F495" s="56"/>
      <c r="G495" s="57">
        <v>62461</v>
      </c>
      <c r="H495" s="107">
        <v>263252</v>
      </c>
      <c r="I495" s="57">
        <v>154842</v>
      </c>
      <c r="J495" s="56">
        <v>6474</v>
      </c>
      <c r="K495" s="107">
        <f t="shared" si="14"/>
        <v>487029</v>
      </c>
      <c r="L495" s="56"/>
      <c r="M495" s="57">
        <v>30691</v>
      </c>
      <c r="N495" s="57">
        <v>0</v>
      </c>
      <c r="O495" s="56">
        <v>21158</v>
      </c>
      <c r="P495" s="107">
        <f t="shared" si="15"/>
        <v>51849</v>
      </c>
      <c r="Q495" s="56"/>
      <c r="R495" s="57">
        <v>365385</v>
      </c>
      <c r="S495" s="58">
        <v>-9663</v>
      </c>
      <c r="T495" s="58">
        <v>355722</v>
      </c>
    </row>
    <row r="496" spans="1:20">
      <c r="A496" s="54">
        <v>95204</v>
      </c>
      <c r="B496" s="55" t="s">
        <v>1872</v>
      </c>
      <c r="C496" s="106">
        <v>1.26E-5</v>
      </c>
      <c r="D496" s="106">
        <v>1.1600000000000001E-5</v>
      </c>
      <c r="E496" s="56">
        <v>19249</v>
      </c>
      <c r="F496" s="56"/>
      <c r="G496" s="57">
        <v>1109</v>
      </c>
      <c r="H496" s="107">
        <v>4674</v>
      </c>
      <c r="I496" s="57">
        <v>2749</v>
      </c>
      <c r="J496" s="56">
        <v>1824</v>
      </c>
      <c r="K496" s="107">
        <f t="shared" si="14"/>
        <v>10356</v>
      </c>
      <c r="L496" s="56"/>
      <c r="M496" s="57">
        <v>545</v>
      </c>
      <c r="N496" s="57">
        <v>0</v>
      </c>
      <c r="O496" s="56">
        <v>1143</v>
      </c>
      <c r="P496" s="107">
        <f t="shared" si="15"/>
        <v>1688</v>
      </c>
      <c r="Q496" s="56"/>
      <c r="R496" s="57">
        <v>6487</v>
      </c>
      <c r="S496" s="58">
        <v>-195</v>
      </c>
      <c r="T496" s="58">
        <v>6292</v>
      </c>
    </row>
    <row r="497" spans="1:20">
      <c r="A497" s="54">
        <v>95205</v>
      </c>
      <c r="B497" s="55" t="s">
        <v>1873</v>
      </c>
      <c r="C497" s="106">
        <v>4.5000000000000001E-6</v>
      </c>
      <c r="D497" s="106">
        <v>4.7999999999999998E-6</v>
      </c>
      <c r="E497" s="56">
        <v>6875</v>
      </c>
      <c r="F497" s="56"/>
      <c r="G497" s="57">
        <v>396</v>
      </c>
      <c r="H497" s="107">
        <v>1669</v>
      </c>
      <c r="I497" s="57">
        <v>982</v>
      </c>
      <c r="J497" s="56">
        <v>605</v>
      </c>
      <c r="K497" s="107">
        <f t="shared" si="14"/>
        <v>3652</v>
      </c>
      <c r="L497" s="56"/>
      <c r="M497" s="57">
        <v>195</v>
      </c>
      <c r="N497" s="57">
        <v>0</v>
      </c>
      <c r="O497" s="56">
        <v>0</v>
      </c>
      <c r="P497" s="107">
        <f t="shared" si="15"/>
        <v>195</v>
      </c>
      <c r="Q497" s="56"/>
      <c r="R497" s="57">
        <v>2317</v>
      </c>
      <c r="S497" s="58">
        <v>311</v>
      </c>
      <c r="T497" s="58">
        <v>2628</v>
      </c>
    </row>
    <row r="498" spans="1:20">
      <c r="A498" s="54">
        <v>95211</v>
      </c>
      <c r="B498" s="55" t="s">
        <v>1874</v>
      </c>
      <c r="C498" s="106">
        <v>8.3999999999999992E-6</v>
      </c>
      <c r="D498" s="106">
        <v>9.2E-6</v>
      </c>
      <c r="E498" s="56">
        <v>12833</v>
      </c>
      <c r="F498" s="56"/>
      <c r="G498" s="57">
        <v>739</v>
      </c>
      <c r="H498" s="107">
        <v>3115</v>
      </c>
      <c r="I498" s="57">
        <v>1833</v>
      </c>
      <c r="J498" s="56">
        <v>1455</v>
      </c>
      <c r="K498" s="107">
        <f t="shared" si="14"/>
        <v>7142</v>
      </c>
      <c r="L498" s="56"/>
      <c r="M498" s="57">
        <v>363</v>
      </c>
      <c r="N498" s="57">
        <v>0</v>
      </c>
      <c r="O498" s="56">
        <v>1231</v>
      </c>
      <c r="P498" s="107">
        <f t="shared" si="15"/>
        <v>1594</v>
      </c>
      <c r="Q498" s="56"/>
      <c r="R498" s="57">
        <v>4325</v>
      </c>
      <c r="S498" s="58">
        <v>-523</v>
      </c>
      <c r="T498" s="58">
        <v>3802</v>
      </c>
    </row>
    <row r="499" spans="1:20">
      <c r="A499" s="54">
        <v>95221</v>
      </c>
      <c r="B499" s="55" t="s">
        <v>1875</v>
      </c>
      <c r="C499" s="106">
        <v>4.4100000000000001E-5</v>
      </c>
      <c r="D499" s="106">
        <v>1.6900000000000001E-5</v>
      </c>
      <c r="E499" s="56">
        <v>67373</v>
      </c>
      <c r="F499" s="56"/>
      <c r="G499" s="57">
        <v>3881</v>
      </c>
      <c r="H499" s="107">
        <v>16358</v>
      </c>
      <c r="I499" s="57">
        <v>9622</v>
      </c>
      <c r="J499" s="56">
        <v>21037</v>
      </c>
      <c r="K499" s="107">
        <f t="shared" si="14"/>
        <v>50898</v>
      </c>
      <c r="L499" s="56"/>
      <c r="M499" s="57">
        <v>1907</v>
      </c>
      <c r="N499" s="57">
        <v>0</v>
      </c>
      <c r="O499" s="56">
        <v>11299</v>
      </c>
      <c r="P499" s="107">
        <f t="shared" si="15"/>
        <v>13206</v>
      </c>
      <c r="Q499" s="56"/>
      <c r="R499" s="57">
        <v>22705</v>
      </c>
      <c r="S499" s="58">
        <v>2535</v>
      </c>
      <c r="T499" s="58">
        <v>25240</v>
      </c>
    </row>
    <row r="500" spans="1:20">
      <c r="A500" s="54">
        <v>95301</v>
      </c>
      <c r="B500" s="55" t="s">
        <v>1876</v>
      </c>
      <c r="C500" s="106">
        <v>2.3917999999999999E-3</v>
      </c>
      <c r="D500" s="106">
        <v>2.4063999999999999E-3</v>
      </c>
      <c r="E500" s="56">
        <v>3654008</v>
      </c>
      <c r="F500" s="56"/>
      <c r="G500" s="57">
        <v>210505</v>
      </c>
      <c r="H500" s="107">
        <v>887197</v>
      </c>
      <c r="I500" s="57">
        <v>521843</v>
      </c>
      <c r="J500" s="56">
        <v>73478</v>
      </c>
      <c r="K500" s="107">
        <f t="shared" si="14"/>
        <v>1693023</v>
      </c>
      <c r="L500" s="56"/>
      <c r="M500" s="57">
        <v>103433</v>
      </c>
      <c r="N500" s="57">
        <v>0</v>
      </c>
      <c r="O500" s="56">
        <v>11228</v>
      </c>
      <c r="P500" s="107">
        <f t="shared" si="15"/>
        <v>114661</v>
      </c>
      <c r="Q500" s="56"/>
      <c r="R500" s="57">
        <v>1231404</v>
      </c>
      <c r="S500" s="58">
        <v>19362</v>
      </c>
      <c r="T500" s="58">
        <f>1250765+1</f>
        <v>1250766</v>
      </c>
    </row>
    <row r="501" spans="1:20">
      <c r="A501" s="54">
        <v>95311</v>
      </c>
      <c r="B501" s="55" t="s">
        <v>1877</v>
      </c>
      <c r="C501" s="106">
        <v>2.6873999999999999E-3</v>
      </c>
      <c r="D501" s="106">
        <v>2.6841999999999999E-3</v>
      </c>
      <c r="E501" s="56">
        <v>4105603</v>
      </c>
      <c r="F501" s="56"/>
      <c r="G501" s="57">
        <v>236521</v>
      </c>
      <c r="H501" s="107">
        <v>996846</v>
      </c>
      <c r="I501" s="57">
        <v>586337</v>
      </c>
      <c r="J501" s="56">
        <v>41083</v>
      </c>
      <c r="K501" s="107">
        <f t="shared" si="14"/>
        <v>1860787</v>
      </c>
      <c r="L501" s="56"/>
      <c r="M501" s="57">
        <v>116217</v>
      </c>
      <c r="N501" s="57">
        <v>0</v>
      </c>
      <c r="O501" s="56">
        <v>117171</v>
      </c>
      <c r="P501" s="107">
        <f t="shared" si="15"/>
        <v>233388</v>
      </c>
      <c r="Q501" s="56"/>
      <c r="R501" s="57">
        <v>1383592</v>
      </c>
      <c r="S501" s="58">
        <v>-46704</v>
      </c>
      <c r="T501" s="58">
        <v>1336888</v>
      </c>
    </row>
    <row r="502" spans="1:20">
      <c r="A502" s="54">
        <v>95317</v>
      </c>
      <c r="B502" s="55" t="s">
        <v>1878</v>
      </c>
      <c r="C502" s="106">
        <v>4.8900000000000003E-5</v>
      </c>
      <c r="D502" s="106">
        <v>5.1400000000000003E-5</v>
      </c>
      <c r="E502" s="56">
        <v>74706</v>
      </c>
      <c r="F502" s="56"/>
      <c r="G502" s="57">
        <v>4304</v>
      </c>
      <c r="H502" s="107">
        <v>18138</v>
      </c>
      <c r="I502" s="57">
        <v>10669</v>
      </c>
      <c r="J502" s="56">
        <v>6328</v>
      </c>
      <c r="K502" s="107">
        <f t="shared" si="14"/>
        <v>39439</v>
      </c>
      <c r="L502" s="56"/>
      <c r="M502" s="57">
        <v>2115</v>
      </c>
      <c r="N502" s="57">
        <v>0</v>
      </c>
      <c r="O502" s="56">
        <v>38</v>
      </c>
      <c r="P502" s="107">
        <f t="shared" si="15"/>
        <v>2153</v>
      </c>
      <c r="Q502" s="56"/>
      <c r="R502" s="57">
        <v>25176</v>
      </c>
      <c r="S502" s="58">
        <v>2474</v>
      </c>
      <c r="T502" s="58">
        <v>27650</v>
      </c>
    </row>
    <row r="503" spans="1:20">
      <c r="A503" s="54">
        <v>95321</v>
      </c>
      <c r="B503" s="55" t="s">
        <v>1879</v>
      </c>
      <c r="C503" s="106">
        <v>4.71E-5</v>
      </c>
      <c r="D503" s="106">
        <v>5.7000000000000003E-5</v>
      </c>
      <c r="E503" s="56">
        <v>71956</v>
      </c>
      <c r="F503" s="56"/>
      <c r="G503" s="57">
        <v>4145</v>
      </c>
      <c r="H503" s="107">
        <v>17471</v>
      </c>
      <c r="I503" s="57">
        <v>10276</v>
      </c>
      <c r="J503" s="56">
        <v>3087</v>
      </c>
      <c r="K503" s="107">
        <f t="shared" si="14"/>
        <v>34979</v>
      </c>
      <c r="L503" s="56"/>
      <c r="M503" s="57">
        <v>2037</v>
      </c>
      <c r="N503" s="57">
        <v>0</v>
      </c>
      <c r="O503" s="56">
        <v>2158</v>
      </c>
      <c r="P503" s="107">
        <f t="shared" si="15"/>
        <v>4195</v>
      </c>
      <c r="Q503" s="56"/>
      <c r="R503" s="57">
        <v>24249</v>
      </c>
      <c r="S503" s="58">
        <v>1089</v>
      </c>
      <c r="T503" s="58">
        <v>25338</v>
      </c>
    </row>
    <row r="504" spans="1:20">
      <c r="A504" s="54">
        <v>95401</v>
      </c>
      <c r="B504" s="55" t="s">
        <v>1880</v>
      </c>
      <c r="C504" s="106">
        <v>2.9992E-3</v>
      </c>
      <c r="D504" s="106">
        <v>2.9979999999999998E-3</v>
      </c>
      <c r="E504" s="56">
        <v>4581947</v>
      </c>
      <c r="F504" s="56"/>
      <c r="G504" s="57">
        <v>263963</v>
      </c>
      <c r="H504" s="107">
        <v>1112502</v>
      </c>
      <c r="I504" s="57">
        <v>654365</v>
      </c>
      <c r="J504" s="56">
        <v>27695</v>
      </c>
      <c r="K504" s="107">
        <f t="shared" si="14"/>
        <v>2058525</v>
      </c>
      <c r="L504" s="56"/>
      <c r="M504" s="57">
        <v>129700</v>
      </c>
      <c r="N504" s="57">
        <v>0</v>
      </c>
      <c r="O504" s="56">
        <v>19902</v>
      </c>
      <c r="P504" s="107">
        <f t="shared" si="15"/>
        <v>149602</v>
      </c>
      <c r="Q504" s="56"/>
      <c r="R504" s="57">
        <v>1544120</v>
      </c>
      <c r="S504" s="58">
        <v>10089</v>
      </c>
      <c r="T504" s="58">
        <v>1554209</v>
      </c>
    </row>
    <row r="505" spans="1:20">
      <c r="A505" s="54">
        <v>95404</v>
      </c>
      <c r="B505" s="55" t="s">
        <v>1881</v>
      </c>
      <c r="C505" s="106">
        <v>5.3100000000000003E-5</v>
      </c>
      <c r="D505" s="106">
        <v>4.9799999999999998E-5</v>
      </c>
      <c r="E505" s="56">
        <v>81122</v>
      </c>
      <c r="F505" s="56"/>
      <c r="G505" s="57">
        <v>4673</v>
      </c>
      <c r="H505" s="107">
        <v>19697</v>
      </c>
      <c r="I505" s="57">
        <v>11585</v>
      </c>
      <c r="J505" s="56">
        <v>5158</v>
      </c>
      <c r="K505" s="107">
        <f t="shared" si="14"/>
        <v>41113</v>
      </c>
      <c r="L505" s="56"/>
      <c r="M505" s="57">
        <v>2296</v>
      </c>
      <c r="N505" s="57">
        <v>0</v>
      </c>
      <c r="O505" s="56">
        <v>0</v>
      </c>
      <c r="P505" s="107">
        <f t="shared" si="15"/>
        <v>2296</v>
      </c>
      <c r="Q505" s="56"/>
      <c r="R505" s="57">
        <v>27338</v>
      </c>
      <c r="S505" s="58">
        <v>1949</v>
      </c>
      <c r="T505" s="58">
        <v>29287</v>
      </c>
    </row>
    <row r="506" spans="1:20">
      <c r="A506" s="54">
        <v>95405</v>
      </c>
      <c r="B506" s="55" t="s">
        <v>1882</v>
      </c>
      <c r="C506" s="106">
        <v>1.84E-5</v>
      </c>
      <c r="D506" s="106">
        <v>1.84E-5</v>
      </c>
      <c r="E506" s="56">
        <v>28110</v>
      </c>
      <c r="F506" s="56"/>
      <c r="G506" s="57">
        <v>1619</v>
      </c>
      <c r="H506" s="107">
        <v>6826</v>
      </c>
      <c r="I506" s="57">
        <v>4015</v>
      </c>
      <c r="J506" s="56">
        <v>15544</v>
      </c>
      <c r="K506" s="107">
        <f t="shared" si="14"/>
        <v>28004</v>
      </c>
      <c r="L506" s="56"/>
      <c r="M506" s="57">
        <v>796</v>
      </c>
      <c r="N506" s="57">
        <v>0</v>
      </c>
      <c r="O506" s="56">
        <v>0</v>
      </c>
      <c r="P506" s="107">
        <f t="shared" si="15"/>
        <v>796</v>
      </c>
      <c r="Q506" s="56"/>
      <c r="R506" s="57">
        <v>9473</v>
      </c>
      <c r="S506" s="58">
        <v>5475</v>
      </c>
      <c r="T506" s="58">
        <v>14948</v>
      </c>
    </row>
    <row r="507" spans="1:20">
      <c r="A507" s="54">
        <v>95411</v>
      </c>
      <c r="B507" s="55" t="s">
        <v>1883</v>
      </c>
      <c r="C507" s="106">
        <v>2.2173000000000002E-3</v>
      </c>
      <c r="D507" s="106">
        <v>2.3272000000000002E-3</v>
      </c>
      <c r="E507" s="56">
        <v>3387420</v>
      </c>
      <c r="F507" s="56"/>
      <c r="G507" s="57">
        <v>195147</v>
      </c>
      <c r="H507" s="107">
        <v>822470</v>
      </c>
      <c r="I507" s="57">
        <v>483771</v>
      </c>
      <c r="J507" s="56">
        <v>14015</v>
      </c>
      <c r="K507" s="107">
        <f t="shared" si="14"/>
        <v>1515403</v>
      </c>
      <c r="L507" s="56"/>
      <c r="M507" s="57">
        <v>95887</v>
      </c>
      <c r="N507" s="57">
        <v>0</v>
      </c>
      <c r="O507" s="56">
        <v>60237</v>
      </c>
      <c r="P507" s="107">
        <f t="shared" si="15"/>
        <v>156124</v>
      </c>
      <c r="Q507" s="56"/>
      <c r="R507" s="57">
        <v>1141564</v>
      </c>
      <c r="S507" s="58">
        <v>-23907</v>
      </c>
      <c r="T507" s="58">
        <f>1117656+1</f>
        <v>1117657</v>
      </c>
    </row>
    <row r="508" spans="1:20">
      <c r="A508" s="54">
        <v>95412</v>
      </c>
      <c r="B508" s="55" t="s">
        <v>1884</v>
      </c>
      <c r="C508" s="106">
        <v>0</v>
      </c>
      <c r="D508" s="106">
        <v>0</v>
      </c>
      <c r="E508" s="56">
        <v>0</v>
      </c>
      <c r="F508" s="56"/>
      <c r="G508" s="57">
        <v>0</v>
      </c>
      <c r="H508" s="107">
        <v>0</v>
      </c>
      <c r="I508" s="57">
        <v>0</v>
      </c>
      <c r="J508" s="56">
        <v>0</v>
      </c>
      <c r="K508" s="107">
        <f t="shared" si="14"/>
        <v>0</v>
      </c>
      <c r="L508" s="56"/>
      <c r="M508" s="57">
        <v>0</v>
      </c>
      <c r="N508" s="57">
        <v>0</v>
      </c>
      <c r="O508" s="56">
        <v>27831</v>
      </c>
      <c r="P508" s="107">
        <f t="shared" si="15"/>
        <v>27831</v>
      </c>
      <c r="Q508" s="56"/>
      <c r="R508" s="57">
        <v>0</v>
      </c>
      <c r="S508" s="58">
        <v>-18518</v>
      </c>
      <c r="T508" s="58">
        <v>-18518</v>
      </c>
    </row>
    <row r="509" spans="1:20">
      <c r="A509" s="54">
        <v>95413</v>
      </c>
      <c r="B509" s="55" t="s">
        <v>1885</v>
      </c>
      <c r="C509" s="106">
        <v>2.5809999999999999E-4</v>
      </c>
      <c r="D509" s="106">
        <v>2.945E-4</v>
      </c>
      <c r="E509" s="56">
        <v>394305</v>
      </c>
      <c r="F509" s="56"/>
      <c r="G509" s="57">
        <v>22716</v>
      </c>
      <c r="H509" s="107">
        <v>95737</v>
      </c>
      <c r="I509" s="57">
        <v>56312</v>
      </c>
      <c r="J509" s="56">
        <v>247679</v>
      </c>
      <c r="K509" s="107">
        <f t="shared" si="14"/>
        <v>422444</v>
      </c>
      <c r="L509" s="56"/>
      <c r="M509" s="57">
        <v>11162</v>
      </c>
      <c r="N509" s="57">
        <v>0</v>
      </c>
      <c r="O509" s="56">
        <v>9401</v>
      </c>
      <c r="P509" s="107">
        <f t="shared" si="15"/>
        <v>20563</v>
      </c>
      <c r="Q509" s="56"/>
      <c r="R509" s="57">
        <v>132881</v>
      </c>
      <c r="S509" s="58">
        <v>77340</v>
      </c>
      <c r="T509" s="58">
        <v>210221</v>
      </c>
    </row>
    <row r="510" spans="1:20">
      <c r="A510" s="54">
        <v>95415</v>
      </c>
      <c r="B510" s="55" t="s">
        <v>1886</v>
      </c>
      <c r="C510" s="106">
        <v>6.2899999999999997E-5</v>
      </c>
      <c r="D510" s="106">
        <v>7.9499999999999994E-5</v>
      </c>
      <c r="E510" s="56">
        <v>96094</v>
      </c>
      <c r="F510" s="56"/>
      <c r="G510" s="57">
        <v>5536</v>
      </c>
      <c r="H510" s="107">
        <v>23331</v>
      </c>
      <c r="I510" s="57">
        <v>13724</v>
      </c>
      <c r="J510" s="56">
        <v>5301</v>
      </c>
      <c r="K510" s="107">
        <f t="shared" si="14"/>
        <v>47892</v>
      </c>
      <c r="L510" s="56"/>
      <c r="M510" s="57">
        <v>2720</v>
      </c>
      <c r="N510" s="57">
        <v>0</v>
      </c>
      <c r="O510" s="56">
        <v>16874</v>
      </c>
      <c r="P510" s="107">
        <f t="shared" si="15"/>
        <v>19594</v>
      </c>
      <c r="Q510" s="56"/>
      <c r="R510" s="57">
        <v>32384</v>
      </c>
      <c r="S510" s="58">
        <v>-165</v>
      </c>
      <c r="T510" s="58">
        <v>32219</v>
      </c>
    </row>
    <row r="511" spans="1:20">
      <c r="A511" s="54">
        <v>95421</v>
      </c>
      <c r="B511" s="55" t="s">
        <v>1887</v>
      </c>
      <c r="C511" s="106">
        <v>3.8699999999999999E-5</v>
      </c>
      <c r="D511" s="106">
        <v>3.9100000000000002E-5</v>
      </c>
      <c r="E511" s="56">
        <v>59123</v>
      </c>
      <c r="F511" s="56"/>
      <c r="G511" s="57">
        <v>3406</v>
      </c>
      <c r="H511" s="107">
        <v>14355</v>
      </c>
      <c r="I511" s="57">
        <v>8444</v>
      </c>
      <c r="J511" s="56">
        <v>226</v>
      </c>
      <c r="K511" s="107">
        <f t="shared" si="14"/>
        <v>26431</v>
      </c>
      <c r="L511" s="56"/>
      <c r="M511" s="57">
        <v>1674</v>
      </c>
      <c r="N511" s="57">
        <v>0</v>
      </c>
      <c r="O511" s="56">
        <v>9353</v>
      </c>
      <c r="P511" s="107">
        <f t="shared" si="15"/>
        <v>11027</v>
      </c>
      <c r="Q511" s="56"/>
      <c r="R511" s="57">
        <v>19924</v>
      </c>
      <c r="S511" s="58">
        <v>-4913</v>
      </c>
      <c r="T511" s="58">
        <f>15012-1</f>
        <v>15011</v>
      </c>
    </row>
    <row r="512" spans="1:20">
      <c r="A512" s="54">
        <v>95431</v>
      </c>
      <c r="B512" s="55" t="s">
        <v>1888</v>
      </c>
      <c r="C512" s="106">
        <v>1.5300000000000001E-4</v>
      </c>
      <c r="D512" s="106">
        <v>1.8009999999999999E-4</v>
      </c>
      <c r="E512" s="56">
        <v>233742</v>
      </c>
      <c r="F512" s="56"/>
      <c r="G512" s="57">
        <v>13466</v>
      </c>
      <c r="H512" s="107">
        <v>56753</v>
      </c>
      <c r="I512" s="57">
        <v>33382</v>
      </c>
      <c r="J512" s="56">
        <v>224</v>
      </c>
      <c r="K512" s="107">
        <f t="shared" si="14"/>
        <v>103825</v>
      </c>
      <c r="L512" s="56"/>
      <c r="M512" s="57">
        <v>6616</v>
      </c>
      <c r="N512" s="57">
        <v>0</v>
      </c>
      <c r="O512" s="56">
        <v>34003</v>
      </c>
      <c r="P512" s="107">
        <f t="shared" si="15"/>
        <v>40619</v>
      </c>
      <c r="Q512" s="56"/>
      <c r="R512" s="57">
        <v>78771</v>
      </c>
      <c r="S512" s="58">
        <v>-9919</v>
      </c>
      <c r="T512" s="58">
        <v>68852</v>
      </c>
    </row>
    <row r="513" spans="1:20">
      <c r="A513" s="54">
        <v>95501</v>
      </c>
      <c r="B513" s="55" t="s">
        <v>1889</v>
      </c>
      <c r="C513" s="106">
        <v>4.8764999999999998E-3</v>
      </c>
      <c r="D513" s="106">
        <v>4.7917999999999997E-3</v>
      </c>
      <c r="E513" s="56">
        <v>7449941</v>
      </c>
      <c r="F513" s="56"/>
      <c r="G513" s="57">
        <v>429186</v>
      </c>
      <c r="H513" s="107">
        <v>1808855</v>
      </c>
      <c r="I513" s="57">
        <v>1063955</v>
      </c>
      <c r="J513" s="56">
        <v>31695</v>
      </c>
      <c r="K513" s="107">
        <f t="shared" si="14"/>
        <v>3333691</v>
      </c>
      <c r="L513" s="56"/>
      <c r="M513" s="57">
        <v>210884</v>
      </c>
      <c r="N513" s="57">
        <v>0</v>
      </c>
      <c r="O513" s="56">
        <v>124610</v>
      </c>
      <c r="P513" s="107">
        <f t="shared" si="15"/>
        <v>335494</v>
      </c>
      <c r="Q513" s="56"/>
      <c r="R513" s="57">
        <v>2510637</v>
      </c>
      <c r="S513" s="58">
        <v>-8646</v>
      </c>
      <c r="T513" s="58">
        <v>2501991</v>
      </c>
    </row>
    <row r="514" spans="1:20">
      <c r="A514" s="54">
        <v>95504</v>
      </c>
      <c r="B514" s="55" t="s">
        <v>1890</v>
      </c>
      <c r="C514" s="106">
        <v>9.3999999999999998E-6</v>
      </c>
      <c r="D514" s="106">
        <v>8.8999999999999995E-6</v>
      </c>
      <c r="E514" s="56">
        <v>14361</v>
      </c>
      <c r="F514" s="56"/>
      <c r="G514" s="57">
        <v>827</v>
      </c>
      <c r="H514" s="107">
        <v>3487</v>
      </c>
      <c r="I514" s="57">
        <v>2051</v>
      </c>
      <c r="J514" s="56">
        <v>7912</v>
      </c>
      <c r="K514" s="107">
        <f t="shared" si="14"/>
        <v>14277</v>
      </c>
      <c r="L514" s="56"/>
      <c r="M514" s="57">
        <v>407</v>
      </c>
      <c r="N514" s="57">
        <v>0</v>
      </c>
      <c r="O514" s="56">
        <v>0</v>
      </c>
      <c r="P514" s="107">
        <f t="shared" si="15"/>
        <v>407</v>
      </c>
      <c r="Q514" s="56"/>
      <c r="R514" s="57">
        <v>4840</v>
      </c>
      <c r="S514" s="58">
        <v>2952</v>
      </c>
      <c r="T514" s="58">
        <f>7791+1</f>
        <v>7792</v>
      </c>
    </row>
    <row r="515" spans="1:20">
      <c r="A515" s="54">
        <v>95511</v>
      </c>
      <c r="B515" s="55" t="s">
        <v>1891</v>
      </c>
      <c r="C515" s="106">
        <v>9.7460000000000005E-4</v>
      </c>
      <c r="D515" s="106">
        <v>9.6049999999999998E-4</v>
      </c>
      <c r="E515" s="56">
        <v>1488919</v>
      </c>
      <c r="F515" s="56"/>
      <c r="G515" s="57">
        <v>85776</v>
      </c>
      <c r="H515" s="107">
        <v>361511</v>
      </c>
      <c r="I515" s="57">
        <v>212638</v>
      </c>
      <c r="J515" s="56">
        <v>44242</v>
      </c>
      <c r="K515" s="107">
        <f t="shared" si="14"/>
        <v>704167</v>
      </c>
      <c r="L515" s="56"/>
      <c r="M515" s="57">
        <v>42147</v>
      </c>
      <c r="N515" s="57">
        <v>0</v>
      </c>
      <c r="O515" s="56">
        <v>52155</v>
      </c>
      <c r="P515" s="107">
        <f t="shared" si="15"/>
        <v>94302</v>
      </c>
      <c r="Q515" s="56"/>
      <c r="R515" s="57">
        <v>501767</v>
      </c>
      <c r="S515" s="58">
        <v>-4607</v>
      </c>
      <c r="T515" s="58">
        <v>497160</v>
      </c>
    </row>
    <row r="516" spans="1:20">
      <c r="A516" s="54">
        <v>95513</v>
      </c>
      <c r="B516" s="55" t="s">
        <v>1892</v>
      </c>
      <c r="C516" s="106">
        <v>4.6699999999999997E-5</v>
      </c>
      <c r="D516" s="106">
        <v>4.5500000000000001E-5</v>
      </c>
      <c r="E516" s="56">
        <v>71345</v>
      </c>
      <c r="F516" s="56"/>
      <c r="G516" s="57">
        <v>4110</v>
      </c>
      <c r="H516" s="107">
        <v>17322</v>
      </c>
      <c r="I516" s="57">
        <v>10189</v>
      </c>
      <c r="J516" s="56">
        <v>21773</v>
      </c>
      <c r="K516" s="107">
        <f t="shared" si="14"/>
        <v>53394</v>
      </c>
      <c r="L516" s="56"/>
      <c r="M516" s="57">
        <v>2020</v>
      </c>
      <c r="N516" s="57">
        <v>0</v>
      </c>
      <c r="O516" s="56">
        <v>0</v>
      </c>
      <c r="P516" s="107">
        <f t="shared" si="15"/>
        <v>2020</v>
      </c>
      <c r="Q516" s="56"/>
      <c r="R516" s="57">
        <v>24043</v>
      </c>
      <c r="S516" s="58">
        <v>9103</v>
      </c>
      <c r="T516" s="58">
        <v>33146</v>
      </c>
    </row>
    <row r="517" spans="1:20">
      <c r="A517" s="54">
        <v>95517</v>
      </c>
      <c r="B517" s="55" t="s">
        <v>1893</v>
      </c>
      <c r="C517" s="106">
        <v>2.4499999999999999E-5</v>
      </c>
      <c r="D517" s="106">
        <v>1.66E-5</v>
      </c>
      <c r="E517" s="56">
        <v>37429</v>
      </c>
      <c r="F517" s="56"/>
      <c r="G517" s="57">
        <v>2156</v>
      </c>
      <c r="H517" s="107">
        <v>9087</v>
      </c>
      <c r="I517" s="57">
        <v>5345</v>
      </c>
      <c r="J517" s="56">
        <v>17989</v>
      </c>
      <c r="K517" s="107">
        <f t="shared" si="14"/>
        <v>34577</v>
      </c>
      <c r="L517" s="56"/>
      <c r="M517" s="57">
        <v>1060</v>
      </c>
      <c r="N517" s="57">
        <v>0</v>
      </c>
      <c r="O517" s="56">
        <v>0</v>
      </c>
      <c r="P517" s="107">
        <f t="shared" si="15"/>
        <v>1060</v>
      </c>
      <c r="Q517" s="56"/>
      <c r="R517" s="57">
        <v>12614</v>
      </c>
      <c r="S517" s="58">
        <v>6544</v>
      </c>
      <c r="T517" s="58">
        <v>19158</v>
      </c>
    </row>
    <row r="518" spans="1:20">
      <c r="A518" s="54">
        <v>95601</v>
      </c>
      <c r="B518" s="55" t="s">
        <v>1894</v>
      </c>
      <c r="C518" s="106">
        <v>2.6280000000000001E-3</v>
      </c>
      <c r="D518" s="106">
        <v>2.6592999999999999E-3</v>
      </c>
      <c r="E518" s="56">
        <v>4014856</v>
      </c>
      <c r="F518" s="56"/>
      <c r="G518" s="57">
        <v>231293</v>
      </c>
      <c r="H518" s="107">
        <v>974812</v>
      </c>
      <c r="I518" s="57">
        <v>573377</v>
      </c>
      <c r="J518" s="56">
        <v>85590</v>
      </c>
      <c r="K518" s="107">
        <f t="shared" si="14"/>
        <v>1865072</v>
      </c>
      <c r="L518" s="56"/>
      <c r="M518" s="57">
        <v>113648</v>
      </c>
      <c r="N518" s="57">
        <v>0</v>
      </c>
      <c r="O518" s="56">
        <v>19082</v>
      </c>
      <c r="P518" s="107">
        <f t="shared" si="15"/>
        <v>132730</v>
      </c>
      <c r="Q518" s="56"/>
      <c r="R518" s="57">
        <v>1353010</v>
      </c>
      <c r="S518" s="58">
        <v>47697</v>
      </c>
      <c r="T518" s="58">
        <v>1400707</v>
      </c>
    </row>
    <row r="519" spans="1:20">
      <c r="A519" s="54">
        <v>95611</v>
      </c>
      <c r="B519" s="55" t="s">
        <v>1895</v>
      </c>
      <c r="C519" s="106">
        <v>4.0660000000000002E-4</v>
      </c>
      <c r="D519" s="106">
        <v>3.9540000000000002E-4</v>
      </c>
      <c r="E519" s="56">
        <v>621172</v>
      </c>
      <c r="F519" s="56"/>
      <c r="G519" s="57">
        <v>35785</v>
      </c>
      <c r="H519" s="107">
        <v>150821</v>
      </c>
      <c r="I519" s="57">
        <v>88712</v>
      </c>
      <c r="J519" s="56">
        <v>8653</v>
      </c>
      <c r="K519" s="107">
        <f t="shared" ref="K519:K582" si="16">G519+H519+I519+J519</f>
        <v>283971</v>
      </c>
      <c r="L519" s="56"/>
      <c r="M519" s="57">
        <v>17583</v>
      </c>
      <c r="N519" s="57">
        <v>0</v>
      </c>
      <c r="O519" s="56">
        <v>3649</v>
      </c>
      <c r="P519" s="107">
        <f t="shared" ref="P519:P582" si="17">M519+N519+O519</f>
        <v>21232</v>
      </c>
      <c r="Q519" s="56"/>
      <c r="R519" s="57">
        <v>209336</v>
      </c>
      <c r="S519" s="58">
        <v>1212</v>
      </c>
      <c r="T519" s="58">
        <f>210547+1</f>
        <v>210548</v>
      </c>
    </row>
    <row r="520" spans="1:20">
      <c r="A520" s="54">
        <v>95617</v>
      </c>
      <c r="B520" s="55" t="s">
        <v>1896</v>
      </c>
      <c r="C520" s="106">
        <v>1.6399999999999999E-5</v>
      </c>
      <c r="D520" s="106">
        <v>1.6500000000000001E-5</v>
      </c>
      <c r="E520" s="56">
        <v>25055</v>
      </c>
      <c r="F520" s="56"/>
      <c r="G520" s="57">
        <v>1443</v>
      </c>
      <c r="H520" s="107">
        <v>6084</v>
      </c>
      <c r="I520" s="57">
        <v>3578</v>
      </c>
      <c r="J520" s="56">
        <v>722</v>
      </c>
      <c r="K520" s="107">
        <f t="shared" si="16"/>
        <v>11827</v>
      </c>
      <c r="L520" s="56"/>
      <c r="M520" s="57">
        <v>709</v>
      </c>
      <c r="N520" s="57">
        <v>0</v>
      </c>
      <c r="O520" s="56">
        <v>1277</v>
      </c>
      <c r="P520" s="107">
        <f t="shared" si="17"/>
        <v>1986</v>
      </c>
      <c r="Q520" s="56"/>
      <c r="R520" s="57">
        <v>8443</v>
      </c>
      <c r="S520" s="58">
        <v>-659</v>
      </c>
      <c r="T520" s="58">
        <v>7784</v>
      </c>
    </row>
    <row r="521" spans="1:20">
      <c r="A521" s="54">
        <v>95621</v>
      </c>
      <c r="B521" s="55" t="s">
        <v>1897</v>
      </c>
      <c r="C521" s="106">
        <v>4.5360000000000002E-4</v>
      </c>
      <c r="D521" s="106">
        <v>4.8020000000000002E-4</v>
      </c>
      <c r="E521" s="56">
        <v>692975</v>
      </c>
      <c r="F521" s="56"/>
      <c r="G521" s="57">
        <v>39922</v>
      </c>
      <c r="H521" s="107">
        <v>168255</v>
      </c>
      <c r="I521" s="57">
        <v>98966</v>
      </c>
      <c r="J521" s="56">
        <v>3166</v>
      </c>
      <c r="K521" s="107">
        <f t="shared" si="16"/>
        <v>310309</v>
      </c>
      <c r="L521" s="56"/>
      <c r="M521" s="57">
        <v>19616</v>
      </c>
      <c r="N521" s="57">
        <v>0</v>
      </c>
      <c r="O521" s="56">
        <v>4423</v>
      </c>
      <c r="P521" s="107">
        <f t="shared" si="17"/>
        <v>24039</v>
      </c>
      <c r="Q521" s="56"/>
      <c r="R521" s="57">
        <v>233533</v>
      </c>
      <c r="S521" s="58">
        <v>1481</v>
      </c>
      <c r="T521" s="58">
        <f>235015-1</f>
        <v>235014</v>
      </c>
    </row>
    <row r="522" spans="1:20">
      <c r="A522" s="54">
        <v>95701</v>
      </c>
      <c r="B522" s="55" t="s">
        <v>1898</v>
      </c>
      <c r="C522" s="106">
        <v>1.3747E-3</v>
      </c>
      <c r="D522" s="106">
        <v>1.291E-3</v>
      </c>
      <c r="E522" s="56">
        <v>2100161</v>
      </c>
      <c r="F522" s="56"/>
      <c r="G522" s="57">
        <v>120989</v>
      </c>
      <c r="H522" s="107">
        <v>509922</v>
      </c>
      <c r="I522" s="57">
        <v>299932</v>
      </c>
      <c r="J522" s="56">
        <v>62898</v>
      </c>
      <c r="K522" s="107">
        <f t="shared" si="16"/>
        <v>993741</v>
      </c>
      <c r="L522" s="56"/>
      <c r="M522" s="57">
        <v>59449</v>
      </c>
      <c r="N522" s="57">
        <v>0</v>
      </c>
      <c r="O522" s="56">
        <v>0</v>
      </c>
      <c r="P522" s="107">
        <f t="shared" si="17"/>
        <v>59449</v>
      </c>
      <c r="Q522" s="56"/>
      <c r="R522" s="57">
        <v>707756</v>
      </c>
      <c r="S522" s="58">
        <v>28646</v>
      </c>
      <c r="T522" s="58">
        <v>736402</v>
      </c>
    </row>
    <row r="523" spans="1:20">
      <c r="A523" s="54">
        <v>95711</v>
      </c>
      <c r="B523" s="55" t="s">
        <v>1899</v>
      </c>
      <c r="C523" s="106">
        <v>1.394E-4</v>
      </c>
      <c r="D523" s="106">
        <v>1.382E-4</v>
      </c>
      <c r="E523" s="56">
        <v>212965</v>
      </c>
      <c r="F523" s="56"/>
      <c r="G523" s="57">
        <v>12269</v>
      </c>
      <c r="H523" s="107">
        <v>51708</v>
      </c>
      <c r="I523" s="57">
        <v>30414</v>
      </c>
      <c r="J523" s="56">
        <v>6056</v>
      </c>
      <c r="K523" s="107">
        <f t="shared" si="16"/>
        <v>100447</v>
      </c>
      <c r="L523" s="56"/>
      <c r="M523" s="57">
        <v>6028</v>
      </c>
      <c r="N523" s="57">
        <v>0</v>
      </c>
      <c r="O523" s="56">
        <v>5836</v>
      </c>
      <c r="P523" s="107">
        <f t="shared" si="17"/>
        <v>11864</v>
      </c>
      <c r="Q523" s="56"/>
      <c r="R523" s="57">
        <v>71769</v>
      </c>
      <c r="S523" s="58">
        <v>1663</v>
      </c>
      <c r="T523" s="58">
        <v>73432</v>
      </c>
    </row>
    <row r="524" spans="1:20">
      <c r="A524" s="54">
        <v>95721</v>
      </c>
      <c r="B524" s="55" t="s">
        <v>1900</v>
      </c>
      <c r="C524" s="106">
        <v>6.7600000000000003E-5</v>
      </c>
      <c r="D524" s="106">
        <v>6.6199999999999996E-5</v>
      </c>
      <c r="E524" s="56">
        <v>103274</v>
      </c>
      <c r="F524" s="56"/>
      <c r="G524" s="57">
        <v>5950</v>
      </c>
      <c r="H524" s="107">
        <v>25075</v>
      </c>
      <c r="I524" s="57">
        <v>14749</v>
      </c>
      <c r="J524" s="56">
        <v>0</v>
      </c>
      <c r="K524" s="107">
        <f t="shared" si="16"/>
        <v>45774</v>
      </c>
      <c r="L524" s="56"/>
      <c r="M524" s="57">
        <v>2923</v>
      </c>
      <c r="N524" s="57">
        <v>0</v>
      </c>
      <c r="O524" s="56">
        <v>9622</v>
      </c>
      <c r="P524" s="107">
        <f t="shared" si="17"/>
        <v>12545</v>
      </c>
      <c r="Q524" s="56"/>
      <c r="R524" s="57">
        <v>34803</v>
      </c>
      <c r="S524" s="58">
        <v>-4619</v>
      </c>
      <c r="T524" s="58">
        <f>30185-1</f>
        <v>30184</v>
      </c>
    </row>
    <row r="525" spans="1:20">
      <c r="A525" s="54">
        <v>95733</v>
      </c>
      <c r="B525" s="55" t="s">
        <v>1901</v>
      </c>
      <c r="C525" s="106">
        <v>1.5400000000000002E-5</v>
      </c>
      <c r="D525" s="106">
        <v>1.56E-5</v>
      </c>
      <c r="E525" s="56">
        <v>23527</v>
      </c>
      <c r="F525" s="56"/>
      <c r="G525" s="57">
        <v>1355</v>
      </c>
      <c r="H525" s="107">
        <v>5712</v>
      </c>
      <c r="I525" s="57">
        <v>3360</v>
      </c>
      <c r="J525" s="56">
        <v>581</v>
      </c>
      <c r="K525" s="107">
        <f t="shared" si="16"/>
        <v>11008</v>
      </c>
      <c r="L525" s="56"/>
      <c r="M525" s="57">
        <v>666</v>
      </c>
      <c r="N525" s="57">
        <v>0</v>
      </c>
      <c r="O525" s="56">
        <v>464</v>
      </c>
      <c r="P525" s="107">
        <f t="shared" si="17"/>
        <v>1130</v>
      </c>
      <c r="Q525" s="56"/>
      <c r="R525" s="57">
        <v>7929</v>
      </c>
      <c r="S525" s="58">
        <v>209</v>
      </c>
      <c r="T525" s="58">
        <v>8138</v>
      </c>
    </row>
    <row r="526" spans="1:20">
      <c r="A526" s="54">
        <v>95801</v>
      </c>
      <c r="B526" s="55" t="s">
        <v>1902</v>
      </c>
      <c r="C526" s="106">
        <v>9.6310000000000005E-4</v>
      </c>
      <c r="D526" s="106">
        <v>8.9349999999999998E-4</v>
      </c>
      <c r="E526" s="56">
        <v>1471350</v>
      </c>
      <c r="F526" s="56"/>
      <c r="G526" s="57">
        <v>84763</v>
      </c>
      <c r="H526" s="107">
        <v>357246</v>
      </c>
      <c r="I526" s="57">
        <v>210129</v>
      </c>
      <c r="J526" s="56">
        <v>62205</v>
      </c>
      <c r="K526" s="107">
        <f t="shared" si="16"/>
        <v>714343</v>
      </c>
      <c r="L526" s="56"/>
      <c r="M526" s="57">
        <v>41649</v>
      </c>
      <c r="N526" s="57">
        <v>0</v>
      </c>
      <c r="O526" s="56">
        <v>4103</v>
      </c>
      <c r="P526" s="107">
        <f t="shared" si="17"/>
        <v>45752</v>
      </c>
      <c r="Q526" s="56"/>
      <c r="R526" s="57">
        <v>495846</v>
      </c>
      <c r="S526" s="58">
        <v>14399</v>
      </c>
      <c r="T526" s="58">
        <v>510245</v>
      </c>
    </row>
    <row r="527" spans="1:20">
      <c r="A527" s="54">
        <v>95802</v>
      </c>
      <c r="B527" s="55" t="s">
        <v>1903</v>
      </c>
      <c r="C527" s="106">
        <v>6.1E-6</v>
      </c>
      <c r="D527" s="106">
        <v>6.8000000000000001E-6</v>
      </c>
      <c r="E527" s="56">
        <v>9319</v>
      </c>
      <c r="F527" s="56"/>
      <c r="G527" s="57">
        <v>537</v>
      </c>
      <c r="H527" s="107">
        <v>2263</v>
      </c>
      <c r="I527" s="57">
        <v>1331</v>
      </c>
      <c r="J527" s="56">
        <v>3297</v>
      </c>
      <c r="K527" s="107">
        <f t="shared" si="16"/>
        <v>7428</v>
      </c>
      <c r="L527" s="56"/>
      <c r="M527" s="57">
        <v>264</v>
      </c>
      <c r="N527" s="57">
        <v>0</v>
      </c>
      <c r="O527" s="56">
        <v>1248</v>
      </c>
      <c r="P527" s="107">
        <f t="shared" si="17"/>
        <v>1512</v>
      </c>
      <c r="Q527" s="56"/>
      <c r="R527" s="57">
        <v>3141</v>
      </c>
      <c r="S527" s="58">
        <v>-81</v>
      </c>
      <c r="T527" s="58">
        <v>3060</v>
      </c>
    </row>
    <row r="528" spans="1:20">
      <c r="A528" s="54">
        <v>95804</v>
      </c>
      <c r="B528" s="55" t="s">
        <v>1904</v>
      </c>
      <c r="C528" s="106">
        <v>2.19E-5</v>
      </c>
      <c r="D528" s="106">
        <v>1.63E-5</v>
      </c>
      <c r="E528" s="56">
        <v>33457</v>
      </c>
      <c r="F528" s="56"/>
      <c r="G528" s="57">
        <v>1927</v>
      </c>
      <c r="H528" s="107">
        <v>8123</v>
      </c>
      <c r="I528" s="57">
        <v>4778</v>
      </c>
      <c r="J528" s="56">
        <v>3631</v>
      </c>
      <c r="K528" s="107">
        <f t="shared" si="16"/>
        <v>18459</v>
      </c>
      <c r="L528" s="56"/>
      <c r="M528" s="57">
        <v>947</v>
      </c>
      <c r="N528" s="57">
        <v>0</v>
      </c>
      <c r="O528" s="56">
        <v>0</v>
      </c>
      <c r="P528" s="107">
        <f t="shared" si="17"/>
        <v>947</v>
      </c>
      <c r="Q528" s="56"/>
      <c r="R528" s="57">
        <v>11275</v>
      </c>
      <c r="S528" s="58">
        <v>1628</v>
      </c>
      <c r="T528" s="58">
        <f>12904-1</f>
        <v>12903</v>
      </c>
    </row>
    <row r="529" spans="1:20">
      <c r="A529" s="54">
        <v>95811</v>
      </c>
      <c r="B529" s="55" t="s">
        <v>1905</v>
      </c>
      <c r="C529" s="106">
        <v>5.3129999999999996E-4</v>
      </c>
      <c r="D529" s="106">
        <v>5.3410000000000003E-4</v>
      </c>
      <c r="E529" s="56">
        <v>811679</v>
      </c>
      <c r="F529" s="56"/>
      <c r="G529" s="57">
        <v>46760</v>
      </c>
      <c r="H529" s="107">
        <v>197076</v>
      </c>
      <c r="I529" s="57">
        <v>115919</v>
      </c>
      <c r="J529" s="56">
        <v>1678</v>
      </c>
      <c r="K529" s="107">
        <f t="shared" si="16"/>
        <v>361433</v>
      </c>
      <c r="L529" s="56"/>
      <c r="M529" s="57">
        <v>22976</v>
      </c>
      <c r="N529" s="57">
        <v>0</v>
      </c>
      <c r="O529" s="56">
        <v>5329</v>
      </c>
      <c r="P529" s="107">
        <f t="shared" si="17"/>
        <v>28305</v>
      </c>
      <c r="Q529" s="56"/>
      <c r="R529" s="57">
        <v>273537</v>
      </c>
      <c r="S529" s="58">
        <v>-1501</v>
      </c>
      <c r="T529" s="58">
        <f>272035+1</f>
        <v>272036</v>
      </c>
    </row>
    <row r="530" spans="1:20">
      <c r="A530" s="54">
        <v>95813</v>
      </c>
      <c r="B530" s="55" t="s">
        <v>1906</v>
      </c>
      <c r="C530" s="106">
        <v>4.88E-5</v>
      </c>
      <c r="D530" s="106">
        <v>4.4400000000000002E-5</v>
      </c>
      <c r="E530" s="56">
        <v>74553</v>
      </c>
      <c r="F530" s="56"/>
      <c r="G530" s="57">
        <v>4295</v>
      </c>
      <c r="H530" s="107">
        <v>18101</v>
      </c>
      <c r="I530" s="57">
        <v>10647</v>
      </c>
      <c r="J530" s="56">
        <v>72000</v>
      </c>
      <c r="K530" s="107">
        <f t="shared" si="16"/>
        <v>105043</v>
      </c>
      <c r="L530" s="56"/>
      <c r="M530" s="57">
        <v>2110</v>
      </c>
      <c r="N530" s="57">
        <v>0</v>
      </c>
      <c r="O530" s="56">
        <v>0</v>
      </c>
      <c r="P530" s="107">
        <f t="shared" si="17"/>
        <v>2110</v>
      </c>
      <c r="Q530" s="56"/>
      <c r="R530" s="57">
        <v>25124</v>
      </c>
      <c r="S530" s="58">
        <v>24457</v>
      </c>
      <c r="T530" s="58">
        <v>49581</v>
      </c>
    </row>
    <row r="531" spans="1:20">
      <c r="A531" s="54">
        <v>95821</v>
      </c>
      <c r="B531" s="55" t="s">
        <v>1907</v>
      </c>
      <c r="C531" s="106">
        <v>0</v>
      </c>
      <c r="D531" s="106">
        <v>1.7E-6</v>
      </c>
      <c r="E531" s="56">
        <v>0</v>
      </c>
      <c r="F531" s="56"/>
      <c r="G531" s="57">
        <v>0</v>
      </c>
      <c r="H531" s="107">
        <v>0</v>
      </c>
      <c r="I531" s="57">
        <v>0</v>
      </c>
      <c r="J531" s="56">
        <v>1293</v>
      </c>
      <c r="K531" s="107">
        <f t="shared" si="16"/>
        <v>1293</v>
      </c>
      <c r="L531" s="56"/>
      <c r="M531" s="57">
        <v>0</v>
      </c>
      <c r="N531" s="57">
        <v>0</v>
      </c>
      <c r="O531" s="56">
        <v>652</v>
      </c>
      <c r="P531" s="107">
        <f t="shared" si="17"/>
        <v>652</v>
      </c>
      <c r="Q531" s="56"/>
      <c r="R531" s="57">
        <v>0</v>
      </c>
      <c r="S531" s="58">
        <v>460</v>
      </c>
      <c r="T531" s="58">
        <v>460</v>
      </c>
    </row>
    <row r="532" spans="1:20">
      <c r="A532" s="54">
        <v>95831</v>
      </c>
      <c r="B532" s="55" t="s">
        <v>1908</v>
      </c>
      <c r="C532" s="106">
        <v>1.6799999999999998E-5</v>
      </c>
      <c r="D532" s="106">
        <v>1.36E-5</v>
      </c>
      <c r="E532" s="56">
        <v>25666</v>
      </c>
      <c r="F532" s="56"/>
      <c r="G532" s="57">
        <v>1479</v>
      </c>
      <c r="H532" s="107">
        <v>6232</v>
      </c>
      <c r="I532" s="57">
        <v>3665</v>
      </c>
      <c r="J532" s="56">
        <v>23962</v>
      </c>
      <c r="K532" s="107">
        <f t="shared" si="16"/>
        <v>35338</v>
      </c>
      <c r="L532" s="56"/>
      <c r="M532" s="57">
        <v>727</v>
      </c>
      <c r="N532" s="57">
        <v>0</v>
      </c>
      <c r="O532" s="56">
        <v>0</v>
      </c>
      <c r="P532" s="107">
        <f t="shared" si="17"/>
        <v>727</v>
      </c>
      <c r="Q532" s="56"/>
      <c r="R532" s="57">
        <v>8649</v>
      </c>
      <c r="S532" s="58">
        <v>8068</v>
      </c>
      <c r="T532" s="58">
        <v>16717</v>
      </c>
    </row>
    <row r="533" spans="1:20">
      <c r="A533" s="54">
        <v>95841</v>
      </c>
      <c r="B533" s="55" t="s">
        <v>1909</v>
      </c>
      <c r="C533" s="106">
        <v>2.0999999999999999E-5</v>
      </c>
      <c r="D533" s="106">
        <v>2.1100000000000001E-5</v>
      </c>
      <c r="E533" s="56">
        <v>32082</v>
      </c>
      <c r="F533" s="56"/>
      <c r="G533" s="57">
        <v>1848</v>
      </c>
      <c r="H533" s="107">
        <v>7790</v>
      </c>
      <c r="I533" s="57">
        <v>4582</v>
      </c>
      <c r="J533" s="56">
        <v>2103</v>
      </c>
      <c r="K533" s="107">
        <f t="shared" si="16"/>
        <v>16323</v>
      </c>
      <c r="L533" s="56"/>
      <c r="M533" s="57">
        <v>908</v>
      </c>
      <c r="N533" s="57">
        <v>0</v>
      </c>
      <c r="O533" s="56">
        <v>0</v>
      </c>
      <c r="P533" s="107">
        <f t="shared" si="17"/>
        <v>908</v>
      </c>
      <c r="Q533" s="56"/>
      <c r="R533" s="57">
        <v>10812</v>
      </c>
      <c r="S533" s="58">
        <v>817</v>
      </c>
      <c r="T533" s="58">
        <v>11629</v>
      </c>
    </row>
    <row r="534" spans="1:20">
      <c r="A534" s="54">
        <v>95851</v>
      </c>
      <c r="B534" s="55" t="s">
        <v>1910</v>
      </c>
      <c r="C534" s="106">
        <v>1.327E-4</v>
      </c>
      <c r="D534" s="106">
        <v>1.3009999999999999E-4</v>
      </c>
      <c r="E534" s="56">
        <v>202729</v>
      </c>
      <c r="F534" s="56"/>
      <c r="G534" s="57">
        <v>11679</v>
      </c>
      <c r="H534" s="107">
        <v>49223</v>
      </c>
      <c r="I534" s="57">
        <v>28952</v>
      </c>
      <c r="J534" s="56">
        <v>130637</v>
      </c>
      <c r="K534" s="107">
        <f t="shared" si="16"/>
        <v>220491</v>
      </c>
      <c r="L534" s="56"/>
      <c r="M534" s="57">
        <v>5739</v>
      </c>
      <c r="N534" s="57">
        <v>0</v>
      </c>
      <c r="O534" s="56">
        <v>4180</v>
      </c>
      <c r="P534" s="107">
        <f t="shared" si="17"/>
        <v>9919</v>
      </c>
      <c r="Q534" s="56"/>
      <c r="R534" s="57">
        <v>68320</v>
      </c>
      <c r="S534" s="58">
        <v>39831</v>
      </c>
      <c r="T534" s="58">
        <v>108151</v>
      </c>
    </row>
    <row r="535" spans="1:20">
      <c r="A535" s="54">
        <v>95853</v>
      </c>
      <c r="B535" s="55" t="s">
        <v>1911</v>
      </c>
      <c r="C535" s="106">
        <v>2.69E-5</v>
      </c>
      <c r="D535" s="106">
        <v>2.4000000000000001E-5</v>
      </c>
      <c r="E535" s="56">
        <v>41096</v>
      </c>
      <c r="F535" s="56"/>
      <c r="G535" s="57">
        <v>2367</v>
      </c>
      <c r="H535" s="107">
        <v>9978</v>
      </c>
      <c r="I535" s="57">
        <v>5869</v>
      </c>
      <c r="J535" s="56">
        <v>8793</v>
      </c>
      <c r="K535" s="107">
        <f t="shared" si="16"/>
        <v>27007</v>
      </c>
      <c r="L535" s="56"/>
      <c r="M535" s="57">
        <v>1163</v>
      </c>
      <c r="N535" s="57">
        <v>0</v>
      </c>
      <c r="O535" s="56">
        <v>0</v>
      </c>
      <c r="P535" s="107">
        <f t="shared" si="17"/>
        <v>1163</v>
      </c>
      <c r="Q535" s="56"/>
      <c r="R535" s="57">
        <v>13849</v>
      </c>
      <c r="S535" s="58">
        <v>3675</v>
      </c>
      <c r="T535" s="58">
        <f>17525-1</f>
        <v>17524</v>
      </c>
    </row>
    <row r="536" spans="1:20">
      <c r="A536" s="54">
        <v>95901</v>
      </c>
      <c r="B536" s="55" t="s">
        <v>1912</v>
      </c>
      <c r="C536" s="106">
        <v>1.8714999999999999E-3</v>
      </c>
      <c r="D536" s="106">
        <v>1.8266999999999999E-3</v>
      </c>
      <c r="E536" s="56">
        <v>2859134</v>
      </c>
      <c r="F536" s="56"/>
      <c r="G536" s="57">
        <v>164713</v>
      </c>
      <c r="H536" s="107">
        <v>694201</v>
      </c>
      <c r="I536" s="57">
        <v>408324</v>
      </c>
      <c r="J536" s="56">
        <v>36652</v>
      </c>
      <c r="K536" s="107">
        <f t="shared" si="16"/>
        <v>1303890</v>
      </c>
      <c r="L536" s="56"/>
      <c r="M536" s="57">
        <v>80933</v>
      </c>
      <c r="N536" s="57">
        <v>0</v>
      </c>
      <c r="O536" s="56">
        <v>13191</v>
      </c>
      <c r="P536" s="107">
        <f t="shared" si="17"/>
        <v>94124</v>
      </c>
      <c r="Q536" s="56"/>
      <c r="R536" s="57">
        <v>963531</v>
      </c>
      <c r="S536" s="58">
        <v>28466</v>
      </c>
      <c r="T536" s="58">
        <v>991997</v>
      </c>
    </row>
    <row r="537" spans="1:20">
      <c r="A537" s="54">
        <v>95908</v>
      </c>
      <c r="B537" s="55" t="s">
        <v>1913</v>
      </c>
      <c r="C537" s="106">
        <v>7.2200000000000007E-5</v>
      </c>
      <c r="D537" s="106">
        <v>7.2000000000000002E-5</v>
      </c>
      <c r="E537" s="56">
        <v>110302</v>
      </c>
      <c r="F537" s="56"/>
      <c r="G537" s="57">
        <v>6354</v>
      </c>
      <c r="H537" s="107">
        <v>26781</v>
      </c>
      <c r="I537" s="57">
        <v>15753</v>
      </c>
      <c r="J537" s="56">
        <v>0</v>
      </c>
      <c r="K537" s="107">
        <f t="shared" si="16"/>
        <v>48888</v>
      </c>
      <c r="L537" s="56"/>
      <c r="M537" s="57">
        <v>3122</v>
      </c>
      <c r="N537" s="57">
        <v>0</v>
      </c>
      <c r="O537" s="56">
        <v>22164</v>
      </c>
      <c r="P537" s="107">
        <f t="shared" si="17"/>
        <v>25286</v>
      </c>
      <c r="Q537" s="56"/>
      <c r="R537" s="57">
        <v>37172</v>
      </c>
      <c r="S537" s="58">
        <v>-10736</v>
      </c>
      <c r="T537" s="58">
        <v>26436</v>
      </c>
    </row>
    <row r="538" spans="1:20">
      <c r="A538" s="54">
        <v>95911</v>
      </c>
      <c r="B538" s="55" t="s">
        <v>1914</v>
      </c>
      <c r="C538" s="106">
        <v>5.7450000000000003E-4</v>
      </c>
      <c r="D538" s="106">
        <v>5.6979999999999997E-4</v>
      </c>
      <c r="E538" s="56">
        <v>877677</v>
      </c>
      <c r="F538" s="56"/>
      <c r="G538" s="57">
        <v>50562</v>
      </c>
      <c r="H538" s="107">
        <v>213101</v>
      </c>
      <c r="I538" s="57">
        <v>125344</v>
      </c>
      <c r="J538" s="56">
        <v>2898</v>
      </c>
      <c r="K538" s="107">
        <f t="shared" si="16"/>
        <v>391905</v>
      </c>
      <c r="L538" s="56"/>
      <c r="M538" s="57">
        <v>24844</v>
      </c>
      <c r="N538" s="57">
        <v>0</v>
      </c>
      <c r="O538" s="56">
        <v>40952</v>
      </c>
      <c r="P538" s="107">
        <f t="shared" si="17"/>
        <v>65796</v>
      </c>
      <c r="Q538" s="56"/>
      <c r="R538" s="57">
        <v>295778</v>
      </c>
      <c r="S538" s="58">
        <v>-14076</v>
      </c>
      <c r="T538" s="58">
        <v>281702</v>
      </c>
    </row>
    <row r="539" spans="1:20">
      <c r="A539" s="54">
        <v>95917</v>
      </c>
      <c r="B539" s="55" t="s">
        <v>1915</v>
      </c>
      <c r="C539" s="106">
        <v>2.6699999999999998E-5</v>
      </c>
      <c r="D539" s="106">
        <v>2.2399999999999999E-5</v>
      </c>
      <c r="E539" s="56">
        <v>40790</v>
      </c>
      <c r="F539" s="56"/>
      <c r="G539" s="57">
        <v>2350</v>
      </c>
      <c r="H539" s="107">
        <v>9904</v>
      </c>
      <c r="I539" s="57">
        <v>5825</v>
      </c>
      <c r="J539" s="56">
        <v>4378</v>
      </c>
      <c r="K539" s="107">
        <f t="shared" si="16"/>
        <v>22457</v>
      </c>
      <c r="L539" s="56"/>
      <c r="M539" s="57">
        <v>1155</v>
      </c>
      <c r="N539" s="57">
        <v>0</v>
      </c>
      <c r="O539" s="56">
        <v>501</v>
      </c>
      <c r="P539" s="107">
        <f t="shared" si="17"/>
        <v>1656</v>
      </c>
      <c r="Q539" s="56"/>
      <c r="R539" s="57">
        <v>13746</v>
      </c>
      <c r="S539" s="58">
        <v>2216</v>
      </c>
      <c r="T539" s="58">
        <v>15962</v>
      </c>
    </row>
    <row r="540" spans="1:20">
      <c r="A540" s="54">
        <v>95921</v>
      </c>
      <c r="B540" s="55" t="s">
        <v>1916</v>
      </c>
      <c r="C540" s="106">
        <v>4.7500000000000003E-5</v>
      </c>
      <c r="D540" s="106">
        <v>4.4700000000000002E-5</v>
      </c>
      <c r="E540" s="56">
        <v>72567</v>
      </c>
      <c r="F540" s="56"/>
      <c r="G540" s="57">
        <v>4181</v>
      </c>
      <c r="H540" s="107">
        <v>17619</v>
      </c>
      <c r="I540" s="57">
        <v>10364</v>
      </c>
      <c r="J540" s="56">
        <v>3925</v>
      </c>
      <c r="K540" s="107">
        <f t="shared" si="16"/>
        <v>36089</v>
      </c>
      <c r="L540" s="56"/>
      <c r="M540" s="57">
        <v>2054</v>
      </c>
      <c r="N540" s="57">
        <v>0</v>
      </c>
      <c r="O540" s="56">
        <v>948</v>
      </c>
      <c r="P540" s="107">
        <f t="shared" si="17"/>
        <v>3002</v>
      </c>
      <c r="Q540" s="56"/>
      <c r="R540" s="57">
        <v>24455</v>
      </c>
      <c r="S540" s="58">
        <v>526</v>
      </c>
      <c r="T540" s="58">
        <v>24981</v>
      </c>
    </row>
    <row r="541" spans="1:20">
      <c r="A541" s="54">
        <v>96001</v>
      </c>
      <c r="B541" s="55" t="s">
        <v>1917</v>
      </c>
      <c r="C541" s="106">
        <v>4.4386399999999999E-2</v>
      </c>
      <c r="D541" s="106">
        <v>4.43519E-2</v>
      </c>
      <c r="E541" s="56">
        <v>67810124</v>
      </c>
      <c r="F541" s="56"/>
      <c r="G541" s="57">
        <v>3906491</v>
      </c>
      <c r="H541" s="107">
        <v>16464380</v>
      </c>
      <c r="I541" s="57">
        <v>9684225</v>
      </c>
      <c r="J541" s="56">
        <v>1457342</v>
      </c>
      <c r="K541" s="107">
        <f t="shared" si="16"/>
        <v>31512438</v>
      </c>
      <c r="L541" s="56"/>
      <c r="M541" s="57">
        <v>1919490</v>
      </c>
      <c r="N541" s="57">
        <v>0</v>
      </c>
      <c r="O541" s="56">
        <v>477903</v>
      </c>
      <c r="P541" s="107">
        <f t="shared" si="17"/>
        <v>2397393</v>
      </c>
      <c r="Q541" s="56"/>
      <c r="R541" s="57">
        <v>22852072</v>
      </c>
      <c r="S541" s="58">
        <v>1208760</v>
      </c>
      <c r="T541" s="58">
        <v>24060832</v>
      </c>
    </row>
    <row r="542" spans="1:20">
      <c r="A542" s="54">
        <v>96003</v>
      </c>
      <c r="B542" s="55" t="s">
        <v>1918</v>
      </c>
      <c r="C542" s="106">
        <v>1.6523E-3</v>
      </c>
      <c r="D542" s="106">
        <v>1.7309000000000001E-3</v>
      </c>
      <c r="E542" s="56">
        <v>2524257</v>
      </c>
      <c r="F542" s="56"/>
      <c r="G542" s="57">
        <v>145421</v>
      </c>
      <c r="H542" s="107">
        <v>612893</v>
      </c>
      <c r="I542" s="57">
        <v>360499</v>
      </c>
      <c r="J542" s="56">
        <v>3089</v>
      </c>
      <c r="K542" s="107">
        <f t="shared" si="16"/>
        <v>1121902</v>
      </c>
      <c r="L542" s="56"/>
      <c r="M542" s="57">
        <v>71454</v>
      </c>
      <c r="N542" s="57">
        <v>0</v>
      </c>
      <c r="O542" s="56">
        <v>135978</v>
      </c>
      <c r="P542" s="107">
        <f t="shared" si="17"/>
        <v>207432</v>
      </c>
      <c r="Q542" s="56"/>
      <c r="R542" s="57">
        <v>850677</v>
      </c>
      <c r="S542" s="58">
        <v>-56030</v>
      </c>
      <c r="T542" s="58">
        <v>794647</v>
      </c>
    </row>
    <row r="543" spans="1:20">
      <c r="A543" s="54">
        <v>96004</v>
      </c>
      <c r="B543" s="55" t="s">
        <v>1919</v>
      </c>
      <c r="C543" s="106">
        <v>8.9439999999999995E-4</v>
      </c>
      <c r="D543" s="106">
        <v>8.7699999999999996E-4</v>
      </c>
      <c r="E543" s="56">
        <v>1366395</v>
      </c>
      <c r="F543" s="56"/>
      <c r="G543" s="57">
        <v>78717</v>
      </c>
      <c r="H543" s="107">
        <v>331762</v>
      </c>
      <c r="I543" s="57">
        <v>195140</v>
      </c>
      <c r="J543" s="56">
        <v>149546</v>
      </c>
      <c r="K543" s="107">
        <f t="shared" si="16"/>
        <v>755165</v>
      </c>
      <c r="L543" s="56"/>
      <c r="M543" s="57">
        <v>38678</v>
      </c>
      <c r="N543" s="57">
        <v>0</v>
      </c>
      <c r="O543" s="56">
        <v>0</v>
      </c>
      <c r="P543" s="107">
        <f t="shared" si="17"/>
        <v>38678</v>
      </c>
      <c r="Q543" s="56"/>
      <c r="R543" s="57">
        <v>460476</v>
      </c>
      <c r="S543" s="58">
        <v>65505</v>
      </c>
      <c r="T543" s="58">
        <f>525982-1</f>
        <v>525981</v>
      </c>
    </row>
    <row r="544" spans="1:20">
      <c r="A544" s="54">
        <v>96005</v>
      </c>
      <c r="B544" s="55" t="s">
        <v>1920</v>
      </c>
      <c r="C544" s="106">
        <v>2.6733999999999998E-3</v>
      </c>
      <c r="D544" s="106">
        <v>2.6457E-3</v>
      </c>
      <c r="E544" s="56">
        <v>4084215</v>
      </c>
      <c r="F544" s="56"/>
      <c r="G544" s="57">
        <v>235289</v>
      </c>
      <c r="H544" s="107">
        <v>991653</v>
      </c>
      <c r="I544" s="57">
        <v>583282</v>
      </c>
      <c r="J544" s="56">
        <v>222285</v>
      </c>
      <c r="K544" s="107">
        <f t="shared" si="16"/>
        <v>2032509</v>
      </c>
      <c r="L544" s="56"/>
      <c r="M544" s="57">
        <v>115611</v>
      </c>
      <c r="N544" s="57">
        <v>0</v>
      </c>
      <c r="O544" s="56">
        <v>0</v>
      </c>
      <c r="P544" s="107">
        <f t="shared" si="17"/>
        <v>115611</v>
      </c>
      <c r="Q544" s="56"/>
      <c r="R544" s="57">
        <v>1376384</v>
      </c>
      <c r="S544" s="58">
        <v>159087</v>
      </c>
      <c r="T544" s="58">
        <v>1535471</v>
      </c>
    </row>
    <row r="545" spans="1:20">
      <c r="A545" s="54">
        <v>96008</v>
      </c>
      <c r="B545" s="55" t="s">
        <v>1921</v>
      </c>
      <c r="C545" s="106">
        <v>5.9955E-3</v>
      </c>
      <c r="D545" s="106">
        <v>5.9388000000000002E-3</v>
      </c>
      <c r="E545" s="56">
        <v>9159463</v>
      </c>
      <c r="F545" s="56"/>
      <c r="G545" s="57">
        <v>527670</v>
      </c>
      <c r="H545" s="107">
        <v>2223929</v>
      </c>
      <c r="I545" s="57">
        <v>1308098</v>
      </c>
      <c r="J545" s="56">
        <v>0</v>
      </c>
      <c r="K545" s="107">
        <f t="shared" si="16"/>
        <v>4059697</v>
      </c>
      <c r="L545" s="56"/>
      <c r="M545" s="57">
        <v>259275</v>
      </c>
      <c r="N545" s="57">
        <v>0</v>
      </c>
      <c r="O545" s="56">
        <v>767021</v>
      </c>
      <c r="P545" s="107">
        <f t="shared" si="17"/>
        <v>1026296</v>
      </c>
      <c r="Q545" s="56"/>
      <c r="R545" s="57">
        <v>3086747</v>
      </c>
      <c r="S545" s="58">
        <v>-274630</v>
      </c>
      <c r="T545" s="58">
        <v>2812117</v>
      </c>
    </row>
    <row r="546" spans="1:20">
      <c r="A546" s="54">
        <v>96009</v>
      </c>
      <c r="B546" s="55" t="s">
        <v>1922</v>
      </c>
      <c r="C546" s="106">
        <v>3.7609999999999998E-4</v>
      </c>
      <c r="D546" s="106">
        <v>3.5980000000000002E-4</v>
      </c>
      <c r="E546" s="56">
        <v>574577</v>
      </c>
      <c r="F546" s="56"/>
      <c r="G546" s="57">
        <v>33101</v>
      </c>
      <c r="H546" s="107">
        <v>139508</v>
      </c>
      <c r="I546" s="57">
        <v>82057</v>
      </c>
      <c r="J546" s="56">
        <v>33181</v>
      </c>
      <c r="K546" s="107">
        <f t="shared" si="16"/>
        <v>287847</v>
      </c>
      <c r="L546" s="56"/>
      <c r="M546" s="57">
        <v>16264</v>
      </c>
      <c r="N546" s="57">
        <v>0</v>
      </c>
      <c r="O546" s="56">
        <v>2595</v>
      </c>
      <c r="P546" s="107">
        <f t="shared" si="17"/>
        <v>18859</v>
      </c>
      <c r="Q546" s="56"/>
      <c r="R546" s="57">
        <v>193633</v>
      </c>
      <c r="S546" s="58">
        <v>11508</v>
      </c>
      <c r="T546" s="58">
        <v>205141</v>
      </c>
    </row>
    <row r="547" spans="1:20">
      <c r="A547" s="54">
        <v>96011</v>
      </c>
      <c r="B547" s="55" t="s">
        <v>1923</v>
      </c>
      <c r="C547" s="106">
        <v>6.1150400000000001E-2</v>
      </c>
      <c r="D547" s="106">
        <v>6.0489000000000001E-2</v>
      </c>
      <c r="E547" s="56">
        <v>93420873</v>
      </c>
      <c r="F547" s="56"/>
      <c r="G547" s="57">
        <v>5381908</v>
      </c>
      <c r="H547" s="107">
        <v>22682701</v>
      </c>
      <c r="I547" s="57">
        <v>13341794</v>
      </c>
      <c r="J547" s="56">
        <v>796221</v>
      </c>
      <c r="K547" s="107">
        <f t="shared" si="16"/>
        <v>42202624</v>
      </c>
      <c r="L547" s="56"/>
      <c r="M547" s="57">
        <v>2644449</v>
      </c>
      <c r="N547" s="57">
        <v>0</v>
      </c>
      <c r="O547" s="56">
        <v>51460</v>
      </c>
      <c r="P547" s="107">
        <f t="shared" si="17"/>
        <v>2695909</v>
      </c>
      <c r="Q547" s="56"/>
      <c r="R547" s="57">
        <v>31482917</v>
      </c>
      <c r="S547" s="58">
        <v>212508</v>
      </c>
      <c r="T547" s="58">
        <v>31695425</v>
      </c>
    </row>
    <row r="548" spans="1:20">
      <c r="A548" s="54">
        <v>96012</v>
      </c>
      <c r="B548" s="55" t="s">
        <v>1924</v>
      </c>
      <c r="C548" s="106">
        <v>2.4417000000000002E-3</v>
      </c>
      <c r="D548" s="106">
        <v>2.4095000000000002E-3</v>
      </c>
      <c r="E548" s="56">
        <v>3730241</v>
      </c>
      <c r="F548" s="56"/>
      <c r="G548" s="57">
        <v>214896</v>
      </c>
      <c r="H548" s="107">
        <v>905707</v>
      </c>
      <c r="I548" s="57">
        <v>532730</v>
      </c>
      <c r="J548" s="56">
        <v>77080</v>
      </c>
      <c r="K548" s="107">
        <f t="shared" si="16"/>
        <v>1730413</v>
      </c>
      <c r="L548" s="56"/>
      <c r="M548" s="57">
        <v>105591</v>
      </c>
      <c r="N548" s="57">
        <v>0</v>
      </c>
      <c r="O548" s="56">
        <v>937</v>
      </c>
      <c r="P548" s="107">
        <f t="shared" si="17"/>
        <v>106528</v>
      </c>
      <c r="Q548" s="56"/>
      <c r="R548" s="57">
        <v>1257095</v>
      </c>
      <c r="S548" s="58">
        <v>35595</v>
      </c>
      <c r="T548" s="58">
        <v>1292690</v>
      </c>
    </row>
    <row r="549" spans="1:20">
      <c r="A549" s="54">
        <v>96018</v>
      </c>
      <c r="B549" s="55" t="s">
        <v>1925</v>
      </c>
      <c r="C549" s="106">
        <v>4.3600000000000003E-5</v>
      </c>
      <c r="D549" s="106">
        <v>3.6199999999999999E-5</v>
      </c>
      <c r="E549" s="56">
        <v>66609</v>
      </c>
      <c r="F549" s="56"/>
      <c r="G549" s="57">
        <v>3837</v>
      </c>
      <c r="H549" s="107">
        <v>16173</v>
      </c>
      <c r="I549" s="57">
        <v>9513</v>
      </c>
      <c r="J549" s="56">
        <v>9704</v>
      </c>
      <c r="K549" s="107">
        <f t="shared" si="16"/>
        <v>39227</v>
      </c>
      <c r="L549" s="56"/>
      <c r="M549" s="57">
        <v>1885</v>
      </c>
      <c r="N549" s="57">
        <v>0</v>
      </c>
      <c r="O549" s="56">
        <v>0</v>
      </c>
      <c r="P549" s="107">
        <f t="shared" si="17"/>
        <v>1885</v>
      </c>
      <c r="Q549" s="56"/>
      <c r="R549" s="57">
        <v>22447</v>
      </c>
      <c r="S549" s="58">
        <v>5913</v>
      </c>
      <c r="T549" s="58">
        <v>28360</v>
      </c>
    </row>
    <row r="550" spans="1:20">
      <c r="A550" s="54">
        <v>96021</v>
      </c>
      <c r="B550" s="55" t="s">
        <v>1926</v>
      </c>
      <c r="C550" s="106">
        <v>7.2090000000000001E-4</v>
      </c>
      <c r="D550" s="106">
        <v>8.5829999999999999E-4</v>
      </c>
      <c r="E550" s="56">
        <v>1101336</v>
      </c>
      <c r="F550" s="56"/>
      <c r="G550" s="57">
        <v>63447</v>
      </c>
      <c r="H550" s="107">
        <v>267406</v>
      </c>
      <c r="I550" s="57">
        <v>157286</v>
      </c>
      <c r="J550" s="56">
        <v>31959</v>
      </c>
      <c r="K550" s="107">
        <f t="shared" si="16"/>
        <v>520098</v>
      </c>
      <c r="L550" s="56"/>
      <c r="M550" s="57">
        <v>31175</v>
      </c>
      <c r="N550" s="57">
        <v>0</v>
      </c>
      <c r="O550" s="56">
        <v>119309</v>
      </c>
      <c r="P550" s="107">
        <f t="shared" si="17"/>
        <v>150484</v>
      </c>
      <c r="Q550" s="56"/>
      <c r="R550" s="57">
        <v>371151</v>
      </c>
      <c r="S550" s="58">
        <v>-13869</v>
      </c>
      <c r="T550" s="58">
        <v>357282</v>
      </c>
    </row>
    <row r="551" spans="1:20">
      <c r="A551" s="54">
        <v>96031</v>
      </c>
      <c r="B551" s="55" t="s">
        <v>1927</v>
      </c>
      <c r="C551" s="106">
        <v>8.2580000000000001E-4</v>
      </c>
      <c r="D551" s="106">
        <v>9.0189999999999997E-4</v>
      </c>
      <c r="E551" s="56">
        <v>1261594</v>
      </c>
      <c r="F551" s="56"/>
      <c r="G551" s="57">
        <v>72679</v>
      </c>
      <c r="H551" s="107">
        <v>306317</v>
      </c>
      <c r="I551" s="57">
        <v>180173</v>
      </c>
      <c r="J551" s="56">
        <v>0</v>
      </c>
      <c r="K551" s="107">
        <f t="shared" si="16"/>
        <v>559169</v>
      </c>
      <c r="L551" s="56"/>
      <c r="M551" s="57">
        <v>35712</v>
      </c>
      <c r="N551" s="57">
        <v>0</v>
      </c>
      <c r="O551" s="56">
        <v>179263</v>
      </c>
      <c r="P551" s="107">
        <f t="shared" si="17"/>
        <v>214975</v>
      </c>
      <c r="Q551" s="56"/>
      <c r="R551" s="57">
        <v>425158</v>
      </c>
      <c r="S551" s="58">
        <v>-74461</v>
      </c>
      <c r="T551" s="58">
        <v>350697</v>
      </c>
    </row>
    <row r="552" spans="1:20">
      <c r="A552" s="54">
        <v>96041</v>
      </c>
      <c r="B552" s="55" t="s">
        <v>1928</v>
      </c>
      <c r="C552" s="106">
        <v>1.7361E-3</v>
      </c>
      <c r="D552" s="106">
        <v>1.7323E-3</v>
      </c>
      <c r="E552" s="56">
        <v>2652280</v>
      </c>
      <c r="F552" s="56"/>
      <c r="G552" s="57">
        <v>152796</v>
      </c>
      <c r="H552" s="107">
        <v>643977</v>
      </c>
      <c r="I552" s="57">
        <v>378782</v>
      </c>
      <c r="J552" s="56">
        <v>0</v>
      </c>
      <c r="K552" s="107">
        <f t="shared" si="16"/>
        <v>1175555</v>
      </c>
      <c r="L552" s="56"/>
      <c r="M552" s="57">
        <v>75078</v>
      </c>
      <c r="N552" s="57">
        <v>0</v>
      </c>
      <c r="O552" s="56">
        <v>139404</v>
      </c>
      <c r="P552" s="107">
        <f t="shared" si="17"/>
        <v>214482</v>
      </c>
      <c r="Q552" s="56"/>
      <c r="R552" s="57">
        <v>893821</v>
      </c>
      <c r="S552" s="58">
        <v>-60075</v>
      </c>
      <c r="T552" s="58">
        <v>833746</v>
      </c>
    </row>
    <row r="553" spans="1:20">
      <c r="A553" s="54">
        <v>96051</v>
      </c>
      <c r="B553" s="55" t="s">
        <v>1929</v>
      </c>
      <c r="C553" s="106">
        <v>1.0062000000000001E-3</v>
      </c>
      <c r="D553" s="106">
        <v>1.0258000000000001E-3</v>
      </c>
      <c r="E553" s="56">
        <v>1537195</v>
      </c>
      <c r="F553" s="56"/>
      <c r="G553" s="57">
        <v>88557</v>
      </c>
      <c r="H553" s="107">
        <v>373233</v>
      </c>
      <c r="I553" s="57">
        <v>219533</v>
      </c>
      <c r="J553" s="56">
        <v>0</v>
      </c>
      <c r="K553" s="107">
        <f t="shared" si="16"/>
        <v>681323</v>
      </c>
      <c r="L553" s="56"/>
      <c r="M553" s="57">
        <v>43513</v>
      </c>
      <c r="N553" s="57">
        <v>0</v>
      </c>
      <c r="O553" s="56">
        <v>109605</v>
      </c>
      <c r="P553" s="107">
        <f t="shared" si="17"/>
        <v>153118</v>
      </c>
      <c r="Q553" s="56"/>
      <c r="R553" s="57">
        <v>518036</v>
      </c>
      <c r="S553" s="58">
        <v>-44751</v>
      </c>
      <c r="T553" s="58">
        <v>473285</v>
      </c>
    </row>
    <row r="554" spans="1:20">
      <c r="A554" s="54">
        <v>96061</v>
      </c>
      <c r="B554" s="55" t="s">
        <v>1930</v>
      </c>
      <c r="C554" s="106">
        <v>3.3950000000000001E-4</v>
      </c>
      <c r="D554" s="106">
        <v>3.0800000000000001E-4</v>
      </c>
      <c r="E554" s="56">
        <v>518662</v>
      </c>
      <c r="F554" s="56"/>
      <c r="G554" s="57">
        <v>29880</v>
      </c>
      <c r="H554" s="107">
        <v>125932</v>
      </c>
      <c r="I554" s="57">
        <v>74072</v>
      </c>
      <c r="J554" s="56">
        <v>21868</v>
      </c>
      <c r="K554" s="107">
        <f t="shared" si="16"/>
        <v>251752</v>
      </c>
      <c r="L554" s="56"/>
      <c r="M554" s="57">
        <v>14682</v>
      </c>
      <c r="N554" s="57">
        <v>0</v>
      </c>
      <c r="O554" s="56">
        <v>7447</v>
      </c>
      <c r="P554" s="107">
        <f t="shared" si="17"/>
        <v>22129</v>
      </c>
      <c r="Q554" s="56"/>
      <c r="R554" s="57">
        <v>174790</v>
      </c>
      <c r="S554" s="58">
        <v>2241</v>
      </c>
      <c r="T554" s="58">
        <v>177031</v>
      </c>
    </row>
    <row r="555" spans="1:20">
      <c r="A555" s="54">
        <v>96071</v>
      </c>
      <c r="B555" s="55" t="s">
        <v>1931</v>
      </c>
      <c r="C555" s="106">
        <v>1.1367E-3</v>
      </c>
      <c r="D555" s="106">
        <v>1.1280999999999999E-3</v>
      </c>
      <c r="E555" s="56">
        <v>1736563</v>
      </c>
      <c r="F555" s="56"/>
      <c r="G555" s="57">
        <v>100042</v>
      </c>
      <c r="H555" s="107">
        <v>421639</v>
      </c>
      <c r="I555" s="57">
        <v>248005</v>
      </c>
      <c r="J555" s="56">
        <v>72999</v>
      </c>
      <c r="K555" s="107">
        <f t="shared" si="16"/>
        <v>842685</v>
      </c>
      <c r="L555" s="56"/>
      <c r="M555" s="57">
        <v>49157</v>
      </c>
      <c r="N555" s="57">
        <v>0</v>
      </c>
      <c r="O555" s="56">
        <v>71715</v>
      </c>
      <c r="P555" s="107">
        <f t="shared" si="17"/>
        <v>120872</v>
      </c>
      <c r="Q555" s="56"/>
      <c r="R555" s="57">
        <v>585223</v>
      </c>
      <c r="S555" s="58">
        <v>-1282</v>
      </c>
      <c r="T555" s="58">
        <v>583941</v>
      </c>
    </row>
    <row r="556" spans="1:20">
      <c r="A556" s="54">
        <v>96081</v>
      </c>
      <c r="B556" s="55" t="s">
        <v>1932</v>
      </c>
      <c r="C556" s="106">
        <v>5.0900000000000001E-4</v>
      </c>
      <c r="D556" s="106">
        <v>4.7820000000000002E-4</v>
      </c>
      <c r="E556" s="56">
        <v>777611</v>
      </c>
      <c r="F556" s="56"/>
      <c r="G556" s="57">
        <v>44798</v>
      </c>
      <c r="H556" s="107">
        <v>188805</v>
      </c>
      <c r="I556" s="57">
        <v>111054</v>
      </c>
      <c r="J556" s="56">
        <v>10640</v>
      </c>
      <c r="K556" s="107">
        <f t="shared" si="16"/>
        <v>355297</v>
      </c>
      <c r="L556" s="56"/>
      <c r="M556" s="57">
        <v>22012</v>
      </c>
      <c r="N556" s="57">
        <v>0</v>
      </c>
      <c r="O556" s="56">
        <v>4115</v>
      </c>
      <c r="P556" s="107">
        <f t="shared" si="17"/>
        <v>26127</v>
      </c>
      <c r="Q556" s="56"/>
      <c r="R556" s="57">
        <v>262056</v>
      </c>
      <c r="S556" s="58">
        <v>5137</v>
      </c>
      <c r="T556" s="58">
        <v>267193</v>
      </c>
    </row>
    <row r="557" spans="1:20">
      <c r="A557" s="54">
        <v>96101</v>
      </c>
      <c r="B557" s="55" t="s">
        <v>1933</v>
      </c>
      <c r="C557" s="106">
        <v>7.6749999999999995E-4</v>
      </c>
      <c r="D557" s="106">
        <v>7.5860000000000001E-4</v>
      </c>
      <c r="E557" s="56">
        <v>1172527</v>
      </c>
      <c r="F557" s="56"/>
      <c r="G557" s="57">
        <v>67548</v>
      </c>
      <c r="H557" s="107">
        <v>284691</v>
      </c>
      <c r="I557" s="57">
        <v>167453</v>
      </c>
      <c r="J557" s="56">
        <v>39221</v>
      </c>
      <c r="K557" s="107">
        <f t="shared" si="16"/>
        <v>558913</v>
      </c>
      <c r="L557" s="56"/>
      <c r="M557" s="57">
        <v>33191</v>
      </c>
      <c r="N557" s="57">
        <v>0</v>
      </c>
      <c r="O557" s="56">
        <v>3498</v>
      </c>
      <c r="P557" s="107">
        <f t="shared" si="17"/>
        <v>36689</v>
      </c>
      <c r="Q557" s="56"/>
      <c r="R557" s="57">
        <v>395143</v>
      </c>
      <c r="S557" s="58">
        <v>17230</v>
      </c>
      <c r="T557" s="58">
        <v>412373</v>
      </c>
    </row>
    <row r="558" spans="1:20">
      <c r="A558" s="54">
        <v>96102</v>
      </c>
      <c r="B558" s="55" t="s">
        <v>1934</v>
      </c>
      <c r="C558" s="106">
        <v>1.36E-5</v>
      </c>
      <c r="D558" s="106">
        <v>1.42E-5</v>
      </c>
      <c r="E558" s="56">
        <v>20777</v>
      </c>
      <c r="F558" s="56"/>
      <c r="G558" s="57">
        <v>1197</v>
      </c>
      <c r="H558" s="107">
        <v>5045</v>
      </c>
      <c r="I558" s="57">
        <v>2967</v>
      </c>
      <c r="J558" s="56">
        <v>0</v>
      </c>
      <c r="K558" s="107">
        <f t="shared" si="16"/>
        <v>9209</v>
      </c>
      <c r="L558" s="56"/>
      <c r="M558" s="57">
        <v>588</v>
      </c>
      <c r="N558" s="57">
        <v>0</v>
      </c>
      <c r="O558" s="56">
        <v>3137</v>
      </c>
      <c r="P558" s="107">
        <f t="shared" si="17"/>
        <v>3725</v>
      </c>
      <c r="Q558" s="56"/>
      <c r="R558" s="57">
        <v>7002</v>
      </c>
      <c r="S558" s="58">
        <v>-1435</v>
      </c>
      <c r="T558" s="58">
        <v>5567</v>
      </c>
    </row>
    <row r="559" spans="1:20">
      <c r="A559" s="54">
        <v>96111</v>
      </c>
      <c r="B559" s="55" t="s">
        <v>1935</v>
      </c>
      <c r="C559" s="106">
        <v>1.5349999999999999E-4</v>
      </c>
      <c r="D559" s="106">
        <v>1.6119999999999999E-4</v>
      </c>
      <c r="E559" s="56">
        <v>234505</v>
      </c>
      <c r="F559" s="56"/>
      <c r="G559" s="57">
        <v>13510</v>
      </c>
      <c r="H559" s="107">
        <v>56938</v>
      </c>
      <c r="I559" s="57">
        <v>33491</v>
      </c>
      <c r="J559" s="56">
        <v>9403</v>
      </c>
      <c r="K559" s="107">
        <f t="shared" si="16"/>
        <v>113342</v>
      </c>
      <c r="L559" s="56"/>
      <c r="M559" s="57">
        <v>6638</v>
      </c>
      <c r="N559" s="57">
        <v>0</v>
      </c>
      <c r="O559" s="56">
        <v>1683</v>
      </c>
      <c r="P559" s="107">
        <f t="shared" si="17"/>
        <v>8321</v>
      </c>
      <c r="Q559" s="56"/>
      <c r="R559" s="57">
        <v>79029</v>
      </c>
      <c r="S559" s="58">
        <v>6754</v>
      </c>
      <c r="T559" s="58">
        <v>85783</v>
      </c>
    </row>
    <row r="560" spans="1:20">
      <c r="A560" s="54">
        <v>96121</v>
      </c>
      <c r="B560" s="55" t="s">
        <v>1936</v>
      </c>
      <c r="C560" s="106">
        <v>2.2500000000000001E-5</v>
      </c>
      <c r="D560" s="106">
        <v>2.2099999999999998E-5</v>
      </c>
      <c r="E560" s="56">
        <v>34374</v>
      </c>
      <c r="F560" s="56"/>
      <c r="G560" s="57">
        <v>1980</v>
      </c>
      <c r="H560" s="107">
        <v>8346</v>
      </c>
      <c r="I560" s="57">
        <v>4909</v>
      </c>
      <c r="J560" s="56">
        <v>397</v>
      </c>
      <c r="K560" s="107">
        <f t="shared" si="16"/>
        <v>15632</v>
      </c>
      <c r="L560" s="56"/>
      <c r="M560" s="57">
        <v>973</v>
      </c>
      <c r="N560" s="57">
        <v>0</v>
      </c>
      <c r="O560" s="56">
        <v>1764</v>
      </c>
      <c r="P560" s="107">
        <f t="shared" si="17"/>
        <v>2737</v>
      </c>
      <c r="Q560" s="56"/>
      <c r="R560" s="57">
        <v>11584</v>
      </c>
      <c r="S560" s="58">
        <v>-946</v>
      </c>
      <c r="T560" s="58">
        <v>10638</v>
      </c>
    </row>
    <row r="561" spans="1:20">
      <c r="A561" s="54">
        <v>96201</v>
      </c>
      <c r="B561" s="55" t="s">
        <v>1937</v>
      </c>
      <c r="C561" s="106">
        <v>1.1788E-3</v>
      </c>
      <c r="D561" s="106">
        <v>1.2302999999999999E-3</v>
      </c>
      <c r="E561" s="56">
        <v>1800880</v>
      </c>
      <c r="F561" s="56"/>
      <c r="G561" s="57">
        <v>103747</v>
      </c>
      <c r="H561" s="107">
        <v>437256</v>
      </c>
      <c r="I561" s="57">
        <v>257191</v>
      </c>
      <c r="J561" s="56">
        <v>0</v>
      </c>
      <c r="K561" s="107">
        <f t="shared" si="16"/>
        <v>798194</v>
      </c>
      <c r="L561" s="56"/>
      <c r="M561" s="57">
        <v>50977</v>
      </c>
      <c r="N561" s="57">
        <v>0</v>
      </c>
      <c r="O561" s="56">
        <v>73119</v>
      </c>
      <c r="P561" s="107">
        <f t="shared" si="17"/>
        <v>124096</v>
      </c>
      <c r="Q561" s="56"/>
      <c r="R561" s="57">
        <v>606898</v>
      </c>
      <c r="S561" s="58">
        <v>-23257</v>
      </c>
      <c r="T561" s="58">
        <v>583641</v>
      </c>
    </row>
    <row r="562" spans="1:20">
      <c r="A562" s="54">
        <v>96204</v>
      </c>
      <c r="B562" s="55" t="s">
        <v>1938</v>
      </c>
      <c r="C562" s="106">
        <v>1.5099999999999999E-5</v>
      </c>
      <c r="D562" s="106">
        <v>1.5400000000000002E-5</v>
      </c>
      <c r="E562" s="56">
        <v>23069</v>
      </c>
      <c r="F562" s="56"/>
      <c r="G562" s="57">
        <v>1329</v>
      </c>
      <c r="H562" s="107">
        <v>5602</v>
      </c>
      <c r="I562" s="57">
        <v>3295</v>
      </c>
      <c r="J562" s="56">
        <v>3517</v>
      </c>
      <c r="K562" s="107">
        <f t="shared" si="16"/>
        <v>13743</v>
      </c>
      <c r="L562" s="56"/>
      <c r="M562" s="57">
        <v>653</v>
      </c>
      <c r="N562" s="57">
        <v>0</v>
      </c>
      <c r="O562" s="56">
        <v>0</v>
      </c>
      <c r="P562" s="107">
        <f t="shared" si="17"/>
        <v>653</v>
      </c>
      <c r="Q562" s="56"/>
      <c r="R562" s="57">
        <v>7774</v>
      </c>
      <c r="S562" s="58">
        <v>1655</v>
      </c>
      <c r="T562" s="58">
        <f>9430-1</f>
        <v>9429</v>
      </c>
    </row>
    <row r="563" spans="1:20">
      <c r="A563" s="54">
        <v>96211</v>
      </c>
      <c r="B563" s="55" t="s">
        <v>1939</v>
      </c>
      <c r="C563" s="106">
        <v>2.62E-5</v>
      </c>
      <c r="D563" s="106">
        <v>3.0700000000000001E-5</v>
      </c>
      <c r="E563" s="56">
        <v>40026</v>
      </c>
      <c r="F563" s="56"/>
      <c r="G563" s="57">
        <v>2306</v>
      </c>
      <c r="H563" s="107">
        <v>9718</v>
      </c>
      <c r="I563" s="57">
        <v>5716</v>
      </c>
      <c r="J563" s="56">
        <v>4494</v>
      </c>
      <c r="K563" s="107">
        <f t="shared" si="16"/>
        <v>22234</v>
      </c>
      <c r="L563" s="56"/>
      <c r="M563" s="57">
        <v>1133</v>
      </c>
      <c r="N563" s="57">
        <v>0</v>
      </c>
      <c r="O563" s="56">
        <v>4462</v>
      </c>
      <c r="P563" s="107">
        <f t="shared" si="17"/>
        <v>5595</v>
      </c>
      <c r="Q563" s="56"/>
      <c r="R563" s="57">
        <v>13489</v>
      </c>
      <c r="S563" s="58">
        <v>-2681</v>
      </c>
      <c r="T563" s="58">
        <v>10808</v>
      </c>
    </row>
    <row r="564" spans="1:20">
      <c r="A564" s="54">
        <v>96221</v>
      </c>
      <c r="B564" s="55" t="s">
        <v>1940</v>
      </c>
      <c r="C564" s="106">
        <v>2.3350000000000001E-4</v>
      </c>
      <c r="D564" s="106">
        <v>2.287E-4</v>
      </c>
      <c r="E564" s="56">
        <v>356723</v>
      </c>
      <c r="F564" s="56"/>
      <c r="G564" s="57">
        <v>20551</v>
      </c>
      <c r="H564" s="107">
        <v>86613</v>
      </c>
      <c r="I564" s="57">
        <v>50945</v>
      </c>
      <c r="J564" s="56">
        <v>2439</v>
      </c>
      <c r="K564" s="107">
        <f t="shared" si="16"/>
        <v>160548</v>
      </c>
      <c r="L564" s="56"/>
      <c r="M564" s="57">
        <v>10098</v>
      </c>
      <c r="N564" s="57">
        <v>0</v>
      </c>
      <c r="O564" s="56">
        <v>15042</v>
      </c>
      <c r="P564" s="107">
        <f t="shared" si="17"/>
        <v>25140</v>
      </c>
      <c r="Q564" s="56"/>
      <c r="R564" s="57">
        <v>120216</v>
      </c>
      <c r="S564" s="58">
        <v>-3357</v>
      </c>
      <c r="T564" s="58">
        <f>116860-1</f>
        <v>116859</v>
      </c>
    </row>
    <row r="565" spans="1:20">
      <c r="A565" s="54">
        <v>96231</v>
      </c>
      <c r="B565" s="55" t="s">
        <v>1941</v>
      </c>
      <c r="C565" s="106">
        <v>1.3339999999999999E-4</v>
      </c>
      <c r="D565" s="106">
        <v>1.145E-4</v>
      </c>
      <c r="E565" s="56">
        <v>203798</v>
      </c>
      <c r="F565" s="56"/>
      <c r="G565" s="57">
        <v>11741</v>
      </c>
      <c r="H565" s="107">
        <v>49482</v>
      </c>
      <c r="I565" s="57">
        <v>29105</v>
      </c>
      <c r="J565" s="56">
        <v>2554</v>
      </c>
      <c r="K565" s="107">
        <f t="shared" si="16"/>
        <v>92882</v>
      </c>
      <c r="L565" s="56"/>
      <c r="M565" s="57">
        <v>5769</v>
      </c>
      <c r="N565" s="57">
        <v>0</v>
      </c>
      <c r="O565" s="56">
        <v>14959</v>
      </c>
      <c r="P565" s="107">
        <f t="shared" si="17"/>
        <v>20728</v>
      </c>
      <c r="Q565" s="56"/>
      <c r="R565" s="57">
        <v>68680</v>
      </c>
      <c r="S565" s="58">
        <v>-7094</v>
      </c>
      <c r="T565" s="58">
        <v>61586</v>
      </c>
    </row>
    <row r="566" spans="1:20">
      <c r="A566" s="54">
        <v>96241</v>
      </c>
      <c r="B566" s="55" t="s">
        <v>1942</v>
      </c>
      <c r="C566" s="106">
        <v>4.4700000000000002E-5</v>
      </c>
      <c r="D566" s="106">
        <v>4.6100000000000002E-5</v>
      </c>
      <c r="E566" s="56">
        <v>68289</v>
      </c>
      <c r="F566" s="56"/>
      <c r="G566" s="57">
        <v>3934</v>
      </c>
      <c r="H566" s="107">
        <v>16580</v>
      </c>
      <c r="I566" s="57">
        <v>9753</v>
      </c>
      <c r="J566" s="56">
        <v>5027</v>
      </c>
      <c r="K566" s="107">
        <f t="shared" si="16"/>
        <v>35294</v>
      </c>
      <c r="L566" s="56"/>
      <c r="M566" s="57">
        <v>1933</v>
      </c>
      <c r="N566" s="57">
        <v>0</v>
      </c>
      <c r="O566" s="56">
        <v>4371</v>
      </c>
      <c r="P566" s="107">
        <f t="shared" si="17"/>
        <v>6304</v>
      </c>
      <c r="Q566" s="56"/>
      <c r="R566" s="57">
        <v>23014</v>
      </c>
      <c r="S566" s="58">
        <v>2407</v>
      </c>
      <c r="T566" s="58">
        <f>25420+1</f>
        <v>25421</v>
      </c>
    </row>
    <row r="567" spans="1:20">
      <c r="A567" s="54">
        <v>96251</v>
      </c>
      <c r="B567" s="55" t="s">
        <v>1943</v>
      </c>
      <c r="C567" s="106">
        <v>9.3999999999999994E-5</v>
      </c>
      <c r="D567" s="106">
        <v>7.7100000000000004E-5</v>
      </c>
      <c r="E567" s="56">
        <v>143606</v>
      </c>
      <c r="F567" s="56"/>
      <c r="G567" s="57">
        <v>8273</v>
      </c>
      <c r="H567" s="107">
        <v>34868</v>
      </c>
      <c r="I567" s="57">
        <v>20509</v>
      </c>
      <c r="J567" s="56">
        <v>6198</v>
      </c>
      <c r="K567" s="107">
        <f t="shared" si="16"/>
        <v>69848</v>
      </c>
      <c r="L567" s="56"/>
      <c r="M567" s="57">
        <v>4065</v>
      </c>
      <c r="N567" s="57">
        <v>0</v>
      </c>
      <c r="O567" s="56">
        <v>16886</v>
      </c>
      <c r="P567" s="107">
        <f t="shared" si="17"/>
        <v>20951</v>
      </c>
      <c r="Q567" s="56"/>
      <c r="R567" s="57">
        <v>48395</v>
      </c>
      <c r="S567" s="58">
        <v>-7102</v>
      </c>
      <c r="T567" s="58">
        <v>41293</v>
      </c>
    </row>
    <row r="568" spans="1:20">
      <c r="A568" s="54">
        <v>96301</v>
      </c>
      <c r="B568" s="55" t="s">
        <v>1944</v>
      </c>
      <c r="C568" s="106">
        <v>4.3712999999999998E-3</v>
      </c>
      <c r="D568" s="106">
        <v>4.3785999999999999E-3</v>
      </c>
      <c r="E568" s="56">
        <v>6678136</v>
      </c>
      <c r="F568" s="56"/>
      <c r="G568" s="57">
        <v>384722</v>
      </c>
      <c r="H568" s="107">
        <v>1621460</v>
      </c>
      <c r="I568" s="57">
        <v>953730</v>
      </c>
      <c r="J568" s="56">
        <v>60786</v>
      </c>
      <c r="K568" s="107">
        <f t="shared" si="16"/>
        <v>3020698</v>
      </c>
      <c r="L568" s="56"/>
      <c r="M568" s="57">
        <v>189037</v>
      </c>
      <c r="N568" s="57">
        <v>0</v>
      </c>
      <c r="O568" s="56">
        <v>160488</v>
      </c>
      <c r="P568" s="107">
        <f t="shared" si="17"/>
        <v>349525</v>
      </c>
      <c r="Q568" s="56"/>
      <c r="R568" s="57">
        <v>2250538</v>
      </c>
      <c r="S568" s="58">
        <v>-27776</v>
      </c>
      <c r="T568" s="58">
        <v>2222762</v>
      </c>
    </row>
    <row r="569" spans="1:20">
      <c r="A569" s="54">
        <v>96302</v>
      </c>
      <c r="B569" s="55" t="s">
        <v>1945</v>
      </c>
      <c r="C569" s="106">
        <v>2.5199999999999999E-5</v>
      </c>
      <c r="D569" s="106">
        <v>1.9199999999999999E-5</v>
      </c>
      <c r="E569" s="56">
        <v>38499</v>
      </c>
      <c r="F569" s="56"/>
      <c r="G569" s="57">
        <v>2218</v>
      </c>
      <c r="H569" s="107">
        <v>9347</v>
      </c>
      <c r="I569" s="57">
        <v>5498</v>
      </c>
      <c r="J569" s="56">
        <v>7399</v>
      </c>
      <c r="K569" s="107">
        <f t="shared" si="16"/>
        <v>24462</v>
      </c>
      <c r="L569" s="56"/>
      <c r="M569" s="57">
        <v>1090</v>
      </c>
      <c r="N569" s="57">
        <v>0</v>
      </c>
      <c r="O569" s="56">
        <v>0</v>
      </c>
      <c r="P569" s="107">
        <f t="shared" si="17"/>
        <v>1090</v>
      </c>
      <c r="Q569" s="56"/>
      <c r="R569" s="57">
        <v>12974</v>
      </c>
      <c r="S569" s="58">
        <v>2631</v>
      </c>
      <c r="T569" s="58">
        <v>15605</v>
      </c>
    </row>
    <row r="570" spans="1:20">
      <c r="A570" s="54">
        <v>96304</v>
      </c>
      <c r="B570" s="55" t="s">
        <v>1946</v>
      </c>
      <c r="C570" s="106">
        <v>4.5500000000000001E-5</v>
      </c>
      <c r="D570" s="106">
        <v>5.4599999999999999E-5</v>
      </c>
      <c r="E570" s="56">
        <v>69511</v>
      </c>
      <c r="F570" s="56"/>
      <c r="G570" s="57">
        <v>4005</v>
      </c>
      <c r="H570" s="107">
        <v>16877</v>
      </c>
      <c r="I570" s="57">
        <v>9927</v>
      </c>
      <c r="J570" s="56">
        <v>5469</v>
      </c>
      <c r="K570" s="107">
        <f t="shared" si="16"/>
        <v>36278</v>
      </c>
      <c r="L570" s="56"/>
      <c r="M570" s="57">
        <v>1968</v>
      </c>
      <c r="N570" s="57">
        <v>0</v>
      </c>
      <c r="O570" s="56">
        <v>1092</v>
      </c>
      <c r="P570" s="107">
        <f t="shared" si="17"/>
        <v>3060</v>
      </c>
      <c r="Q570" s="56"/>
      <c r="R570" s="57">
        <v>23425</v>
      </c>
      <c r="S570" s="58">
        <v>2085</v>
      </c>
      <c r="T570" s="58">
        <v>25510</v>
      </c>
    </row>
    <row r="571" spans="1:20">
      <c r="A571" s="54">
        <v>96305</v>
      </c>
      <c r="B571" s="55" t="s">
        <v>1947</v>
      </c>
      <c r="C571" s="106">
        <v>4.5500000000000001E-5</v>
      </c>
      <c r="D571" s="106">
        <v>4.8199999999999999E-5</v>
      </c>
      <c r="E571" s="56">
        <v>69511</v>
      </c>
      <c r="F571" s="56"/>
      <c r="G571" s="57">
        <v>4005</v>
      </c>
      <c r="H571" s="107">
        <v>16877</v>
      </c>
      <c r="I571" s="57">
        <v>9927</v>
      </c>
      <c r="J571" s="56">
        <v>13328</v>
      </c>
      <c r="K571" s="107">
        <f t="shared" si="16"/>
        <v>44137</v>
      </c>
      <c r="L571" s="56"/>
      <c r="M571" s="57">
        <v>1968</v>
      </c>
      <c r="N571" s="57">
        <v>0</v>
      </c>
      <c r="O571" s="56">
        <v>0</v>
      </c>
      <c r="P571" s="107">
        <f t="shared" si="17"/>
        <v>1968</v>
      </c>
      <c r="Q571" s="56"/>
      <c r="R571" s="57">
        <v>23425</v>
      </c>
      <c r="S571" s="58">
        <v>4752</v>
      </c>
      <c r="T571" s="58">
        <v>28177</v>
      </c>
    </row>
    <row r="572" spans="1:20">
      <c r="A572" s="54">
        <v>96310</v>
      </c>
      <c r="B572" s="55" t="s">
        <v>1948</v>
      </c>
      <c r="C572" s="106">
        <v>6.1099999999999994E-5</v>
      </c>
      <c r="D572" s="106">
        <v>4.88E-5</v>
      </c>
      <c r="E572" s="56">
        <v>93344</v>
      </c>
      <c r="F572" s="56"/>
      <c r="G572" s="57">
        <v>5377</v>
      </c>
      <c r="H572" s="107">
        <v>22664</v>
      </c>
      <c r="I572" s="57">
        <v>13331</v>
      </c>
      <c r="J572" s="56">
        <v>10507</v>
      </c>
      <c r="K572" s="107">
        <f t="shared" si="16"/>
        <v>51879</v>
      </c>
      <c r="L572" s="56"/>
      <c r="M572" s="57">
        <v>2642</v>
      </c>
      <c r="N572" s="57">
        <v>0</v>
      </c>
      <c r="O572" s="56">
        <v>3055</v>
      </c>
      <c r="P572" s="107">
        <f t="shared" si="17"/>
        <v>5697</v>
      </c>
      <c r="Q572" s="56"/>
      <c r="R572" s="57">
        <v>31457</v>
      </c>
      <c r="S572" s="58">
        <v>3506</v>
      </c>
      <c r="T572" s="58">
        <v>34963</v>
      </c>
    </row>
    <row r="573" spans="1:20">
      <c r="A573" s="54">
        <v>96311</v>
      </c>
      <c r="B573" s="55" t="s">
        <v>1949</v>
      </c>
      <c r="C573" s="106">
        <v>1.3113000000000001E-3</v>
      </c>
      <c r="D573" s="106">
        <v>1.4082999999999999E-3</v>
      </c>
      <c r="E573" s="56">
        <v>2003303</v>
      </c>
      <c r="F573" s="56"/>
      <c r="G573" s="57">
        <v>115409</v>
      </c>
      <c r="H573" s="107">
        <v>486404</v>
      </c>
      <c r="I573" s="57">
        <v>286099</v>
      </c>
      <c r="J573" s="56">
        <v>11041</v>
      </c>
      <c r="K573" s="107">
        <f t="shared" si="16"/>
        <v>898953</v>
      </c>
      <c r="L573" s="56"/>
      <c r="M573" s="57">
        <v>56707</v>
      </c>
      <c r="N573" s="57">
        <v>0</v>
      </c>
      <c r="O573" s="56">
        <v>139297</v>
      </c>
      <c r="P573" s="107">
        <f t="shared" si="17"/>
        <v>196004</v>
      </c>
      <c r="Q573" s="56"/>
      <c r="R573" s="57">
        <v>675115</v>
      </c>
      <c r="S573" s="58">
        <v>-33999</v>
      </c>
      <c r="T573" s="58">
        <v>641116</v>
      </c>
    </row>
    <row r="574" spans="1:20">
      <c r="A574" s="54">
        <v>96312</v>
      </c>
      <c r="B574" s="55" t="s">
        <v>1950</v>
      </c>
      <c r="C574" s="106">
        <v>1.5999999999999999E-5</v>
      </c>
      <c r="D574" s="106">
        <v>1.5999999999999999E-6</v>
      </c>
      <c r="E574" s="56">
        <v>24444</v>
      </c>
      <c r="F574" s="56"/>
      <c r="G574" s="57">
        <v>1408</v>
      </c>
      <c r="H574" s="107">
        <v>5935</v>
      </c>
      <c r="I574" s="57">
        <v>3491</v>
      </c>
      <c r="J574" s="56">
        <v>7668</v>
      </c>
      <c r="K574" s="107">
        <f t="shared" si="16"/>
        <v>18502</v>
      </c>
      <c r="L574" s="56"/>
      <c r="M574" s="57">
        <v>692</v>
      </c>
      <c r="N574" s="57">
        <v>0</v>
      </c>
      <c r="O574" s="56">
        <v>1864</v>
      </c>
      <c r="P574" s="107">
        <f t="shared" si="17"/>
        <v>2556</v>
      </c>
      <c r="Q574" s="56"/>
      <c r="R574" s="57">
        <v>8238</v>
      </c>
      <c r="S574" s="58">
        <v>374</v>
      </c>
      <c r="T574" s="58">
        <v>8612</v>
      </c>
    </row>
    <row r="575" spans="1:20">
      <c r="A575" s="54">
        <v>96318</v>
      </c>
      <c r="B575" s="55" t="s">
        <v>1951</v>
      </c>
      <c r="C575" s="106">
        <v>2.1684999999999999E-3</v>
      </c>
      <c r="D575" s="106">
        <v>1.7782E-3</v>
      </c>
      <c r="E575" s="56">
        <v>3312867</v>
      </c>
      <c r="F575" s="56"/>
      <c r="G575" s="57">
        <v>190852</v>
      </c>
      <c r="H575" s="107">
        <v>804368</v>
      </c>
      <c r="I575" s="57">
        <v>473123</v>
      </c>
      <c r="J575" s="56">
        <v>7711758</v>
      </c>
      <c r="K575" s="107">
        <f t="shared" si="16"/>
        <v>9180101</v>
      </c>
      <c r="L575" s="56"/>
      <c r="M575" s="57">
        <v>93777</v>
      </c>
      <c r="N575" s="57">
        <v>0</v>
      </c>
      <c r="O575" s="56">
        <v>0</v>
      </c>
      <c r="P575" s="107">
        <f t="shared" si="17"/>
        <v>93777</v>
      </c>
      <c r="Q575" s="56"/>
      <c r="R575" s="57">
        <v>1116439</v>
      </c>
      <c r="S575" s="58">
        <v>2665103</v>
      </c>
      <c r="T575" s="58">
        <v>3781542</v>
      </c>
    </row>
    <row r="576" spans="1:20">
      <c r="A576" s="54">
        <v>96321</v>
      </c>
      <c r="B576" s="55" t="s">
        <v>1952</v>
      </c>
      <c r="C576" s="106">
        <v>3.6900000000000002E-5</v>
      </c>
      <c r="D576" s="106">
        <v>3.7400000000000001E-5</v>
      </c>
      <c r="E576" s="56">
        <v>56373</v>
      </c>
      <c r="F576" s="56"/>
      <c r="G576" s="57">
        <v>3248</v>
      </c>
      <c r="H576" s="107">
        <v>13687</v>
      </c>
      <c r="I576" s="57">
        <v>8051</v>
      </c>
      <c r="J576" s="56">
        <v>1642</v>
      </c>
      <c r="K576" s="107">
        <f t="shared" si="16"/>
        <v>26628</v>
      </c>
      <c r="L576" s="56"/>
      <c r="M576" s="57">
        <v>1596</v>
      </c>
      <c r="N576" s="57">
        <v>0</v>
      </c>
      <c r="O576" s="56">
        <v>2449</v>
      </c>
      <c r="P576" s="107">
        <f t="shared" si="17"/>
        <v>4045</v>
      </c>
      <c r="Q576" s="56"/>
      <c r="R576" s="57">
        <v>18998</v>
      </c>
      <c r="S576" s="58">
        <v>-489</v>
      </c>
      <c r="T576" s="58">
        <v>18509</v>
      </c>
    </row>
    <row r="577" spans="1:20">
      <c r="A577" s="54">
        <v>96331</v>
      </c>
      <c r="B577" s="55" t="s">
        <v>1953</v>
      </c>
      <c r="C577" s="106">
        <v>7.0850000000000004E-4</v>
      </c>
      <c r="D577" s="106">
        <v>7.1699999999999997E-4</v>
      </c>
      <c r="E577" s="56">
        <v>1082392</v>
      </c>
      <c r="F577" s="56"/>
      <c r="G577" s="57">
        <v>62356</v>
      </c>
      <c r="H577" s="107">
        <v>262806</v>
      </c>
      <c r="I577" s="57">
        <v>154581</v>
      </c>
      <c r="J577" s="56">
        <v>3107</v>
      </c>
      <c r="K577" s="107">
        <f t="shared" si="16"/>
        <v>482850</v>
      </c>
      <c r="L577" s="56"/>
      <c r="M577" s="57">
        <v>30639</v>
      </c>
      <c r="N577" s="57">
        <v>0</v>
      </c>
      <c r="O577" s="56">
        <v>53524</v>
      </c>
      <c r="P577" s="107">
        <f t="shared" si="17"/>
        <v>84163</v>
      </c>
      <c r="Q577" s="56"/>
      <c r="R577" s="57">
        <v>364767</v>
      </c>
      <c r="S577" s="58">
        <v>-22322</v>
      </c>
      <c r="T577" s="58">
        <v>342445</v>
      </c>
    </row>
    <row r="578" spans="1:20">
      <c r="A578" s="54">
        <v>96341</v>
      </c>
      <c r="B578" s="55" t="s">
        <v>1954</v>
      </c>
      <c r="C578" s="106">
        <v>8.3800000000000004E-5</v>
      </c>
      <c r="D578" s="106">
        <v>9.1600000000000004E-5</v>
      </c>
      <c r="E578" s="56">
        <v>128023</v>
      </c>
      <c r="F578" s="56"/>
      <c r="G578" s="57">
        <v>7375</v>
      </c>
      <c r="H578" s="107">
        <v>31084</v>
      </c>
      <c r="I578" s="57">
        <v>18283</v>
      </c>
      <c r="J578" s="56">
        <v>8694</v>
      </c>
      <c r="K578" s="107">
        <f t="shared" si="16"/>
        <v>65436</v>
      </c>
      <c r="L578" s="56"/>
      <c r="M578" s="57">
        <v>3624</v>
      </c>
      <c r="N578" s="57">
        <v>0</v>
      </c>
      <c r="O578" s="56">
        <v>13544</v>
      </c>
      <c r="P578" s="107">
        <f t="shared" si="17"/>
        <v>17168</v>
      </c>
      <c r="Q578" s="56"/>
      <c r="R578" s="57">
        <v>43144</v>
      </c>
      <c r="S578" s="58">
        <v>-3090</v>
      </c>
      <c r="T578" s="58">
        <v>40054</v>
      </c>
    </row>
    <row r="579" spans="1:20">
      <c r="A579" s="54">
        <v>96351</v>
      </c>
      <c r="B579" s="55" t="s">
        <v>1955</v>
      </c>
      <c r="C579" s="106">
        <v>1.0616E-3</v>
      </c>
      <c r="D579" s="106">
        <v>1.0736000000000001E-3</v>
      </c>
      <c r="E579" s="56">
        <v>1621831</v>
      </c>
      <c r="F579" s="56"/>
      <c r="G579" s="57">
        <v>93432</v>
      </c>
      <c r="H579" s="107">
        <v>393782</v>
      </c>
      <c r="I579" s="57">
        <v>231620</v>
      </c>
      <c r="J579" s="56">
        <v>5421</v>
      </c>
      <c r="K579" s="107">
        <f t="shared" si="16"/>
        <v>724255</v>
      </c>
      <c r="L579" s="56"/>
      <c r="M579" s="57">
        <v>45909</v>
      </c>
      <c r="N579" s="57">
        <v>0</v>
      </c>
      <c r="O579" s="56">
        <v>28542</v>
      </c>
      <c r="P579" s="107">
        <f t="shared" si="17"/>
        <v>74451</v>
      </c>
      <c r="Q579" s="56"/>
      <c r="R579" s="57">
        <v>546558</v>
      </c>
      <c r="S579" s="58">
        <v>-5218</v>
      </c>
      <c r="T579" s="58">
        <v>541340</v>
      </c>
    </row>
    <row r="580" spans="1:20">
      <c r="A580" s="54">
        <v>96361</v>
      </c>
      <c r="B580" s="55" t="s">
        <v>1956</v>
      </c>
      <c r="C580" s="106">
        <v>5.5699999999999999E-5</v>
      </c>
      <c r="D580" s="106">
        <v>5.8900000000000002E-5</v>
      </c>
      <c r="E580" s="56">
        <v>85094</v>
      </c>
      <c r="F580" s="56"/>
      <c r="G580" s="57">
        <v>4902</v>
      </c>
      <c r="H580" s="107">
        <v>20661</v>
      </c>
      <c r="I580" s="57">
        <v>12153</v>
      </c>
      <c r="J580" s="56">
        <v>3403</v>
      </c>
      <c r="K580" s="107">
        <f t="shared" si="16"/>
        <v>41119</v>
      </c>
      <c r="L580" s="56"/>
      <c r="M580" s="57">
        <v>2409</v>
      </c>
      <c r="N580" s="57">
        <v>0</v>
      </c>
      <c r="O580" s="56">
        <v>3423</v>
      </c>
      <c r="P580" s="107">
        <f t="shared" si="17"/>
        <v>5832</v>
      </c>
      <c r="Q580" s="56"/>
      <c r="R580" s="57">
        <v>28677</v>
      </c>
      <c r="S580" s="58">
        <v>936</v>
      </c>
      <c r="T580" s="58">
        <f>29612+1</f>
        <v>29613</v>
      </c>
    </row>
    <row r="581" spans="1:20">
      <c r="A581" s="54">
        <v>96371</v>
      </c>
      <c r="B581" s="55" t="s">
        <v>1957</v>
      </c>
      <c r="C581" s="106">
        <v>1.5249999999999999E-4</v>
      </c>
      <c r="D581" s="106">
        <v>1.6359999999999999E-4</v>
      </c>
      <c r="E581" s="56">
        <v>232978</v>
      </c>
      <c r="F581" s="56"/>
      <c r="G581" s="57">
        <v>13422</v>
      </c>
      <c r="H581" s="107">
        <v>56568</v>
      </c>
      <c r="I581" s="57">
        <v>33272</v>
      </c>
      <c r="J581" s="56">
        <v>1335</v>
      </c>
      <c r="K581" s="107">
        <f t="shared" si="16"/>
        <v>104597</v>
      </c>
      <c r="L581" s="56"/>
      <c r="M581" s="57">
        <v>6595</v>
      </c>
      <c r="N581" s="57">
        <v>0</v>
      </c>
      <c r="O581" s="56">
        <v>14966</v>
      </c>
      <c r="P581" s="107">
        <f t="shared" si="17"/>
        <v>21561</v>
      </c>
      <c r="Q581" s="56"/>
      <c r="R581" s="57">
        <v>78514</v>
      </c>
      <c r="S581" s="58">
        <v>-3158</v>
      </c>
      <c r="T581" s="58">
        <v>75356</v>
      </c>
    </row>
    <row r="582" spans="1:20">
      <c r="A582" s="54">
        <v>96381</v>
      </c>
      <c r="B582" s="55" t="s">
        <v>1958</v>
      </c>
      <c r="C582" s="106">
        <v>3.2100000000000001E-5</v>
      </c>
      <c r="D582" s="106">
        <v>3.26E-5</v>
      </c>
      <c r="E582" s="56">
        <v>49040</v>
      </c>
      <c r="F582" s="56"/>
      <c r="G582" s="57">
        <v>2825</v>
      </c>
      <c r="H582" s="107">
        <v>11907</v>
      </c>
      <c r="I582" s="57">
        <v>7004</v>
      </c>
      <c r="J582" s="56">
        <v>235</v>
      </c>
      <c r="K582" s="107">
        <f t="shared" si="16"/>
        <v>21971</v>
      </c>
      <c r="L582" s="56"/>
      <c r="M582" s="57">
        <v>1388</v>
      </c>
      <c r="N582" s="57">
        <v>0</v>
      </c>
      <c r="O582" s="56">
        <v>1858</v>
      </c>
      <c r="P582" s="107">
        <f t="shared" si="17"/>
        <v>3246</v>
      </c>
      <c r="Q582" s="56"/>
      <c r="R582" s="57">
        <v>16526</v>
      </c>
      <c r="S582" s="58">
        <v>-1164</v>
      </c>
      <c r="T582" s="58">
        <v>15362</v>
      </c>
    </row>
    <row r="583" spans="1:20">
      <c r="A583" s="54">
        <v>96391</v>
      </c>
      <c r="B583" s="55" t="s">
        <v>1959</v>
      </c>
      <c r="C583" s="106">
        <v>2.029E-4</v>
      </c>
      <c r="D583" s="106">
        <v>1.807E-4</v>
      </c>
      <c r="E583" s="56">
        <v>309975</v>
      </c>
      <c r="F583" s="56"/>
      <c r="G583" s="57">
        <v>17857</v>
      </c>
      <c r="H583" s="107">
        <v>75263</v>
      </c>
      <c r="I583" s="57">
        <v>44269</v>
      </c>
      <c r="J583" s="56">
        <v>9831</v>
      </c>
      <c r="K583" s="107">
        <f t="shared" ref="K583:K646" si="18">G583+H583+I583+J583</f>
        <v>147220</v>
      </c>
      <c r="L583" s="56"/>
      <c r="M583" s="57">
        <v>8774</v>
      </c>
      <c r="N583" s="57">
        <v>0</v>
      </c>
      <c r="O583" s="56">
        <v>18208</v>
      </c>
      <c r="P583" s="107">
        <f t="shared" ref="P583:P646" si="19">M583+N583+O583</f>
        <v>26982</v>
      </c>
      <c r="Q583" s="56"/>
      <c r="R583" s="57">
        <v>104462</v>
      </c>
      <c r="S583" s="58">
        <v>2008</v>
      </c>
      <c r="T583" s="58">
        <v>106470</v>
      </c>
    </row>
    <row r="584" spans="1:20">
      <c r="A584" s="54">
        <v>96401</v>
      </c>
      <c r="B584" s="55" t="s">
        <v>1960</v>
      </c>
      <c r="C584" s="106">
        <v>4.5672000000000004E-3</v>
      </c>
      <c r="D584" s="106">
        <v>4.5900000000000003E-3</v>
      </c>
      <c r="E584" s="56">
        <v>6977416</v>
      </c>
      <c r="F584" s="56"/>
      <c r="G584" s="57">
        <v>401964</v>
      </c>
      <c r="H584" s="107">
        <v>1694125</v>
      </c>
      <c r="I584" s="57">
        <v>996472</v>
      </c>
      <c r="J584" s="56">
        <v>15869</v>
      </c>
      <c r="K584" s="107">
        <f t="shared" si="18"/>
        <v>3108430</v>
      </c>
      <c r="L584" s="56"/>
      <c r="M584" s="57">
        <v>197509</v>
      </c>
      <c r="N584" s="57">
        <v>0</v>
      </c>
      <c r="O584" s="56">
        <v>86285</v>
      </c>
      <c r="P584" s="107">
        <f t="shared" si="19"/>
        <v>283794</v>
      </c>
      <c r="Q584" s="56"/>
      <c r="R584" s="57">
        <v>2351396</v>
      </c>
      <c r="S584" s="58">
        <v>-10848</v>
      </c>
      <c r="T584" s="58">
        <v>2340548</v>
      </c>
    </row>
    <row r="585" spans="1:20">
      <c r="A585" s="54">
        <v>96404</v>
      </c>
      <c r="B585" s="55" t="s">
        <v>1961</v>
      </c>
      <c r="C585" s="106">
        <v>1.026E-4</v>
      </c>
      <c r="D585" s="106">
        <v>9.8800000000000003E-5</v>
      </c>
      <c r="E585" s="56">
        <v>156744</v>
      </c>
      <c r="F585" s="56"/>
      <c r="G585" s="57">
        <v>9030</v>
      </c>
      <c r="H585" s="107">
        <v>38058</v>
      </c>
      <c r="I585" s="57">
        <v>22385</v>
      </c>
      <c r="J585" s="56">
        <v>26983</v>
      </c>
      <c r="K585" s="107">
        <f t="shared" si="18"/>
        <v>96456</v>
      </c>
      <c r="L585" s="56"/>
      <c r="M585" s="57">
        <v>4437</v>
      </c>
      <c r="N585" s="57">
        <v>0</v>
      </c>
      <c r="O585" s="56">
        <v>0</v>
      </c>
      <c r="P585" s="107">
        <f t="shared" si="19"/>
        <v>4437</v>
      </c>
      <c r="Q585" s="56"/>
      <c r="R585" s="57">
        <v>52823</v>
      </c>
      <c r="S585" s="58">
        <v>10540</v>
      </c>
      <c r="T585" s="58">
        <v>63363</v>
      </c>
    </row>
    <row r="586" spans="1:20">
      <c r="A586" s="54">
        <v>96405</v>
      </c>
      <c r="B586" s="55" t="s">
        <v>1962</v>
      </c>
      <c r="C586" s="106">
        <v>1.6139999999999999E-4</v>
      </c>
      <c r="D586" s="106">
        <v>1.7760000000000001E-4</v>
      </c>
      <c r="E586" s="56">
        <v>246574</v>
      </c>
      <c r="F586" s="56"/>
      <c r="G586" s="57">
        <v>14205</v>
      </c>
      <c r="H586" s="107">
        <v>59869</v>
      </c>
      <c r="I586" s="57">
        <v>35214</v>
      </c>
      <c r="J586" s="56">
        <v>10221</v>
      </c>
      <c r="K586" s="107">
        <f t="shared" si="18"/>
        <v>119509</v>
      </c>
      <c r="L586" s="56"/>
      <c r="M586" s="57">
        <v>6980</v>
      </c>
      <c r="N586" s="57">
        <v>0</v>
      </c>
      <c r="O586" s="56">
        <v>2204</v>
      </c>
      <c r="P586" s="107">
        <f t="shared" si="19"/>
        <v>9184</v>
      </c>
      <c r="Q586" s="56"/>
      <c r="R586" s="57">
        <v>83096</v>
      </c>
      <c r="S586" s="58">
        <v>4354</v>
      </c>
      <c r="T586" s="58">
        <v>87450</v>
      </c>
    </row>
    <row r="587" spans="1:20">
      <c r="A587" s="54">
        <v>96411</v>
      </c>
      <c r="B587" s="55" t="s">
        <v>1963</v>
      </c>
      <c r="C587" s="106">
        <v>7.2299999999999996E-5</v>
      </c>
      <c r="D587" s="106">
        <v>5.66E-5</v>
      </c>
      <c r="E587" s="56">
        <v>110454</v>
      </c>
      <c r="F587" s="56"/>
      <c r="G587" s="57">
        <v>6363</v>
      </c>
      <c r="H587" s="107">
        <v>26818</v>
      </c>
      <c r="I587" s="57">
        <v>15774</v>
      </c>
      <c r="J587" s="56">
        <v>12280</v>
      </c>
      <c r="K587" s="107">
        <f t="shared" si="18"/>
        <v>61235</v>
      </c>
      <c r="L587" s="56"/>
      <c r="M587" s="57">
        <v>3127</v>
      </c>
      <c r="N587" s="57">
        <v>0</v>
      </c>
      <c r="O587" s="56">
        <v>4004</v>
      </c>
      <c r="P587" s="107">
        <f t="shared" si="19"/>
        <v>7131</v>
      </c>
      <c r="Q587" s="56"/>
      <c r="R587" s="57">
        <v>37223</v>
      </c>
      <c r="S587" s="58">
        <v>2528</v>
      </c>
      <c r="T587" s="58">
        <v>39751</v>
      </c>
    </row>
    <row r="588" spans="1:20">
      <c r="A588" s="54">
        <v>96421</v>
      </c>
      <c r="B588" s="55" t="s">
        <v>1964</v>
      </c>
      <c r="C588" s="106">
        <v>4.2529999999999998E-4</v>
      </c>
      <c r="D588" s="106">
        <v>4.2860000000000001E-4</v>
      </c>
      <c r="E588" s="56">
        <v>649741</v>
      </c>
      <c r="F588" s="56"/>
      <c r="G588" s="57">
        <v>37431</v>
      </c>
      <c r="H588" s="107">
        <v>157758</v>
      </c>
      <c r="I588" s="57">
        <v>92792</v>
      </c>
      <c r="J588" s="56">
        <v>0</v>
      </c>
      <c r="K588" s="107">
        <f t="shared" si="18"/>
        <v>287981</v>
      </c>
      <c r="L588" s="56"/>
      <c r="M588" s="57">
        <v>18392</v>
      </c>
      <c r="N588" s="57">
        <v>0</v>
      </c>
      <c r="O588" s="56">
        <v>78762</v>
      </c>
      <c r="P588" s="107">
        <f t="shared" si="19"/>
        <v>97154</v>
      </c>
      <c r="Q588" s="56"/>
      <c r="R588" s="57">
        <v>218963</v>
      </c>
      <c r="S588" s="58">
        <v>-35149</v>
      </c>
      <c r="T588" s="58">
        <v>183814</v>
      </c>
    </row>
    <row r="589" spans="1:20">
      <c r="A589" s="54">
        <v>96431</v>
      </c>
      <c r="B589" s="55" t="s">
        <v>1965</v>
      </c>
      <c r="C589" s="106">
        <v>4.2799999999999997E-5</v>
      </c>
      <c r="D589" s="106">
        <v>5.6100000000000002E-5</v>
      </c>
      <c r="E589" s="56">
        <v>65387</v>
      </c>
      <c r="F589" s="56"/>
      <c r="G589" s="57">
        <v>3767</v>
      </c>
      <c r="H589" s="107">
        <v>15876</v>
      </c>
      <c r="I589" s="57">
        <v>9338</v>
      </c>
      <c r="J589" s="56">
        <v>6277</v>
      </c>
      <c r="K589" s="107">
        <f t="shared" si="18"/>
        <v>35258</v>
      </c>
      <c r="L589" s="56"/>
      <c r="M589" s="57">
        <v>1851</v>
      </c>
      <c r="N589" s="57">
        <v>0</v>
      </c>
      <c r="O589" s="56">
        <v>10135</v>
      </c>
      <c r="P589" s="107">
        <f t="shared" si="19"/>
        <v>11986</v>
      </c>
      <c r="Q589" s="56"/>
      <c r="R589" s="57">
        <v>22035</v>
      </c>
      <c r="S589" s="58">
        <v>-1596</v>
      </c>
      <c r="T589" s="58">
        <v>20439</v>
      </c>
    </row>
    <row r="590" spans="1:20">
      <c r="A590" s="54">
        <v>96441</v>
      </c>
      <c r="B590" s="55" t="s">
        <v>1966</v>
      </c>
      <c r="C590" s="106">
        <v>2.97E-5</v>
      </c>
      <c r="D590" s="106">
        <v>3.1199999999999999E-5</v>
      </c>
      <c r="E590" s="56">
        <v>45373</v>
      </c>
      <c r="F590" s="56"/>
      <c r="G590" s="57">
        <v>2614</v>
      </c>
      <c r="H590" s="107">
        <v>11017</v>
      </c>
      <c r="I590" s="57">
        <v>6480</v>
      </c>
      <c r="J590" s="56">
        <v>7489</v>
      </c>
      <c r="K590" s="107">
        <f t="shared" si="18"/>
        <v>27600</v>
      </c>
      <c r="L590" s="56"/>
      <c r="M590" s="57">
        <v>1284</v>
      </c>
      <c r="N590" s="57">
        <v>0</v>
      </c>
      <c r="O590" s="56">
        <v>440</v>
      </c>
      <c r="P590" s="107">
        <f t="shared" si="19"/>
        <v>1724</v>
      </c>
      <c r="Q590" s="56"/>
      <c r="R590" s="57">
        <v>15291</v>
      </c>
      <c r="S590" s="58">
        <v>2815</v>
      </c>
      <c r="T590" s="58">
        <v>18106</v>
      </c>
    </row>
    <row r="591" spans="1:20">
      <c r="A591" s="54">
        <v>96451</v>
      </c>
      <c r="B591" s="55" t="s">
        <v>1967</v>
      </c>
      <c r="C591" s="106">
        <v>2.0299999999999999E-5</v>
      </c>
      <c r="D591" s="106">
        <v>1.38E-5</v>
      </c>
      <c r="E591" s="56">
        <v>31013</v>
      </c>
      <c r="F591" s="56"/>
      <c r="G591" s="57">
        <v>1787</v>
      </c>
      <c r="H591" s="107">
        <v>7530</v>
      </c>
      <c r="I591" s="57">
        <v>4429</v>
      </c>
      <c r="J591" s="56">
        <v>6431</v>
      </c>
      <c r="K591" s="107">
        <f t="shared" si="18"/>
        <v>20177</v>
      </c>
      <c r="L591" s="56"/>
      <c r="M591" s="57">
        <v>878</v>
      </c>
      <c r="N591" s="57">
        <v>0</v>
      </c>
      <c r="O591" s="56">
        <v>1319</v>
      </c>
      <c r="P591" s="107">
        <f t="shared" si="19"/>
        <v>2197</v>
      </c>
      <c r="Q591" s="56"/>
      <c r="R591" s="57">
        <v>10451</v>
      </c>
      <c r="S591" s="58">
        <v>994</v>
      </c>
      <c r="T591" s="58">
        <v>11445</v>
      </c>
    </row>
    <row r="592" spans="1:20">
      <c r="A592" s="54">
        <v>96461</v>
      </c>
      <c r="B592" s="55" t="s">
        <v>1968</v>
      </c>
      <c r="C592" s="106">
        <v>1.361E-4</v>
      </c>
      <c r="D592" s="106">
        <v>1.3410000000000001E-4</v>
      </c>
      <c r="E592" s="56">
        <v>207923</v>
      </c>
      <c r="F592" s="56"/>
      <c r="G592" s="57">
        <v>11978</v>
      </c>
      <c r="H592" s="107">
        <v>50484</v>
      </c>
      <c r="I592" s="57">
        <v>29694</v>
      </c>
      <c r="J592" s="56">
        <v>6504</v>
      </c>
      <c r="K592" s="107">
        <f t="shared" si="18"/>
        <v>98660</v>
      </c>
      <c r="L592" s="56"/>
      <c r="M592" s="57">
        <v>5886</v>
      </c>
      <c r="N592" s="57">
        <v>0</v>
      </c>
      <c r="O592" s="56">
        <v>18452</v>
      </c>
      <c r="P592" s="107">
        <f t="shared" si="19"/>
        <v>24338</v>
      </c>
      <c r="Q592" s="56"/>
      <c r="R592" s="57">
        <v>70070</v>
      </c>
      <c r="S592" s="58">
        <v>-3923</v>
      </c>
      <c r="T592" s="58">
        <f>66148-1</f>
        <v>66147</v>
      </c>
    </row>
    <row r="593" spans="1:20">
      <c r="A593" s="54">
        <v>96501</v>
      </c>
      <c r="B593" s="55" t="s">
        <v>1969</v>
      </c>
      <c r="C593" s="106">
        <v>1.44739E-2</v>
      </c>
      <c r="D593" s="106">
        <v>1.4156999999999999E-2</v>
      </c>
      <c r="E593" s="56">
        <v>22112110</v>
      </c>
      <c r="F593" s="56"/>
      <c r="G593" s="57">
        <v>1273862</v>
      </c>
      <c r="H593" s="107">
        <v>5368847</v>
      </c>
      <c r="I593" s="57">
        <v>3157916</v>
      </c>
      <c r="J593" s="56">
        <v>365065</v>
      </c>
      <c r="K593" s="107">
        <f t="shared" si="18"/>
        <v>10165690</v>
      </c>
      <c r="L593" s="56"/>
      <c r="M593" s="57">
        <v>625924</v>
      </c>
      <c r="N593" s="57">
        <v>0</v>
      </c>
      <c r="O593" s="56">
        <v>292930</v>
      </c>
      <c r="P593" s="107">
        <f t="shared" si="19"/>
        <v>918854</v>
      </c>
      <c r="Q593" s="56"/>
      <c r="R593" s="57">
        <v>7451801</v>
      </c>
      <c r="S593" s="58">
        <v>150498</v>
      </c>
      <c r="T593" s="58">
        <f>7602298+1</f>
        <v>7602299</v>
      </c>
    </row>
    <row r="594" spans="1:20">
      <c r="A594" s="54">
        <v>96502</v>
      </c>
      <c r="B594" s="55" t="s">
        <v>1970</v>
      </c>
      <c r="C594" s="106">
        <v>4.2440000000000002E-4</v>
      </c>
      <c r="D594" s="106">
        <v>4.2309999999999998E-4</v>
      </c>
      <c r="E594" s="56">
        <v>648366</v>
      </c>
      <c r="F594" s="56"/>
      <c r="G594" s="57">
        <v>37352</v>
      </c>
      <c r="H594" s="107">
        <v>157424</v>
      </c>
      <c r="I594" s="57">
        <v>92596</v>
      </c>
      <c r="J594" s="56">
        <v>39317</v>
      </c>
      <c r="K594" s="107">
        <f t="shared" si="18"/>
        <v>326689</v>
      </c>
      <c r="L594" s="56"/>
      <c r="M594" s="57">
        <v>18353</v>
      </c>
      <c r="N594" s="57">
        <v>0</v>
      </c>
      <c r="O594" s="56">
        <v>0</v>
      </c>
      <c r="P594" s="107">
        <f t="shared" si="19"/>
        <v>18353</v>
      </c>
      <c r="Q594" s="56"/>
      <c r="R594" s="57">
        <v>218500</v>
      </c>
      <c r="S594" s="58">
        <v>23185</v>
      </c>
      <c r="T594" s="58">
        <v>241685</v>
      </c>
    </row>
    <row r="595" spans="1:20">
      <c r="A595" s="54">
        <v>96503</v>
      </c>
      <c r="B595" s="55" t="s">
        <v>1971</v>
      </c>
      <c r="C595" s="106">
        <v>3.0039999999999998E-4</v>
      </c>
      <c r="D595" s="106">
        <v>3.3700000000000001E-4</v>
      </c>
      <c r="E595" s="56">
        <v>458928</v>
      </c>
      <c r="F595" s="56"/>
      <c r="G595" s="57">
        <v>26439</v>
      </c>
      <c r="H595" s="107">
        <v>111428</v>
      </c>
      <c r="I595" s="57">
        <v>65541</v>
      </c>
      <c r="J595" s="56">
        <v>240013</v>
      </c>
      <c r="K595" s="107">
        <f t="shared" si="18"/>
        <v>443421</v>
      </c>
      <c r="L595" s="56"/>
      <c r="M595" s="57">
        <v>12991</v>
      </c>
      <c r="N595" s="57">
        <v>0</v>
      </c>
      <c r="O595" s="56">
        <v>14874</v>
      </c>
      <c r="P595" s="107">
        <f t="shared" si="19"/>
        <v>27865</v>
      </c>
      <c r="Q595" s="56"/>
      <c r="R595" s="57">
        <v>154659</v>
      </c>
      <c r="S595" s="58">
        <v>71167</v>
      </c>
      <c r="T595" s="58">
        <v>225826</v>
      </c>
    </row>
    <row r="596" spans="1:20">
      <c r="A596" s="54">
        <v>96504</v>
      </c>
      <c r="B596" s="55" t="s">
        <v>1972</v>
      </c>
      <c r="C596" s="106">
        <v>4.1760000000000001E-4</v>
      </c>
      <c r="D596" s="106">
        <v>3.6039999999999998E-4</v>
      </c>
      <c r="E596" s="56">
        <v>637977</v>
      </c>
      <c r="F596" s="56"/>
      <c r="G596" s="57">
        <v>36753</v>
      </c>
      <c r="H596" s="107">
        <v>154902</v>
      </c>
      <c r="I596" s="57">
        <v>91112</v>
      </c>
      <c r="J596" s="56">
        <v>44166</v>
      </c>
      <c r="K596" s="107">
        <f t="shared" si="18"/>
        <v>326933</v>
      </c>
      <c r="L596" s="56"/>
      <c r="M596" s="57">
        <v>18059</v>
      </c>
      <c r="N596" s="57">
        <v>0</v>
      </c>
      <c r="O596" s="56">
        <v>4428</v>
      </c>
      <c r="P596" s="107">
        <f t="shared" si="19"/>
        <v>22487</v>
      </c>
      <c r="Q596" s="56"/>
      <c r="R596" s="57">
        <v>214999</v>
      </c>
      <c r="S596" s="58">
        <v>11523</v>
      </c>
      <c r="T596" s="58">
        <f>226521+1</f>
        <v>226522</v>
      </c>
    </row>
    <row r="597" spans="1:20">
      <c r="A597" s="54">
        <v>96507</v>
      </c>
      <c r="B597" s="55" t="s">
        <v>1973</v>
      </c>
      <c r="C597" s="106">
        <v>2.2147E-3</v>
      </c>
      <c r="D597" s="106">
        <v>2.2604999999999999E-3</v>
      </c>
      <c r="E597" s="56">
        <v>3383448</v>
      </c>
      <c r="F597" s="56"/>
      <c r="G597" s="57">
        <v>194918</v>
      </c>
      <c r="H597" s="107">
        <v>821505</v>
      </c>
      <c r="I597" s="57">
        <v>483203</v>
      </c>
      <c r="J597" s="56">
        <v>115759</v>
      </c>
      <c r="K597" s="107">
        <f t="shared" si="18"/>
        <v>1615385</v>
      </c>
      <c r="L597" s="56"/>
      <c r="M597" s="57">
        <v>95775</v>
      </c>
      <c r="N597" s="57">
        <v>0</v>
      </c>
      <c r="O597" s="56">
        <v>22795</v>
      </c>
      <c r="P597" s="107">
        <f t="shared" si="19"/>
        <v>118570</v>
      </c>
      <c r="Q597" s="56"/>
      <c r="R597" s="57">
        <v>1140225</v>
      </c>
      <c r="S597" s="58">
        <v>58867</v>
      </c>
      <c r="T597" s="58">
        <v>1199092</v>
      </c>
    </row>
    <row r="598" spans="1:20">
      <c r="A598" s="54">
        <v>96508</v>
      </c>
      <c r="B598" s="55" t="s">
        <v>1974</v>
      </c>
      <c r="C598" s="106">
        <v>8.6000000000000007E-6</v>
      </c>
      <c r="D598" s="106">
        <v>9.7999999999999993E-6</v>
      </c>
      <c r="E598" s="56">
        <v>13138</v>
      </c>
      <c r="F598" s="56"/>
      <c r="G598" s="57">
        <v>757</v>
      </c>
      <c r="H598" s="107">
        <v>3190</v>
      </c>
      <c r="I598" s="57">
        <v>1876</v>
      </c>
      <c r="J598" s="56">
        <v>11113</v>
      </c>
      <c r="K598" s="107">
        <f t="shared" si="18"/>
        <v>16936</v>
      </c>
      <c r="L598" s="56"/>
      <c r="M598" s="57">
        <v>372</v>
      </c>
      <c r="N598" s="57">
        <v>0</v>
      </c>
      <c r="O598" s="56">
        <v>0</v>
      </c>
      <c r="P598" s="107">
        <f t="shared" si="19"/>
        <v>372</v>
      </c>
      <c r="Q598" s="56"/>
      <c r="R598" s="57">
        <v>4428</v>
      </c>
      <c r="S598" s="58">
        <v>4402</v>
      </c>
      <c r="T598" s="58">
        <v>8830</v>
      </c>
    </row>
    <row r="599" spans="1:20">
      <c r="A599" s="54">
        <v>96511</v>
      </c>
      <c r="B599" s="55" t="s">
        <v>1975</v>
      </c>
      <c r="C599" s="106">
        <v>6.2069999999999996E-4</v>
      </c>
      <c r="D599" s="106">
        <v>6.221E-4</v>
      </c>
      <c r="E599" s="56">
        <v>948258</v>
      </c>
      <c r="F599" s="56"/>
      <c r="G599" s="57">
        <v>54628</v>
      </c>
      <c r="H599" s="107">
        <v>230238</v>
      </c>
      <c r="I599" s="57">
        <v>135424</v>
      </c>
      <c r="J599" s="56">
        <v>0</v>
      </c>
      <c r="K599" s="107">
        <f t="shared" si="18"/>
        <v>420290</v>
      </c>
      <c r="L599" s="56"/>
      <c r="M599" s="57">
        <v>26842</v>
      </c>
      <c r="N599" s="57">
        <v>0</v>
      </c>
      <c r="O599" s="56">
        <v>95843</v>
      </c>
      <c r="P599" s="107">
        <f t="shared" si="19"/>
        <v>122685</v>
      </c>
      <c r="Q599" s="56"/>
      <c r="R599" s="57">
        <v>319564</v>
      </c>
      <c r="S599" s="58">
        <v>-49396</v>
      </c>
      <c r="T599" s="58">
        <v>270168</v>
      </c>
    </row>
    <row r="600" spans="1:20">
      <c r="A600" s="54">
        <v>96512</v>
      </c>
      <c r="B600" s="55" t="s">
        <v>1976</v>
      </c>
      <c r="C600" s="106">
        <v>1.5119999999999999E-4</v>
      </c>
      <c r="D600" s="106">
        <v>1.7000000000000001E-4</v>
      </c>
      <c r="E600" s="56">
        <v>230992</v>
      </c>
      <c r="F600" s="56"/>
      <c r="G600" s="57">
        <v>13307</v>
      </c>
      <c r="H600" s="107">
        <v>56085</v>
      </c>
      <c r="I600" s="57">
        <v>32989</v>
      </c>
      <c r="J600" s="56">
        <v>5578</v>
      </c>
      <c r="K600" s="107">
        <f t="shared" si="18"/>
        <v>107959</v>
      </c>
      <c r="L600" s="56"/>
      <c r="M600" s="57">
        <v>6539</v>
      </c>
      <c r="N600" s="57">
        <v>0</v>
      </c>
      <c r="O600" s="56">
        <v>9964</v>
      </c>
      <c r="P600" s="107">
        <f t="shared" si="19"/>
        <v>16503</v>
      </c>
      <c r="Q600" s="56"/>
      <c r="R600" s="57">
        <v>77844</v>
      </c>
      <c r="S600" s="58">
        <v>198</v>
      </c>
      <c r="T600" s="58">
        <v>78042</v>
      </c>
    </row>
    <row r="601" spans="1:20">
      <c r="A601" s="54">
        <v>96521</v>
      </c>
      <c r="B601" s="55" t="s">
        <v>1977</v>
      </c>
      <c r="C601" s="106">
        <v>9.881E-4</v>
      </c>
      <c r="D601" s="106">
        <v>9.4240000000000003E-4</v>
      </c>
      <c r="E601" s="56">
        <v>1509543</v>
      </c>
      <c r="F601" s="56"/>
      <c r="G601" s="57">
        <v>86964</v>
      </c>
      <c r="H601" s="107">
        <v>366519</v>
      </c>
      <c r="I601" s="57">
        <v>215584</v>
      </c>
      <c r="J601" s="56">
        <v>30024</v>
      </c>
      <c r="K601" s="107">
        <f t="shared" si="18"/>
        <v>699091</v>
      </c>
      <c r="L601" s="56"/>
      <c r="M601" s="57">
        <v>42730</v>
      </c>
      <c r="N601" s="57">
        <v>0</v>
      </c>
      <c r="O601" s="56">
        <v>25241</v>
      </c>
      <c r="P601" s="107">
        <f t="shared" si="19"/>
        <v>67971</v>
      </c>
      <c r="Q601" s="56"/>
      <c r="R601" s="57">
        <v>508717</v>
      </c>
      <c r="S601" s="58">
        <v>6710</v>
      </c>
      <c r="T601" s="58">
        <f>515428-1</f>
        <v>515427</v>
      </c>
    </row>
    <row r="602" spans="1:20">
      <c r="A602" s="54">
        <v>96531</v>
      </c>
      <c r="B602" s="55" t="s">
        <v>1978</v>
      </c>
      <c r="C602" s="106">
        <v>8.5845000000000001E-3</v>
      </c>
      <c r="D602" s="106">
        <v>8.6088999999999992E-3</v>
      </c>
      <c r="E602" s="56">
        <v>13114738</v>
      </c>
      <c r="F602" s="56"/>
      <c r="G602" s="57">
        <v>755530</v>
      </c>
      <c r="H602" s="107">
        <v>3184274</v>
      </c>
      <c r="I602" s="57">
        <v>1872966</v>
      </c>
      <c r="J602" s="56">
        <v>48765</v>
      </c>
      <c r="K602" s="107">
        <f t="shared" si="18"/>
        <v>5861535</v>
      </c>
      <c r="L602" s="56"/>
      <c r="M602" s="57">
        <v>371237</v>
      </c>
      <c r="N602" s="57">
        <v>0</v>
      </c>
      <c r="O602" s="56">
        <v>418860</v>
      </c>
      <c r="P602" s="107">
        <f t="shared" si="19"/>
        <v>790097</v>
      </c>
      <c r="Q602" s="56"/>
      <c r="R602" s="57">
        <v>4419678</v>
      </c>
      <c r="S602" s="58">
        <v>-117601</v>
      </c>
      <c r="T602" s="58">
        <v>4302077</v>
      </c>
    </row>
    <row r="603" spans="1:20">
      <c r="A603" s="54">
        <v>96541</v>
      </c>
      <c r="B603" s="55" t="s">
        <v>1979</v>
      </c>
      <c r="C603" s="106">
        <v>3.5950000000000001E-4</v>
      </c>
      <c r="D603" s="106">
        <v>3.3169999999999999E-4</v>
      </c>
      <c r="E603" s="56">
        <v>549216</v>
      </c>
      <c r="F603" s="56"/>
      <c r="G603" s="57">
        <v>31640</v>
      </c>
      <c r="H603" s="107">
        <v>133350</v>
      </c>
      <c r="I603" s="57">
        <v>78436</v>
      </c>
      <c r="J603" s="56">
        <v>24801</v>
      </c>
      <c r="K603" s="107">
        <f t="shared" si="18"/>
        <v>268227</v>
      </c>
      <c r="L603" s="56"/>
      <c r="M603" s="57">
        <v>15547</v>
      </c>
      <c r="N603" s="57">
        <v>0</v>
      </c>
      <c r="O603" s="56">
        <v>0</v>
      </c>
      <c r="P603" s="107">
        <f t="shared" si="19"/>
        <v>15547</v>
      </c>
      <c r="Q603" s="56"/>
      <c r="R603" s="57">
        <v>185086</v>
      </c>
      <c r="S603" s="58">
        <v>13028</v>
      </c>
      <c r="T603" s="58">
        <f>198115-1</f>
        <v>198114</v>
      </c>
    </row>
    <row r="604" spans="1:20">
      <c r="A604" s="54">
        <v>96601</v>
      </c>
      <c r="B604" s="55" t="s">
        <v>1980</v>
      </c>
      <c r="C604" s="106">
        <v>1.8169E-3</v>
      </c>
      <c r="D604" s="106">
        <v>1.8416000000000001E-3</v>
      </c>
      <c r="E604" s="56">
        <v>2775720</v>
      </c>
      <c r="F604" s="56"/>
      <c r="G604" s="57">
        <v>159907</v>
      </c>
      <c r="H604" s="107">
        <v>673948</v>
      </c>
      <c r="I604" s="57">
        <v>396411</v>
      </c>
      <c r="J604" s="56">
        <v>50154</v>
      </c>
      <c r="K604" s="107">
        <f t="shared" si="18"/>
        <v>1280420</v>
      </c>
      <c r="L604" s="56"/>
      <c r="M604" s="57">
        <v>78572</v>
      </c>
      <c r="N604" s="57">
        <v>0</v>
      </c>
      <c r="O604" s="56">
        <v>4139</v>
      </c>
      <c r="P604" s="107">
        <f t="shared" si="19"/>
        <v>82711</v>
      </c>
      <c r="Q604" s="56"/>
      <c r="R604" s="57">
        <v>935420</v>
      </c>
      <c r="S604" s="58">
        <v>30132</v>
      </c>
      <c r="T604" s="58">
        <v>965552</v>
      </c>
    </row>
    <row r="605" spans="1:20">
      <c r="A605" s="54">
        <v>96604</v>
      </c>
      <c r="B605" s="55" t="s">
        <v>1981</v>
      </c>
      <c r="C605" s="106">
        <v>7.6000000000000001E-6</v>
      </c>
      <c r="D605" s="106">
        <v>7.9000000000000006E-6</v>
      </c>
      <c r="E605" s="56">
        <v>11611</v>
      </c>
      <c r="F605" s="56"/>
      <c r="G605" s="57">
        <v>669</v>
      </c>
      <c r="H605" s="107">
        <v>2819</v>
      </c>
      <c r="I605" s="57">
        <v>1658</v>
      </c>
      <c r="J605" s="56">
        <v>2027</v>
      </c>
      <c r="K605" s="107">
        <f t="shared" si="18"/>
        <v>7173</v>
      </c>
      <c r="L605" s="56"/>
      <c r="M605" s="57">
        <v>329</v>
      </c>
      <c r="N605" s="57">
        <v>0</v>
      </c>
      <c r="O605" s="56">
        <v>70</v>
      </c>
      <c r="P605" s="107">
        <f t="shared" si="19"/>
        <v>399</v>
      </c>
      <c r="Q605" s="56"/>
      <c r="R605" s="57">
        <v>3913</v>
      </c>
      <c r="S605" s="58">
        <v>799</v>
      </c>
      <c r="T605" s="58">
        <v>4712</v>
      </c>
    </row>
    <row r="606" spans="1:20">
      <c r="A606" s="54">
        <v>96611</v>
      </c>
      <c r="B606" s="55" t="s">
        <v>1982</v>
      </c>
      <c r="C606" s="106">
        <v>2.83E-5</v>
      </c>
      <c r="D606" s="106">
        <v>3.29E-5</v>
      </c>
      <c r="E606" s="56">
        <v>43235</v>
      </c>
      <c r="F606" s="56"/>
      <c r="G606" s="57">
        <v>2491</v>
      </c>
      <c r="H606" s="107">
        <v>10498</v>
      </c>
      <c r="I606" s="57">
        <v>6174</v>
      </c>
      <c r="J606" s="56">
        <v>1561</v>
      </c>
      <c r="K606" s="107">
        <f t="shared" si="18"/>
        <v>20724</v>
      </c>
      <c r="L606" s="56"/>
      <c r="M606" s="57">
        <v>1224</v>
      </c>
      <c r="N606" s="57">
        <v>0</v>
      </c>
      <c r="O606" s="56">
        <v>4284</v>
      </c>
      <c r="P606" s="107">
        <f t="shared" si="19"/>
        <v>5508</v>
      </c>
      <c r="Q606" s="56"/>
      <c r="R606" s="57">
        <v>14570</v>
      </c>
      <c r="S606" s="58">
        <v>112</v>
      </c>
      <c r="T606" s="58">
        <f>14683-1</f>
        <v>14682</v>
      </c>
    </row>
    <row r="607" spans="1:20">
      <c r="A607" s="54">
        <v>96612</v>
      </c>
      <c r="B607" s="55" t="s">
        <v>1983</v>
      </c>
      <c r="C607" s="106">
        <v>6.3299999999999994E-5</v>
      </c>
      <c r="D607" s="106">
        <v>6.3899999999999995E-5</v>
      </c>
      <c r="E607" s="56">
        <v>96705</v>
      </c>
      <c r="F607" s="56"/>
      <c r="G607" s="57">
        <v>5571</v>
      </c>
      <c r="H607" s="107">
        <v>23480</v>
      </c>
      <c r="I607" s="57">
        <v>13811</v>
      </c>
      <c r="J607" s="56">
        <v>7699</v>
      </c>
      <c r="K607" s="107">
        <f t="shared" si="18"/>
        <v>50561</v>
      </c>
      <c r="L607" s="56"/>
      <c r="M607" s="57">
        <v>2737</v>
      </c>
      <c r="N607" s="57">
        <v>0</v>
      </c>
      <c r="O607" s="56">
        <v>658</v>
      </c>
      <c r="P607" s="107">
        <f t="shared" si="19"/>
        <v>3395</v>
      </c>
      <c r="Q607" s="56"/>
      <c r="R607" s="57">
        <v>32590</v>
      </c>
      <c r="S607" s="58">
        <v>2270</v>
      </c>
      <c r="T607" s="58">
        <f>34859+1</f>
        <v>34860</v>
      </c>
    </row>
    <row r="608" spans="1:20">
      <c r="A608" s="54">
        <v>96621</v>
      </c>
      <c r="B608" s="55" t="s">
        <v>1984</v>
      </c>
      <c r="C608" s="106">
        <v>2.5999999999999998E-5</v>
      </c>
      <c r="D608" s="106">
        <v>2.65E-5</v>
      </c>
      <c r="E608" s="56">
        <v>39721</v>
      </c>
      <c r="F608" s="56"/>
      <c r="G608" s="57">
        <v>2288</v>
      </c>
      <c r="H608" s="107">
        <v>9644</v>
      </c>
      <c r="I608" s="57">
        <v>5673</v>
      </c>
      <c r="J608" s="56">
        <v>1435</v>
      </c>
      <c r="K608" s="107">
        <f t="shared" si="18"/>
        <v>19040</v>
      </c>
      <c r="L608" s="56"/>
      <c r="M608" s="57">
        <v>1124</v>
      </c>
      <c r="N608" s="57">
        <v>0</v>
      </c>
      <c r="O608" s="56">
        <v>4828</v>
      </c>
      <c r="P608" s="107">
        <f t="shared" si="19"/>
        <v>5952</v>
      </c>
      <c r="Q608" s="56"/>
      <c r="R608" s="57">
        <v>13386</v>
      </c>
      <c r="S608" s="58">
        <v>-2281</v>
      </c>
      <c r="T608" s="58">
        <v>11105</v>
      </c>
    </row>
    <row r="609" spans="1:20">
      <c r="A609" s="54">
        <v>96631</v>
      </c>
      <c r="B609" s="55" t="s">
        <v>1985</v>
      </c>
      <c r="C609" s="106">
        <v>2.51E-5</v>
      </c>
      <c r="D609" s="106">
        <v>2.5899999999999999E-5</v>
      </c>
      <c r="E609" s="56">
        <v>38346</v>
      </c>
      <c r="F609" s="56"/>
      <c r="G609" s="57">
        <v>2209</v>
      </c>
      <c r="H609" s="107">
        <v>9311</v>
      </c>
      <c r="I609" s="57">
        <v>5476</v>
      </c>
      <c r="J609" s="56">
        <v>3375</v>
      </c>
      <c r="K609" s="107">
        <f t="shared" si="18"/>
        <v>20371</v>
      </c>
      <c r="L609" s="56"/>
      <c r="M609" s="57">
        <v>1085</v>
      </c>
      <c r="N609" s="57">
        <v>0</v>
      </c>
      <c r="O609" s="56">
        <v>345</v>
      </c>
      <c r="P609" s="107">
        <f t="shared" si="19"/>
        <v>1430</v>
      </c>
      <c r="Q609" s="56"/>
      <c r="R609" s="57">
        <v>12923</v>
      </c>
      <c r="S609" s="58">
        <v>2192</v>
      </c>
      <c r="T609" s="58">
        <f>15114+1</f>
        <v>15115</v>
      </c>
    </row>
    <row r="610" spans="1:20">
      <c r="A610" s="54">
        <v>96641</v>
      </c>
      <c r="B610" s="55" t="s">
        <v>1986</v>
      </c>
      <c r="C610" s="106">
        <v>3.2199999999999997E-5</v>
      </c>
      <c r="D610" s="106">
        <v>2.6999999999999999E-5</v>
      </c>
      <c r="E610" s="56">
        <v>49193</v>
      </c>
      <c r="F610" s="56"/>
      <c r="G610" s="57">
        <v>2834</v>
      </c>
      <c r="H610" s="107">
        <v>11944</v>
      </c>
      <c r="I610" s="57">
        <v>7025</v>
      </c>
      <c r="J610" s="56">
        <v>15380</v>
      </c>
      <c r="K610" s="107">
        <f t="shared" si="18"/>
        <v>37183</v>
      </c>
      <c r="L610" s="56"/>
      <c r="M610" s="57">
        <v>1392</v>
      </c>
      <c r="N610" s="57">
        <v>0</v>
      </c>
      <c r="O610" s="56">
        <v>0</v>
      </c>
      <c r="P610" s="107">
        <f t="shared" si="19"/>
        <v>1392</v>
      </c>
      <c r="Q610" s="56"/>
      <c r="R610" s="57">
        <v>16578</v>
      </c>
      <c r="S610" s="58">
        <v>5934</v>
      </c>
      <c r="T610" s="58">
        <v>22512</v>
      </c>
    </row>
    <row r="611" spans="1:20">
      <c r="A611" s="54">
        <v>96651</v>
      </c>
      <c r="B611" s="55" t="s">
        <v>1987</v>
      </c>
      <c r="C611" s="106">
        <v>1.7399999999999999E-5</v>
      </c>
      <c r="D611" s="106">
        <v>1.9400000000000001E-5</v>
      </c>
      <c r="E611" s="56">
        <v>26582</v>
      </c>
      <c r="F611" s="56"/>
      <c r="G611" s="57">
        <v>1531</v>
      </c>
      <c r="H611" s="107">
        <v>6454</v>
      </c>
      <c r="I611" s="57">
        <v>3796</v>
      </c>
      <c r="J611" s="56">
        <v>1983</v>
      </c>
      <c r="K611" s="107">
        <f t="shared" si="18"/>
        <v>13764</v>
      </c>
      <c r="L611" s="56"/>
      <c r="M611" s="57">
        <v>752</v>
      </c>
      <c r="N611" s="57">
        <v>0</v>
      </c>
      <c r="O611" s="56">
        <v>1305</v>
      </c>
      <c r="P611" s="107">
        <f t="shared" si="19"/>
        <v>2057</v>
      </c>
      <c r="Q611" s="56"/>
      <c r="R611" s="57">
        <v>8958</v>
      </c>
      <c r="S611" s="58">
        <v>-364</v>
      </c>
      <c r="T611" s="58">
        <f>8595-1</f>
        <v>8594</v>
      </c>
    </row>
    <row r="612" spans="1:20">
      <c r="A612" s="54">
        <v>96661</v>
      </c>
      <c r="B612" s="55" t="s">
        <v>1988</v>
      </c>
      <c r="C612" s="106">
        <v>1.9700000000000001E-5</v>
      </c>
      <c r="D612" s="106">
        <v>1.9000000000000001E-5</v>
      </c>
      <c r="E612" s="56">
        <v>30096</v>
      </c>
      <c r="F612" s="56"/>
      <c r="G612" s="57">
        <v>1734</v>
      </c>
      <c r="H612" s="107">
        <v>7308</v>
      </c>
      <c r="I612" s="57">
        <v>4298</v>
      </c>
      <c r="J612" s="56">
        <v>5449</v>
      </c>
      <c r="K612" s="107">
        <f t="shared" si="18"/>
        <v>18789</v>
      </c>
      <c r="L612" s="56"/>
      <c r="M612" s="57">
        <v>852</v>
      </c>
      <c r="N612" s="57">
        <v>0</v>
      </c>
      <c r="O612" s="56">
        <v>0</v>
      </c>
      <c r="P612" s="107">
        <f t="shared" si="19"/>
        <v>852</v>
      </c>
      <c r="Q612" s="56"/>
      <c r="R612" s="57">
        <v>10142</v>
      </c>
      <c r="S612" s="58">
        <v>2525</v>
      </c>
      <c r="T612" s="58">
        <f>12668-1</f>
        <v>12667</v>
      </c>
    </row>
    <row r="613" spans="1:20">
      <c r="A613" s="54">
        <v>96671</v>
      </c>
      <c r="B613" s="55" t="s">
        <v>1989</v>
      </c>
      <c r="C613" s="106">
        <v>1.49E-5</v>
      </c>
      <c r="D613" s="106">
        <v>1.5500000000000001E-5</v>
      </c>
      <c r="E613" s="56">
        <v>22763</v>
      </c>
      <c r="F613" s="56"/>
      <c r="G613" s="57">
        <v>1311</v>
      </c>
      <c r="H613" s="107">
        <v>5527</v>
      </c>
      <c r="I613" s="57">
        <v>3251</v>
      </c>
      <c r="J613" s="56">
        <v>8612</v>
      </c>
      <c r="K613" s="107">
        <f t="shared" si="18"/>
        <v>18701</v>
      </c>
      <c r="L613" s="56"/>
      <c r="M613" s="57">
        <v>644</v>
      </c>
      <c r="N613" s="57">
        <v>0</v>
      </c>
      <c r="O613" s="56">
        <v>208</v>
      </c>
      <c r="P613" s="107">
        <f t="shared" si="19"/>
        <v>852</v>
      </c>
      <c r="Q613" s="56"/>
      <c r="R613" s="57">
        <v>7671</v>
      </c>
      <c r="S613" s="58">
        <v>3620</v>
      </c>
      <c r="T613" s="58">
        <v>11291</v>
      </c>
    </row>
    <row r="614" spans="1:20">
      <c r="A614" s="54">
        <v>96681</v>
      </c>
      <c r="B614" s="55" t="s">
        <v>1990</v>
      </c>
      <c r="C614" s="106">
        <v>1.7499999999999998E-5</v>
      </c>
      <c r="D614" s="106">
        <v>3.4799999999999999E-5</v>
      </c>
      <c r="E614" s="56">
        <v>26735</v>
      </c>
      <c r="F614" s="56"/>
      <c r="G614" s="57">
        <v>1540</v>
      </c>
      <c r="H614" s="107">
        <v>6491</v>
      </c>
      <c r="I614" s="57">
        <v>3818</v>
      </c>
      <c r="J614" s="56">
        <v>12682</v>
      </c>
      <c r="K614" s="107">
        <f t="shared" si="18"/>
        <v>24531</v>
      </c>
      <c r="L614" s="56"/>
      <c r="M614" s="57">
        <v>757</v>
      </c>
      <c r="N614" s="57">
        <v>0</v>
      </c>
      <c r="O614" s="56">
        <v>9027</v>
      </c>
      <c r="P614" s="107">
        <f t="shared" si="19"/>
        <v>9784</v>
      </c>
      <c r="Q614" s="56"/>
      <c r="R614" s="57">
        <v>9010</v>
      </c>
      <c r="S614" s="58">
        <v>3129</v>
      </c>
      <c r="T614" s="58">
        <v>12139</v>
      </c>
    </row>
    <row r="615" spans="1:20">
      <c r="A615" s="54">
        <v>96701</v>
      </c>
      <c r="B615" s="55" t="s">
        <v>1991</v>
      </c>
      <c r="C615" s="106">
        <v>8.4206000000000003E-3</v>
      </c>
      <c r="D615" s="106">
        <v>7.7850000000000003E-3</v>
      </c>
      <c r="E615" s="56">
        <v>12864344</v>
      </c>
      <c r="F615" s="56"/>
      <c r="G615" s="57">
        <v>741105</v>
      </c>
      <c r="H615" s="107">
        <v>3123478</v>
      </c>
      <c r="I615" s="57">
        <v>1837207</v>
      </c>
      <c r="J615" s="56">
        <v>445953</v>
      </c>
      <c r="K615" s="107">
        <f t="shared" si="18"/>
        <v>6147743</v>
      </c>
      <c r="L615" s="56"/>
      <c r="M615" s="57">
        <v>364149</v>
      </c>
      <c r="N615" s="57">
        <v>0</v>
      </c>
      <c r="O615" s="56">
        <v>51464</v>
      </c>
      <c r="P615" s="107">
        <f t="shared" si="19"/>
        <v>415613</v>
      </c>
      <c r="Q615" s="56"/>
      <c r="R615" s="57">
        <v>4335295</v>
      </c>
      <c r="S615" s="58">
        <v>139565</v>
      </c>
      <c r="T615" s="58">
        <f>4474861-1</f>
        <v>4474860</v>
      </c>
    </row>
    <row r="616" spans="1:20">
      <c r="A616" s="54">
        <v>96704</v>
      </c>
      <c r="B616" s="55" t="s">
        <v>1992</v>
      </c>
      <c r="C616" s="106">
        <v>1.7259999999999999E-4</v>
      </c>
      <c r="D616" s="106">
        <v>1.5330000000000001E-4</v>
      </c>
      <c r="E616" s="56">
        <v>263685</v>
      </c>
      <c r="F616" s="56"/>
      <c r="G616" s="57">
        <v>15191</v>
      </c>
      <c r="H616" s="107">
        <v>64023</v>
      </c>
      <c r="I616" s="57">
        <v>37658</v>
      </c>
      <c r="J616" s="56">
        <v>28813</v>
      </c>
      <c r="K616" s="107">
        <f t="shared" si="18"/>
        <v>145685</v>
      </c>
      <c r="L616" s="56"/>
      <c r="M616" s="57">
        <v>7464</v>
      </c>
      <c r="N616" s="57">
        <v>0</v>
      </c>
      <c r="O616" s="56">
        <v>0</v>
      </c>
      <c r="P616" s="107">
        <f t="shared" si="19"/>
        <v>7464</v>
      </c>
      <c r="Q616" s="56"/>
      <c r="R616" s="57">
        <v>88862</v>
      </c>
      <c r="S616" s="58">
        <v>9625</v>
      </c>
      <c r="T616" s="58">
        <v>98487</v>
      </c>
    </row>
    <row r="617" spans="1:20">
      <c r="A617" s="54">
        <v>96708</v>
      </c>
      <c r="B617" s="55" t="s">
        <v>1993</v>
      </c>
      <c r="C617" s="106">
        <v>9.031E-4</v>
      </c>
      <c r="D617" s="106">
        <v>8.4590000000000002E-4</v>
      </c>
      <c r="E617" s="56">
        <v>1379687</v>
      </c>
      <c r="F617" s="56"/>
      <c r="G617" s="57">
        <v>79483</v>
      </c>
      <c r="H617" s="107">
        <v>334989</v>
      </c>
      <c r="I617" s="57">
        <v>197038</v>
      </c>
      <c r="J617" s="56">
        <v>93931</v>
      </c>
      <c r="K617" s="107">
        <f t="shared" si="18"/>
        <v>705441</v>
      </c>
      <c r="L617" s="56"/>
      <c r="M617" s="57">
        <v>39055</v>
      </c>
      <c r="N617" s="57">
        <v>0</v>
      </c>
      <c r="O617" s="56">
        <v>19895</v>
      </c>
      <c r="P617" s="107">
        <f t="shared" si="19"/>
        <v>58950</v>
      </c>
      <c r="Q617" s="56"/>
      <c r="R617" s="57">
        <v>464956</v>
      </c>
      <c r="S617" s="58">
        <v>29117</v>
      </c>
      <c r="T617" s="58">
        <v>494073</v>
      </c>
    </row>
    <row r="618" spans="1:20">
      <c r="A618" s="54">
        <v>96711</v>
      </c>
      <c r="B618" s="55" t="s">
        <v>1994</v>
      </c>
      <c r="C618" s="106">
        <v>4.0464000000000003E-3</v>
      </c>
      <c r="D618" s="106">
        <v>4.4140000000000004E-3</v>
      </c>
      <c r="E618" s="56">
        <v>6181778</v>
      </c>
      <c r="F618" s="56"/>
      <c r="G618" s="57">
        <v>356128</v>
      </c>
      <c r="H618" s="107">
        <v>1500943</v>
      </c>
      <c r="I618" s="57">
        <v>882844</v>
      </c>
      <c r="J618" s="56">
        <v>10323</v>
      </c>
      <c r="K618" s="107">
        <f t="shared" si="18"/>
        <v>2750238</v>
      </c>
      <c r="L618" s="56"/>
      <c r="M618" s="57">
        <v>174987</v>
      </c>
      <c r="N618" s="57">
        <v>0</v>
      </c>
      <c r="O618" s="56">
        <v>468550</v>
      </c>
      <c r="P618" s="107">
        <f t="shared" si="19"/>
        <v>643537</v>
      </c>
      <c r="Q618" s="56"/>
      <c r="R618" s="57">
        <v>2083265</v>
      </c>
      <c r="S618" s="58">
        <v>-165088</v>
      </c>
      <c r="T618" s="58">
        <v>1918177</v>
      </c>
    </row>
    <row r="619" spans="1:20">
      <c r="A619" s="54">
        <v>96721</v>
      </c>
      <c r="B619" s="55" t="s">
        <v>1995</v>
      </c>
      <c r="C619" s="106">
        <v>2.1379999999999999E-4</v>
      </c>
      <c r="D619" s="106">
        <v>1.9780000000000001E-4</v>
      </c>
      <c r="E619" s="56">
        <v>326627</v>
      </c>
      <c r="F619" s="56"/>
      <c r="G619" s="57">
        <v>18817</v>
      </c>
      <c r="H619" s="107">
        <v>79305</v>
      </c>
      <c r="I619" s="57">
        <v>46647</v>
      </c>
      <c r="J619" s="56">
        <v>14615</v>
      </c>
      <c r="K619" s="107">
        <f t="shared" si="18"/>
        <v>159384</v>
      </c>
      <c r="L619" s="56"/>
      <c r="M619" s="57">
        <v>9246</v>
      </c>
      <c r="N619" s="57">
        <v>0</v>
      </c>
      <c r="O619" s="56">
        <v>25539</v>
      </c>
      <c r="P619" s="107">
        <f t="shared" si="19"/>
        <v>34785</v>
      </c>
      <c r="Q619" s="56"/>
      <c r="R619" s="57">
        <v>110074</v>
      </c>
      <c r="S619" s="58">
        <v>-1269</v>
      </c>
      <c r="T619" s="58">
        <v>108805</v>
      </c>
    </row>
    <row r="620" spans="1:20">
      <c r="A620" s="54">
        <v>96731</v>
      </c>
      <c r="B620" s="55" t="s">
        <v>1996</v>
      </c>
      <c r="C620" s="106">
        <v>1.697E-4</v>
      </c>
      <c r="D620" s="106">
        <v>1.5090000000000001E-4</v>
      </c>
      <c r="E620" s="56">
        <v>259255</v>
      </c>
      <c r="F620" s="56"/>
      <c r="G620" s="57">
        <v>14935</v>
      </c>
      <c r="H620" s="107">
        <v>62947</v>
      </c>
      <c r="I620" s="57">
        <v>37025</v>
      </c>
      <c r="J620" s="56">
        <v>20951</v>
      </c>
      <c r="K620" s="107">
        <f t="shared" si="18"/>
        <v>135858</v>
      </c>
      <c r="L620" s="56"/>
      <c r="M620" s="57">
        <v>7339</v>
      </c>
      <c r="N620" s="57">
        <v>0</v>
      </c>
      <c r="O620" s="56">
        <v>6</v>
      </c>
      <c r="P620" s="107">
        <f t="shared" si="19"/>
        <v>7345</v>
      </c>
      <c r="Q620" s="56"/>
      <c r="R620" s="57">
        <v>87369</v>
      </c>
      <c r="S620" s="58">
        <v>7300</v>
      </c>
      <c r="T620" s="58">
        <v>94669</v>
      </c>
    </row>
    <row r="621" spans="1:20">
      <c r="A621" s="54">
        <v>96733</v>
      </c>
      <c r="B621" s="55" t="s">
        <v>1997</v>
      </c>
      <c r="C621" s="106">
        <v>7.3000000000000004E-6</v>
      </c>
      <c r="D621" s="106">
        <v>9.2E-6</v>
      </c>
      <c r="E621" s="56">
        <v>11152</v>
      </c>
      <c r="F621" s="56"/>
      <c r="G621" s="57">
        <v>642</v>
      </c>
      <c r="H621" s="107">
        <v>2708</v>
      </c>
      <c r="I621" s="57">
        <v>1593</v>
      </c>
      <c r="J621" s="56">
        <v>3988</v>
      </c>
      <c r="K621" s="107">
        <f t="shared" si="18"/>
        <v>8931</v>
      </c>
      <c r="L621" s="56"/>
      <c r="M621" s="57">
        <v>316</v>
      </c>
      <c r="N621" s="57">
        <v>0</v>
      </c>
      <c r="O621" s="56">
        <v>1209</v>
      </c>
      <c r="P621" s="107">
        <f t="shared" si="19"/>
        <v>1525</v>
      </c>
      <c r="Q621" s="56"/>
      <c r="R621" s="57">
        <v>3758</v>
      </c>
      <c r="S621" s="58">
        <v>1574</v>
      </c>
      <c r="T621" s="58">
        <v>5332</v>
      </c>
    </row>
    <row r="622" spans="1:20">
      <c r="A622" s="54">
        <v>96741</v>
      </c>
      <c r="B622" s="55" t="s">
        <v>1998</v>
      </c>
      <c r="C622" s="106">
        <v>9.0799999999999998E-5</v>
      </c>
      <c r="D622" s="106">
        <v>9.2399999999999996E-5</v>
      </c>
      <c r="E622" s="56">
        <v>138717</v>
      </c>
      <c r="F622" s="56"/>
      <c r="G622" s="57">
        <v>7991</v>
      </c>
      <c r="H622" s="107">
        <v>33681</v>
      </c>
      <c r="I622" s="57">
        <v>19811</v>
      </c>
      <c r="J622" s="56">
        <v>4204</v>
      </c>
      <c r="K622" s="107">
        <f t="shared" si="18"/>
        <v>65687</v>
      </c>
      <c r="L622" s="56"/>
      <c r="M622" s="57">
        <v>3927</v>
      </c>
      <c r="N622" s="57">
        <v>0</v>
      </c>
      <c r="O622" s="56">
        <v>2410</v>
      </c>
      <c r="P622" s="107">
        <f t="shared" si="19"/>
        <v>6337</v>
      </c>
      <c r="Q622" s="56"/>
      <c r="R622" s="57">
        <v>46748</v>
      </c>
      <c r="S622" s="58">
        <v>2215</v>
      </c>
      <c r="T622" s="58">
        <v>48963</v>
      </c>
    </row>
    <row r="623" spans="1:20">
      <c r="A623" s="54">
        <v>96751</v>
      </c>
      <c r="B623" s="55" t="s">
        <v>1999</v>
      </c>
      <c r="C623" s="106">
        <v>2.5809999999999999E-4</v>
      </c>
      <c r="D623" s="106">
        <v>2.6120000000000001E-4</v>
      </c>
      <c r="E623" s="56">
        <v>394305</v>
      </c>
      <c r="F623" s="56"/>
      <c r="G623" s="57">
        <v>22716</v>
      </c>
      <c r="H623" s="107">
        <v>95737</v>
      </c>
      <c r="I623" s="57">
        <v>56312</v>
      </c>
      <c r="J623" s="56">
        <v>10810</v>
      </c>
      <c r="K623" s="107">
        <f t="shared" si="18"/>
        <v>185575</v>
      </c>
      <c r="L623" s="56"/>
      <c r="M623" s="57">
        <v>11162</v>
      </c>
      <c r="N623" s="57">
        <v>0</v>
      </c>
      <c r="O623" s="56">
        <v>31380</v>
      </c>
      <c r="P623" s="107">
        <f t="shared" si="19"/>
        <v>42542</v>
      </c>
      <c r="Q623" s="56"/>
      <c r="R623" s="57">
        <v>132881</v>
      </c>
      <c r="S623" s="58">
        <v>-737</v>
      </c>
      <c r="T623" s="58">
        <v>132144</v>
      </c>
    </row>
    <row r="624" spans="1:20">
      <c r="A624" s="54">
        <v>96801</v>
      </c>
      <c r="B624" s="55" t="s">
        <v>2000</v>
      </c>
      <c r="C624" s="106">
        <v>7.5814000000000003E-3</v>
      </c>
      <c r="D624" s="106">
        <v>7.8463999999999999E-3</v>
      </c>
      <c r="E624" s="56">
        <v>11582279</v>
      </c>
      <c r="F624" s="56"/>
      <c r="G624" s="57">
        <v>667247</v>
      </c>
      <c r="H624" s="107">
        <v>2812192</v>
      </c>
      <c r="I624" s="57">
        <v>1654110</v>
      </c>
      <c r="J624" s="56">
        <v>406857</v>
      </c>
      <c r="K624" s="107">
        <f t="shared" si="18"/>
        <v>5540406</v>
      </c>
      <c r="L624" s="56"/>
      <c r="M624" s="57">
        <v>327858</v>
      </c>
      <c r="N624" s="57">
        <v>0</v>
      </c>
      <c r="O624" s="56">
        <v>73178</v>
      </c>
      <c r="P624" s="107">
        <f t="shared" si="19"/>
        <v>401036</v>
      </c>
      <c r="Q624" s="56"/>
      <c r="R624" s="57">
        <v>3903238</v>
      </c>
      <c r="S624" s="58">
        <v>217480</v>
      </c>
      <c r="T624" s="58">
        <v>4120718</v>
      </c>
    </row>
    <row r="625" spans="1:20">
      <c r="A625" s="54">
        <v>96804</v>
      </c>
      <c r="B625" s="55" t="s">
        <v>2001</v>
      </c>
      <c r="C625" s="106">
        <v>2.654E-4</v>
      </c>
      <c r="D625" s="106">
        <v>2.4230000000000001E-4</v>
      </c>
      <c r="E625" s="56">
        <v>405458</v>
      </c>
      <c r="F625" s="56"/>
      <c r="G625" s="57">
        <v>23358</v>
      </c>
      <c r="H625" s="107">
        <v>98446</v>
      </c>
      <c r="I625" s="57">
        <v>57905</v>
      </c>
      <c r="J625" s="56">
        <v>7601</v>
      </c>
      <c r="K625" s="107">
        <f t="shared" si="18"/>
        <v>187310</v>
      </c>
      <c r="L625" s="56"/>
      <c r="M625" s="57">
        <v>11477</v>
      </c>
      <c r="N625" s="57">
        <v>0</v>
      </c>
      <c r="O625" s="56">
        <v>2044</v>
      </c>
      <c r="P625" s="107">
        <f t="shared" si="19"/>
        <v>13521</v>
      </c>
      <c r="Q625" s="56"/>
      <c r="R625" s="57">
        <v>136640</v>
      </c>
      <c r="S625" s="58">
        <v>2424</v>
      </c>
      <c r="T625" s="58">
        <v>139064</v>
      </c>
    </row>
    <row r="626" spans="1:20">
      <c r="A626" s="54">
        <v>96808</v>
      </c>
      <c r="B626" s="55" t="s">
        <v>2002</v>
      </c>
      <c r="C626" s="106">
        <v>1.2711000000000001E-3</v>
      </c>
      <c r="D626" s="106">
        <v>1.2882E-3</v>
      </c>
      <c r="E626" s="56">
        <v>1941889</v>
      </c>
      <c r="F626" s="56"/>
      <c r="G626" s="57">
        <v>111871</v>
      </c>
      <c r="H626" s="107">
        <v>471493</v>
      </c>
      <c r="I626" s="57">
        <v>277329</v>
      </c>
      <c r="J626" s="56">
        <v>42529</v>
      </c>
      <c r="K626" s="107">
        <f t="shared" si="18"/>
        <v>903222</v>
      </c>
      <c r="L626" s="56"/>
      <c r="M626" s="57">
        <v>54969</v>
      </c>
      <c r="N626" s="57">
        <v>0</v>
      </c>
      <c r="O626" s="56">
        <v>3699</v>
      </c>
      <c r="P626" s="107">
        <f t="shared" si="19"/>
        <v>58668</v>
      </c>
      <c r="Q626" s="56"/>
      <c r="R626" s="57">
        <v>654418</v>
      </c>
      <c r="S626" s="58">
        <v>23633</v>
      </c>
      <c r="T626" s="58">
        <v>678051</v>
      </c>
    </row>
    <row r="627" spans="1:20">
      <c r="A627" s="54">
        <v>96811</v>
      </c>
      <c r="B627" s="55" t="s">
        <v>2003</v>
      </c>
      <c r="C627" s="106">
        <v>6.0096999999999998E-3</v>
      </c>
      <c r="D627" s="106">
        <v>5.9861999999999997E-3</v>
      </c>
      <c r="E627" s="56">
        <v>9181157</v>
      </c>
      <c r="F627" s="56"/>
      <c r="G627" s="57">
        <v>528920</v>
      </c>
      <c r="H627" s="107">
        <v>2229197</v>
      </c>
      <c r="I627" s="57">
        <v>1311196</v>
      </c>
      <c r="J627" s="56">
        <v>37410</v>
      </c>
      <c r="K627" s="107">
        <f t="shared" si="18"/>
        <v>4106723</v>
      </c>
      <c r="L627" s="56"/>
      <c r="M627" s="57">
        <v>259889</v>
      </c>
      <c r="N627" s="57">
        <v>0</v>
      </c>
      <c r="O627" s="56">
        <v>53500</v>
      </c>
      <c r="P627" s="107">
        <f t="shared" si="19"/>
        <v>313389</v>
      </c>
      <c r="Q627" s="56"/>
      <c r="R627" s="57">
        <v>3094058</v>
      </c>
      <c r="S627" s="58">
        <v>-23369</v>
      </c>
      <c r="T627" s="58">
        <v>3070689</v>
      </c>
    </row>
    <row r="628" spans="1:20">
      <c r="A628" s="54">
        <v>96821</v>
      </c>
      <c r="B628" s="55" t="s">
        <v>2004</v>
      </c>
      <c r="C628" s="106">
        <v>1.3247000000000001E-3</v>
      </c>
      <c r="D628" s="106">
        <v>1.3630999999999999E-3</v>
      </c>
      <c r="E628" s="56">
        <v>2023775</v>
      </c>
      <c r="F628" s="56"/>
      <c r="G628" s="57">
        <v>116588</v>
      </c>
      <c r="H628" s="107">
        <v>491375</v>
      </c>
      <c r="I628" s="57">
        <v>289023</v>
      </c>
      <c r="J628" s="56">
        <v>0</v>
      </c>
      <c r="K628" s="107">
        <f t="shared" si="18"/>
        <v>896986</v>
      </c>
      <c r="L628" s="56"/>
      <c r="M628" s="57">
        <v>57287</v>
      </c>
      <c r="N628" s="57">
        <v>0</v>
      </c>
      <c r="O628" s="56">
        <v>134629</v>
      </c>
      <c r="P628" s="107">
        <f t="shared" si="19"/>
        <v>191916</v>
      </c>
      <c r="Q628" s="56"/>
      <c r="R628" s="57">
        <v>682014</v>
      </c>
      <c r="S628" s="58">
        <v>-54878</v>
      </c>
      <c r="T628" s="58">
        <v>627136</v>
      </c>
    </row>
    <row r="629" spans="1:20">
      <c r="A629" s="54">
        <v>96831</v>
      </c>
      <c r="B629" s="55" t="s">
        <v>2005</v>
      </c>
      <c r="C629" s="106">
        <v>9.1929999999999996E-4</v>
      </c>
      <c r="D629" s="106">
        <v>9.2400000000000002E-4</v>
      </c>
      <c r="E629" s="56">
        <v>1404436</v>
      </c>
      <c r="F629" s="56"/>
      <c r="G629" s="57">
        <v>80909</v>
      </c>
      <c r="H629" s="107">
        <v>340998</v>
      </c>
      <c r="I629" s="57">
        <v>200573</v>
      </c>
      <c r="J629" s="56">
        <v>37726</v>
      </c>
      <c r="K629" s="107">
        <f t="shared" si="18"/>
        <v>660206</v>
      </c>
      <c r="L629" s="56"/>
      <c r="M629" s="57">
        <v>39755</v>
      </c>
      <c r="N629" s="57">
        <v>0</v>
      </c>
      <c r="O629" s="56">
        <v>0</v>
      </c>
      <c r="P629" s="107">
        <f t="shared" si="19"/>
        <v>39755</v>
      </c>
      <c r="Q629" s="56"/>
      <c r="R629" s="57">
        <v>473296</v>
      </c>
      <c r="S629" s="58">
        <v>19380</v>
      </c>
      <c r="T629" s="58">
        <v>492676</v>
      </c>
    </row>
    <row r="630" spans="1:20">
      <c r="A630" s="54">
        <v>96901</v>
      </c>
      <c r="B630" s="55" t="s">
        <v>2006</v>
      </c>
      <c r="C630" s="106">
        <v>8.9820000000000004E-4</v>
      </c>
      <c r="D630" s="106">
        <v>8.1610000000000005E-4</v>
      </c>
      <c r="E630" s="56">
        <v>1372201</v>
      </c>
      <c r="F630" s="56"/>
      <c r="G630" s="57">
        <v>79051</v>
      </c>
      <c r="H630" s="107">
        <v>333172</v>
      </c>
      <c r="I630" s="57">
        <v>195969</v>
      </c>
      <c r="J630" s="56">
        <v>85745</v>
      </c>
      <c r="K630" s="107">
        <f t="shared" si="18"/>
        <v>693937</v>
      </c>
      <c r="L630" s="56"/>
      <c r="M630" s="57">
        <v>38843</v>
      </c>
      <c r="N630" s="57">
        <v>0</v>
      </c>
      <c r="O630" s="56">
        <v>0</v>
      </c>
      <c r="P630" s="107">
        <f t="shared" si="19"/>
        <v>38843</v>
      </c>
      <c r="Q630" s="56"/>
      <c r="R630" s="57">
        <v>462433</v>
      </c>
      <c r="S630" s="58">
        <v>28927</v>
      </c>
      <c r="T630" s="58">
        <v>491360</v>
      </c>
    </row>
    <row r="631" spans="1:20">
      <c r="A631" s="54">
        <v>96911</v>
      </c>
      <c r="B631" s="55" t="s">
        <v>2007</v>
      </c>
      <c r="C631" s="106">
        <v>2.3999999999999999E-6</v>
      </c>
      <c r="D631" s="106">
        <v>3.7000000000000002E-6</v>
      </c>
      <c r="E631" s="56">
        <v>3667</v>
      </c>
      <c r="F631" s="56"/>
      <c r="G631" s="57">
        <v>211</v>
      </c>
      <c r="H631" s="107">
        <v>890</v>
      </c>
      <c r="I631" s="57">
        <v>524</v>
      </c>
      <c r="J631" s="56">
        <v>2464</v>
      </c>
      <c r="K631" s="107">
        <f t="shared" si="18"/>
        <v>4089</v>
      </c>
      <c r="L631" s="56"/>
      <c r="M631" s="57">
        <v>104</v>
      </c>
      <c r="N631" s="57">
        <v>0</v>
      </c>
      <c r="O631" s="56">
        <v>2953</v>
      </c>
      <c r="P631" s="107">
        <f t="shared" si="19"/>
        <v>3057</v>
      </c>
      <c r="Q631" s="56"/>
      <c r="R631" s="57">
        <v>1236</v>
      </c>
      <c r="S631" s="58">
        <v>521</v>
      </c>
      <c r="T631" s="58">
        <f>1756+1</f>
        <v>1757</v>
      </c>
    </row>
    <row r="632" spans="1:20">
      <c r="A632" s="54">
        <v>96912</v>
      </c>
      <c r="B632" s="55" t="s">
        <v>2008</v>
      </c>
      <c r="C632" s="106">
        <v>6.0099999999999997E-5</v>
      </c>
      <c r="D632" s="106">
        <v>6.0999999999999999E-5</v>
      </c>
      <c r="E632" s="56">
        <v>91816</v>
      </c>
      <c r="F632" s="56"/>
      <c r="G632" s="57">
        <v>5289</v>
      </c>
      <c r="H632" s="107">
        <v>22293</v>
      </c>
      <c r="I632" s="57">
        <v>13113</v>
      </c>
      <c r="J632" s="56">
        <v>4325</v>
      </c>
      <c r="K632" s="107">
        <f t="shared" si="18"/>
        <v>45020</v>
      </c>
      <c r="L632" s="56"/>
      <c r="M632" s="57">
        <v>2599</v>
      </c>
      <c r="N632" s="57">
        <v>0</v>
      </c>
      <c r="O632" s="56">
        <v>3739</v>
      </c>
      <c r="P632" s="107">
        <f t="shared" si="19"/>
        <v>6338</v>
      </c>
      <c r="Q632" s="56"/>
      <c r="R632" s="57">
        <v>30942</v>
      </c>
      <c r="S632" s="58">
        <v>2307</v>
      </c>
      <c r="T632" s="58">
        <v>33249</v>
      </c>
    </row>
    <row r="633" spans="1:20">
      <c r="A633" s="54">
        <v>96918</v>
      </c>
      <c r="B633" s="55" t="s">
        <v>2009</v>
      </c>
      <c r="C633" s="106">
        <v>3.8000000000000002E-5</v>
      </c>
      <c r="D633" s="106">
        <v>4.0500000000000002E-5</v>
      </c>
      <c r="E633" s="56">
        <v>58053</v>
      </c>
      <c r="F633" s="56"/>
      <c r="G633" s="57">
        <v>3344</v>
      </c>
      <c r="H633" s="107">
        <v>14095</v>
      </c>
      <c r="I633" s="57">
        <v>8291</v>
      </c>
      <c r="J633" s="56">
        <v>7713</v>
      </c>
      <c r="K633" s="107">
        <f t="shared" si="18"/>
        <v>33443</v>
      </c>
      <c r="L633" s="56"/>
      <c r="M633" s="57">
        <v>1643</v>
      </c>
      <c r="N633" s="57">
        <v>0</v>
      </c>
      <c r="O633" s="56">
        <v>884</v>
      </c>
      <c r="P633" s="107">
        <f t="shared" si="19"/>
        <v>2527</v>
      </c>
      <c r="Q633" s="56"/>
      <c r="R633" s="57">
        <v>19564</v>
      </c>
      <c r="S633" s="58">
        <v>5648</v>
      </c>
      <c r="T633" s="58">
        <v>25212</v>
      </c>
    </row>
    <row r="634" spans="1:20">
      <c r="A634" s="54">
        <v>97001</v>
      </c>
      <c r="B634" s="55" t="s">
        <v>2010</v>
      </c>
      <c r="C634" s="106">
        <v>1.3778E-3</v>
      </c>
      <c r="D634" s="106">
        <v>1.3641E-3</v>
      </c>
      <c r="E634" s="56">
        <v>2104897</v>
      </c>
      <c r="F634" s="56"/>
      <c r="G634" s="57">
        <v>121262</v>
      </c>
      <c r="H634" s="107">
        <v>511071</v>
      </c>
      <c r="I634" s="57">
        <v>300608</v>
      </c>
      <c r="J634" s="56">
        <v>148744</v>
      </c>
      <c r="K634" s="107">
        <f t="shared" si="18"/>
        <v>1081685</v>
      </c>
      <c r="L634" s="56"/>
      <c r="M634" s="57">
        <v>59583</v>
      </c>
      <c r="N634" s="57">
        <v>0</v>
      </c>
      <c r="O634" s="56">
        <v>11523</v>
      </c>
      <c r="P634" s="107">
        <f t="shared" si="19"/>
        <v>71106</v>
      </c>
      <c r="Q634" s="56"/>
      <c r="R634" s="57">
        <v>709352</v>
      </c>
      <c r="S634" s="58">
        <v>36360</v>
      </c>
      <c r="T634" s="58">
        <v>745712</v>
      </c>
    </row>
    <row r="635" spans="1:20">
      <c r="A635" s="54">
        <v>97002</v>
      </c>
      <c r="B635" s="55" t="s">
        <v>2011</v>
      </c>
      <c r="C635" s="106">
        <v>5.2610000000000005E-4</v>
      </c>
      <c r="D635" s="106">
        <v>4.6589999999999999E-4</v>
      </c>
      <c r="E635" s="56">
        <v>803735</v>
      </c>
      <c r="F635" s="56"/>
      <c r="G635" s="57">
        <v>46303</v>
      </c>
      <c r="H635" s="107">
        <v>195148</v>
      </c>
      <c r="I635" s="57">
        <v>114784</v>
      </c>
      <c r="J635" s="56">
        <v>16832</v>
      </c>
      <c r="K635" s="107">
        <f t="shared" si="18"/>
        <v>373067</v>
      </c>
      <c r="L635" s="56"/>
      <c r="M635" s="57">
        <v>22751</v>
      </c>
      <c r="N635" s="57">
        <v>0</v>
      </c>
      <c r="O635" s="56">
        <v>7002</v>
      </c>
      <c r="P635" s="107">
        <f t="shared" si="19"/>
        <v>29753</v>
      </c>
      <c r="Q635" s="56"/>
      <c r="R635" s="57">
        <v>270859</v>
      </c>
      <c r="S635" s="58">
        <v>10025</v>
      </c>
      <c r="T635" s="58">
        <f>280885-1</f>
        <v>280884</v>
      </c>
    </row>
    <row r="636" spans="1:20">
      <c r="A636" s="54">
        <v>97004</v>
      </c>
      <c r="B636" s="55" t="s">
        <v>2012</v>
      </c>
      <c r="C636" s="106">
        <v>9.7999999999999993E-6</v>
      </c>
      <c r="D636" s="106">
        <v>1.0900000000000001E-5</v>
      </c>
      <c r="E636" s="56">
        <v>14972</v>
      </c>
      <c r="F636" s="56"/>
      <c r="G636" s="57">
        <v>863</v>
      </c>
      <c r="H636" s="107">
        <v>3635</v>
      </c>
      <c r="I636" s="57">
        <v>2138</v>
      </c>
      <c r="J636" s="56">
        <v>4225</v>
      </c>
      <c r="K636" s="107">
        <f t="shared" si="18"/>
        <v>10861</v>
      </c>
      <c r="L636" s="56"/>
      <c r="M636" s="57">
        <v>424</v>
      </c>
      <c r="N636" s="57">
        <v>0</v>
      </c>
      <c r="O636" s="56">
        <v>0</v>
      </c>
      <c r="P636" s="107">
        <f t="shared" si="19"/>
        <v>424</v>
      </c>
      <c r="Q636" s="56"/>
      <c r="R636" s="57">
        <v>5045</v>
      </c>
      <c r="S636" s="58">
        <v>1862</v>
      </c>
      <c r="T636" s="58">
        <f>6908-1</f>
        <v>6907</v>
      </c>
    </row>
    <row r="637" spans="1:20">
      <c r="A637" s="54">
        <v>97005</v>
      </c>
      <c r="B637" s="55" t="s">
        <v>2013</v>
      </c>
      <c r="C637" s="106">
        <v>2.83E-5</v>
      </c>
      <c r="D637" s="106">
        <v>1.42E-5</v>
      </c>
      <c r="E637" s="56">
        <v>43235</v>
      </c>
      <c r="F637" s="56"/>
      <c r="G637" s="57">
        <v>2491</v>
      </c>
      <c r="H637" s="107">
        <v>10498</v>
      </c>
      <c r="I637" s="57">
        <v>6174</v>
      </c>
      <c r="J637" s="56">
        <v>13129</v>
      </c>
      <c r="K637" s="107">
        <f t="shared" si="18"/>
        <v>32292</v>
      </c>
      <c r="L637" s="56"/>
      <c r="M637" s="57">
        <v>1224</v>
      </c>
      <c r="N637" s="57">
        <v>0</v>
      </c>
      <c r="O637" s="56">
        <v>1368</v>
      </c>
      <c r="P637" s="107">
        <f t="shared" si="19"/>
        <v>2592</v>
      </c>
      <c r="Q637" s="56"/>
      <c r="R637" s="57">
        <v>14570</v>
      </c>
      <c r="S637" s="58">
        <v>3211</v>
      </c>
      <c r="T637" s="58">
        <v>17781</v>
      </c>
    </row>
    <row r="638" spans="1:20">
      <c r="A638" s="54">
        <v>97008</v>
      </c>
      <c r="B638" s="55" t="s">
        <v>2014</v>
      </c>
      <c r="C638" s="106">
        <v>2.8659999999999997E-4</v>
      </c>
      <c r="D638" s="106">
        <v>2.7530000000000002E-4</v>
      </c>
      <c r="E638" s="56">
        <v>437845</v>
      </c>
      <c r="F638" s="56"/>
      <c r="G638" s="57">
        <v>25224</v>
      </c>
      <c r="H638" s="107">
        <v>106309</v>
      </c>
      <c r="I638" s="57">
        <v>62530</v>
      </c>
      <c r="J638" s="56">
        <v>12387</v>
      </c>
      <c r="K638" s="107">
        <f t="shared" si="18"/>
        <v>206450</v>
      </c>
      <c r="L638" s="56"/>
      <c r="M638" s="57">
        <v>12394</v>
      </c>
      <c r="N638" s="57">
        <v>0</v>
      </c>
      <c r="O638" s="56">
        <v>3127</v>
      </c>
      <c r="P638" s="107">
        <f t="shared" si="19"/>
        <v>15521</v>
      </c>
      <c r="Q638" s="56"/>
      <c r="R638" s="57">
        <v>147554</v>
      </c>
      <c r="S638" s="58">
        <v>7175</v>
      </c>
      <c r="T638" s="58">
        <v>154729</v>
      </c>
    </row>
    <row r="639" spans="1:20">
      <c r="A639" s="54">
        <v>97010</v>
      </c>
      <c r="B639" s="55" t="s">
        <v>2015</v>
      </c>
      <c r="C639" s="106">
        <v>0</v>
      </c>
      <c r="D639" s="106">
        <v>0</v>
      </c>
      <c r="E639" s="56">
        <v>0</v>
      </c>
      <c r="F639" s="56"/>
      <c r="G639" s="57">
        <v>0</v>
      </c>
      <c r="H639" s="107">
        <v>0</v>
      </c>
      <c r="I639" s="57">
        <v>0</v>
      </c>
      <c r="J639" s="56">
        <v>0</v>
      </c>
      <c r="K639" s="107">
        <f t="shared" si="18"/>
        <v>0</v>
      </c>
      <c r="L639" s="56"/>
      <c r="M639" s="57">
        <v>0</v>
      </c>
      <c r="N639" s="57">
        <v>0</v>
      </c>
      <c r="O639" s="56">
        <v>2056902</v>
      </c>
      <c r="P639" s="107">
        <f t="shared" si="19"/>
        <v>2056902</v>
      </c>
      <c r="Q639" s="56"/>
      <c r="R639" s="57">
        <v>0</v>
      </c>
      <c r="S639" s="58">
        <v>-1282454</v>
      </c>
      <c r="T639" s="58">
        <v>-1282454</v>
      </c>
    </row>
    <row r="640" spans="1:20">
      <c r="A640" s="54">
        <v>97011</v>
      </c>
      <c r="B640" s="55" t="s">
        <v>2016</v>
      </c>
      <c r="C640" s="106">
        <v>1.9166999999999999E-3</v>
      </c>
      <c r="D640" s="106">
        <v>1.9522999999999999E-3</v>
      </c>
      <c r="E640" s="56">
        <v>2928187</v>
      </c>
      <c r="F640" s="56"/>
      <c r="G640" s="57">
        <v>168691</v>
      </c>
      <c r="H640" s="107">
        <v>710967</v>
      </c>
      <c r="I640" s="57">
        <v>418186</v>
      </c>
      <c r="J640" s="56">
        <v>0</v>
      </c>
      <c r="K640" s="107">
        <f t="shared" si="18"/>
        <v>1297844</v>
      </c>
      <c r="L640" s="56"/>
      <c r="M640" s="57">
        <v>82888</v>
      </c>
      <c r="N640" s="57">
        <v>0</v>
      </c>
      <c r="O640" s="56">
        <v>92552</v>
      </c>
      <c r="P640" s="107">
        <f t="shared" si="19"/>
        <v>175440</v>
      </c>
      <c r="Q640" s="56"/>
      <c r="R640" s="57">
        <v>986801</v>
      </c>
      <c r="S640" s="58">
        <v>-38711</v>
      </c>
      <c r="T640" s="58">
        <v>948090</v>
      </c>
    </row>
    <row r="641" spans="1:20">
      <c r="A641" s="54">
        <v>97012</v>
      </c>
      <c r="B641" s="55" t="s">
        <v>2017</v>
      </c>
      <c r="C641" s="106">
        <v>2.9499999999999999E-5</v>
      </c>
      <c r="D641" s="106">
        <v>2.4499999999999999E-5</v>
      </c>
      <c r="E641" s="56">
        <v>45068</v>
      </c>
      <c r="F641" s="56"/>
      <c r="G641" s="57">
        <v>2596</v>
      </c>
      <c r="H641" s="107">
        <v>10942</v>
      </c>
      <c r="I641" s="57">
        <v>6436</v>
      </c>
      <c r="J641" s="56">
        <v>4949</v>
      </c>
      <c r="K641" s="107">
        <f t="shared" si="18"/>
        <v>24923</v>
      </c>
      <c r="L641" s="56"/>
      <c r="M641" s="57">
        <v>1276</v>
      </c>
      <c r="N641" s="57">
        <v>0</v>
      </c>
      <c r="O641" s="56">
        <v>1149</v>
      </c>
      <c r="P641" s="107">
        <f t="shared" si="19"/>
        <v>2425</v>
      </c>
      <c r="Q641" s="56"/>
      <c r="R641" s="57">
        <v>15188</v>
      </c>
      <c r="S641" s="58">
        <v>752</v>
      </c>
      <c r="T641" s="58">
        <v>15940</v>
      </c>
    </row>
    <row r="642" spans="1:20">
      <c r="A642" s="54">
        <v>97013</v>
      </c>
      <c r="B642" s="55" t="s">
        <v>2018</v>
      </c>
      <c r="C642" s="106">
        <v>1.8199999999999999E-5</v>
      </c>
      <c r="D642" s="106">
        <v>2.0699999999999998E-5</v>
      </c>
      <c r="E642" s="56">
        <v>27805</v>
      </c>
      <c r="F642" s="56"/>
      <c r="G642" s="57">
        <v>1602</v>
      </c>
      <c r="H642" s="107">
        <v>6751</v>
      </c>
      <c r="I642" s="57">
        <v>3971</v>
      </c>
      <c r="J642" s="56">
        <v>6233</v>
      </c>
      <c r="K642" s="107">
        <f t="shared" si="18"/>
        <v>18557</v>
      </c>
      <c r="L642" s="56"/>
      <c r="M642" s="57">
        <v>787</v>
      </c>
      <c r="N642" s="57">
        <v>0</v>
      </c>
      <c r="O642" s="56">
        <v>431</v>
      </c>
      <c r="P642" s="107">
        <f t="shared" si="19"/>
        <v>1218</v>
      </c>
      <c r="Q642" s="56"/>
      <c r="R642" s="57">
        <v>9370</v>
      </c>
      <c r="S642" s="58">
        <v>2046</v>
      </c>
      <c r="T642" s="58">
        <v>11416</v>
      </c>
    </row>
    <row r="643" spans="1:20">
      <c r="A643" s="54">
        <v>97015</v>
      </c>
      <c r="B643" s="55" t="s">
        <v>2019</v>
      </c>
      <c r="C643" s="106">
        <v>4.1499999999999999E-5</v>
      </c>
      <c r="D643" s="106">
        <v>5.3699999999999997E-5</v>
      </c>
      <c r="E643" s="56">
        <v>63401</v>
      </c>
      <c r="F643" s="56"/>
      <c r="G643" s="57">
        <v>3652</v>
      </c>
      <c r="H643" s="107">
        <v>15394</v>
      </c>
      <c r="I643" s="57">
        <v>9054</v>
      </c>
      <c r="J643" s="56">
        <v>4608</v>
      </c>
      <c r="K643" s="107">
        <f t="shared" si="18"/>
        <v>32708</v>
      </c>
      <c r="L643" s="56"/>
      <c r="M643" s="57">
        <v>1795</v>
      </c>
      <c r="N643" s="57">
        <v>0</v>
      </c>
      <c r="O643" s="56">
        <v>5783</v>
      </c>
      <c r="P643" s="107">
        <f t="shared" si="19"/>
        <v>7578</v>
      </c>
      <c r="Q643" s="56"/>
      <c r="R643" s="57">
        <v>21366</v>
      </c>
      <c r="S643" s="58">
        <v>26</v>
      </c>
      <c r="T643" s="58">
        <v>21392</v>
      </c>
    </row>
    <row r="644" spans="1:20">
      <c r="A644" s="54">
        <v>97018</v>
      </c>
      <c r="B644" s="55" t="s">
        <v>2020</v>
      </c>
      <c r="C644" s="106">
        <v>8.6000000000000007E-6</v>
      </c>
      <c r="D644" s="106">
        <v>9.3999999999999998E-6</v>
      </c>
      <c r="E644" s="56">
        <v>13138</v>
      </c>
      <c r="F644" s="56"/>
      <c r="G644" s="57">
        <v>757</v>
      </c>
      <c r="H644" s="107">
        <v>3190</v>
      </c>
      <c r="I644" s="57">
        <v>1876</v>
      </c>
      <c r="J644" s="56">
        <v>6833</v>
      </c>
      <c r="K644" s="107">
        <f t="shared" si="18"/>
        <v>12656</v>
      </c>
      <c r="L644" s="56"/>
      <c r="M644" s="57">
        <v>372</v>
      </c>
      <c r="N644" s="57">
        <v>0</v>
      </c>
      <c r="O644" s="56">
        <v>0</v>
      </c>
      <c r="P644" s="107">
        <f t="shared" si="19"/>
        <v>372</v>
      </c>
      <c r="Q644" s="56"/>
      <c r="R644" s="57">
        <v>4428</v>
      </c>
      <c r="S644" s="58">
        <v>2806</v>
      </c>
      <c r="T644" s="58">
        <v>7234</v>
      </c>
    </row>
    <row r="645" spans="1:20">
      <c r="A645" s="54">
        <v>97101</v>
      </c>
      <c r="B645" s="55" t="s">
        <v>2021</v>
      </c>
      <c r="C645" s="106">
        <v>2.5790000000000001E-3</v>
      </c>
      <c r="D645" s="106">
        <v>2.6029E-3</v>
      </c>
      <c r="E645" s="56">
        <v>3939998</v>
      </c>
      <c r="F645" s="56"/>
      <c r="G645" s="57">
        <v>226980</v>
      </c>
      <c r="H645" s="107">
        <v>956636</v>
      </c>
      <c r="I645" s="57">
        <v>562686</v>
      </c>
      <c r="J645" s="56">
        <v>22549</v>
      </c>
      <c r="K645" s="107">
        <f t="shared" si="18"/>
        <v>1768851</v>
      </c>
      <c r="L645" s="56"/>
      <c r="M645" s="57">
        <v>111529</v>
      </c>
      <c r="N645" s="57">
        <v>0</v>
      </c>
      <c r="O645" s="56">
        <v>6937</v>
      </c>
      <c r="P645" s="107">
        <f t="shared" si="19"/>
        <v>118466</v>
      </c>
      <c r="Q645" s="56"/>
      <c r="R645" s="57">
        <v>1327783</v>
      </c>
      <c r="S645" s="58">
        <v>3541</v>
      </c>
      <c r="T645" s="58">
        <v>1331324</v>
      </c>
    </row>
    <row r="646" spans="1:20">
      <c r="A646" s="54">
        <v>97104</v>
      </c>
      <c r="B646" s="55" t="s">
        <v>2022</v>
      </c>
      <c r="C646" s="106">
        <v>5.4299999999999998E-5</v>
      </c>
      <c r="D646" s="106">
        <v>5.6799999999999998E-5</v>
      </c>
      <c r="E646" s="56">
        <v>82955</v>
      </c>
      <c r="F646" s="56"/>
      <c r="G646" s="57">
        <v>4779</v>
      </c>
      <c r="H646" s="107">
        <v>20142</v>
      </c>
      <c r="I646" s="57">
        <v>11847</v>
      </c>
      <c r="J646" s="56">
        <v>11700</v>
      </c>
      <c r="K646" s="107">
        <f t="shared" si="18"/>
        <v>48468</v>
      </c>
      <c r="L646" s="56"/>
      <c r="M646" s="57">
        <v>2348</v>
      </c>
      <c r="N646" s="57">
        <v>0</v>
      </c>
      <c r="O646" s="56">
        <v>0</v>
      </c>
      <c r="P646" s="107">
        <f t="shared" si="19"/>
        <v>2348</v>
      </c>
      <c r="Q646" s="56"/>
      <c r="R646" s="57">
        <v>27956</v>
      </c>
      <c r="S646" s="58">
        <v>6133</v>
      </c>
      <c r="T646" s="58">
        <v>34089</v>
      </c>
    </row>
    <row r="647" spans="1:20">
      <c r="A647" s="54">
        <v>97111</v>
      </c>
      <c r="B647" s="55" t="s">
        <v>2023</v>
      </c>
      <c r="C647" s="106">
        <v>2.8200000000000002E-4</v>
      </c>
      <c r="D647" s="106">
        <v>2.7099999999999997E-4</v>
      </c>
      <c r="E647" s="56">
        <v>430818</v>
      </c>
      <c r="F647" s="56"/>
      <c r="G647" s="57">
        <v>24819</v>
      </c>
      <c r="H647" s="107">
        <v>104603</v>
      </c>
      <c r="I647" s="57">
        <v>61527</v>
      </c>
      <c r="J647" s="56">
        <v>7621</v>
      </c>
      <c r="K647" s="107">
        <f t="shared" ref="K647:K710" si="20">G647+H647+I647+J647</f>
        <v>198570</v>
      </c>
      <c r="L647" s="56"/>
      <c r="M647" s="57">
        <v>12195</v>
      </c>
      <c r="N647" s="57">
        <v>0</v>
      </c>
      <c r="O647" s="56">
        <v>20335</v>
      </c>
      <c r="P647" s="107">
        <f t="shared" ref="P647:P710" si="21">M647+N647+O647</f>
        <v>32530</v>
      </c>
      <c r="Q647" s="56"/>
      <c r="R647" s="57">
        <v>145186</v>
      </c>
      <c r="S647" s="58">
        <v>-1416</v>
      </c>
      <c r="T647" s="58">
        <v>143770</v>
      </c>
    </row>
    <row r="648" spans="1:20">
      <c r="A648" s="54">
        <v>97121</v>
      </c>
      <c r="B648" s="55" t="s">
        <v>2024</v>
      </c>
      <c r="C648" s="106">
        <v>1.3640000000000001E-4</v>
      </c>
      <c r="D648" s="106">
        <v>1.2070000000000001E-4</v>
      </c>
      <c r="E648" s="56">
        <v>208381</v>
      </c>
      <c r="F648" s="56"/>
      <c r="G648" s="57">
        <v>12005</v>
      </c>
      <c r="H648" s="107">
        <v>50595</v>
      </c>
      <c r="I648" s="57">
        <v>29760</v>
      </c>
      <c r="J648" s="56">
        <v>13649</v>
      </c>
      <c r="K648" s="107">
        <f t="shared" si="20"/>
        <v>106009</v>
      </c>
      <c r="L648" s="56"/>
      <c r="M648" s="57">
        <v>5899</v>
      </c>
      <c r="N648" s="57">
        <v>0</v>
      </c>
      <c r="O648" s="56">
        <v>10026</v>
      </c>
      <c r="P648" s="107">
        <f t="shared" si="21"/>
        <v>15925</v>
      </c>
      <c r="Q648" s="56"/>
      <c r="R648" s="57">
        <v>70225</v>
      </c>
      <c r="S648" s="58">
        <v>-1103</v>
      </c>
      <c r="T648" s="58">
        <v>69122</v>
      </c>
    </row>
    <row r="649" spans="1:20">
      <c r="A649" s="54">
        <v>97131</v>
      </c>
      <c r="B649" s="55" t="s">
        <v>2025</v>
      </c>
      <c r="C649" s="106">
        <v>7.358E-4</v>
      </c>
      <c r="D649" s="106">
        <v>6.2969999999999996E-4</v>
      </c>
      <c r="E649" s="56">
        <v>1124099</v>
      </c>
      <c r="F649" s="56"/>
      <c r="G649" s="57">
        <v>64758</v>
      </c>
      <c r="H649" s="107">
        <v>272933</v>
      </c>
      <c r="I649" s="57">
        <v>160537</v>
      </c>
      <c r="J649" s="56">
        <v>29703</v>
      </c>
      <c r="K649" s="107">
        <f t="shared" si="20"/>
        <v>527931</v>
      </c>
      <c r="L649" s="56"/>
      <c r="M649" s="57">
        <v>31820</v>
      </c>
      <c r="N649" s="57">
        <v>0</v>
      </c>
      <c r="O649" s="56">
        <v>2383</v>
      </c>
      <c r="P649" s="107">
        <f t="shared" si="21"/>
        <v>34203</v>
      </c>
      <c r="Q649" s="56"/>
      <c r="R649" s="57">
        <v>378822</v>
      </c>
      <c r="S649" s="58">
        <v>7857</v>
      </c>
      <c r="T649" s="58">
        <v>386679</v>
      </c>
    </row>
    <row r="650" spans="1:20">
      <c r="A650" s="54">
        <v>97201</v>
      </c>
      <c r="B650" s="55" t="s">
        <v>2026</v>
      </c>
      <c r="C650" s="106">
        <v>5.2689999999999996E-4</v>
      </c>
      <c r="D650" s="106">
        <v>4.9439999999999998E-4</v>
      </c>
      <c r="E650" s="56">
        <v>804957</v>
      </c>
      <c r="F650" s="56"/>
      <c r="G650" s="57">
        <v>46373</v>
      </c>
      <c r="H650" s="107">
        <v>195445</v>
      </c>
      <c r="I650" s="57">
        <v>114959</v>
      </c>
      <c r="J650" s="56">
        <v>43529</v>
      </c>
      <c r="K650" s="107">
        <f t="shared" si="20"/>
        <v>400306</v>
      </c>
      <c r="L650" s="56"/>
      <c r="M650" s="57">
        <v>22786</v>
      </c>
      <c r="N650" s="57">
        <v>0</v>
      </c>
      <c r="O650" s="56">
        <v>1877</v>
      </c>
      <c r="P650" s="107">
        <f t="shared" si="21"/>
        <v>24663</v>
      </c>
      <c r="Q650" s="56"/>
      <c r="R650" s="57">
        <v>271271</v>
      </c>
      <c r="S650" s="58">
        <v>10950</v>
      </c>
      <c r="T650" s="58">
        <f>282222-1</f>
        <v>282221</v>
      </c>
    </row>
    <row r="651" spans="1:20">
      <c r="A651" s="54">
        <v>97211</v>
      </c>
      <c r="B651" s="55" t="s">
        <v>2027</v>
      </c>
      <c r="C651" s="106">
        <v>1.5980000000000001E-4</v>
      </c>
      <c r="D651" s="106">
        <v>1.4119999999999999E-4</v>
      </c>
      <c r="E651" s="56">
        <v>244130</v>
      </c>
      <c r="F651" s="56"/>
      <c r="G651" s="57">
        <v>14064</v>
      </c>
      <c r="H651" s="107">
        <v>59275</v>
      </c>
      <c r="I651" s="57">
        <v>34865</v>
      </c>
      <c r="J651" s="56">
        <v>16009</v>
      </c>
      <c r="K651" s="107">
        <f t="shared" si="20"/>
        <v>124213</v>
      </c>
      <c r="L651" s="56"/>
      <c r="M651" s="57">
        <v>6911</v>
      </c>
      <c r="N651" s="57">
        <v>0</v>
      </c>
      <c r="O651" s="56">
        <v>12120</v>
      </c>
      <c r="P651" s="107">
        <f t="shared" si="21"/>
        <v>19031</v>
      </c>
      <c r="Q651" s="56"/>
      <c r="R651" s="57">
        <v>82272</v>
      </c>
      <c r="S651" s="58">
        <v>347</v>
      </c>
      <c r="T651" s="58">
        <v>82619</v>
      </c>
    </row>
    <row r="652" spans="1:20">
      <c r="A652" s="54">
        <v>97213</v>
      </c>
      <c r="B652" s="55" t="s">
        <v>2028</v>
      </c>
      <c r="C652" s="106">
        <v>3.9100000000000002E-5</v>
      </c>
      <c r="D652" s="106">
        <v>3.8300000000000003E-5</v>
      </c>
      <c r="E652" s="56">
        <v>59734</v>
      </c>
      <c r="F652" s="56"/>
      <c r="G652" s="57">
        <v>3441</v>
      </c>
      <c r="H652" s="107">
        <v>14504</v>
      </c>
      <c r="I652" s="57">
        <v>8531</v>
      </c>
      <c r="J652" s="56">
        <v>6715</v>
      </c>
      <c r="K652" s="107">
        <f t="shared" si="20"/>
        <v>33191</v>
      </c>
      <c r="L652" s="56"/>
      <c r="M652" s="57">
        <v>1691</v>
      </c>
      <c r="N652" s="57">
        <v>0</v>
      </c>
      <c r="O652" s="56">
        <v>495</v>
      </c>
      <c r="P652" s="107">
        <f t="shared" si="21"/>
        <v>2186</v>
      </c>
      <c r="Q652" s="56"/>
      <c r="R652" s="57">
        <v>20130</v>
      </c>
      <c r="S652" s="58">
        <v>2057</v>
      </c>
      <c r="T652" s="58">
        <v>22187</v>
      </c>
    </row>
    <row r="653" spans="1:20">
      <c r="A653" s="54">
        <v>97217</v>
      </c>
      <c r="B653" s="55" t="s">
        <v>2029</v>
      </c>
      <c r="C653" s="106">
        <v>4.6E-6</v>
      </c>
      <c r="D653" s="106">
        <v>4.8999999999999997E-6</v>
      </c>
      <c r="E653" s="56">
        <v>7028</v>
      </c>
      <c r="F653" s="56"/>
      <c r="G653" s="57">
        <v>405</v>
      </c>
      <c r="H653" s="107">
        <v>1706</v>
      </c>
      <c r="I653" s="57">
        <v>1004</v>
      </c>
      <c r="J653" s="56">
        <v>8215</v>
      </c>
      <c r="K653" s="107">
        <f t="shared" si="20"/>
        <v>11330</v>
      </c>
      <c r="L653" s="56"/>
      <c r="M653" s="57">
        <v>199</v>
      </c>
      <c r="N653" s="57">
        <v>0</v>
      </c>
      <c r="O653" s="56">
        <v>0</v>
      </c>
      <c r="P653" s="107">
        <f t="shared" si="21"/>
        <v>199</v>
      </c>
      <c r="Q653" s="56"/>
      <c r="R653" s="57">
        <v>2368</v>
      </c>
      <c r="S653" s="58">
        <v>3286</v>
      </c>
      <c r="T653" s="58">
        <v>5654</v>
      </c>
    </row>
    <row r="654" spans="1:20">
      <c r="A654" s="54">
        <v>97221</v>
      </c>
      <c r="B654" s="55" t="s">
        <v>2030</v>
      </c>
      <c r="C654" s="106">
        <v>7.1999999999999997E-6</v>
      </c>
      <c r="D654" s="106">
        <v>6.1999999999999999E-6</v>
      </c>
      <c r="E654" s="56">
        <v>11000</v>
      </c>
      <c r="F654" s="56"/>
      <c r="G654" s="57">
        <v>634</v>
      </c>
      <c r="H654" s="107">
        <v>2670</v>
      </c>
      <c r="I654" s="57">
        <v>1571</v>
      </c>
      <c r="J654" s="56">
        <v>8086</v>
      </c>
      <c r="K654" s="107">
        <f t="shared" si="20"/>
        <v>12961</v>
      </c>
      <c r="L654" s="56"/>
      <c r="M654" s="57">
        <v>311</v>
      </c>
      <c r="N654" s="57">
        <v>0</v>
      </c>
      <c r="O654" s="56">
        <v>0</v>
      </c>
      <c r="P654" s="107">
        <f t="shared" si="21"/>
        <v>311</v>
      </c>
      <c r="Q654" s="56"/>
      <c r="R654" s="57">
        <v>3707</v>
      </c>
      <c r="S654" s="58">
        <v>3119</v>
      </c>
      <c r="T654" s="58">
        <v>6826</v>
      </c>
    </row>
    <row r="655" spans="1:20">
      <c r="A655" s="54">
        <v>97301</v>
      </c>
      <c r="B655" s="55" t="s">
        <v>2031</v>
      </c>
      <c r="C655" s="106">
        <v>2.5135999999999999E-3</v>
      </c>
      <c r="D655" s="106">
        <v>2.5742E-3</v>
      </c>
      <c r="E655" s="56">
        <v>3840085</v>
      </c>
      <c r="F655" s="56"/>
      <c r="G655" s="57">
        <v>221224</v>
      </c>
      <c r="H655" s="107">
        <v>932377</v>
      </c>
      <c r="I655" s="57">
        <v>548417</v>
      </c>
      <c r="J655" s="56">
        <v>23710</v>
      </c>
      <c r="K655" s="107">
        <f t="shared" si="20"/>
        <v>1725728</v>
      </c>
      <c r="L655" s="56"/>
      <c r="M655" s="57">
        <v>108701</v>
      </c>
      <c r="N655" s="57">
        <v>0</v>
      </c>
      <c r="O655" s="56">
        <v>56463</v>
      </c>
      <c r="P655" s="107">
        <f t="shared" si="21"/>
        <v>165164</v>
      </c>
      <c r="Q655" s="56"/>
      <c r="R655" s="57">
        <v>1294112</v>
      </c>
      <c r="S655" s="58">
        <v>-10667</v>
      </c>
      <c r="T655" s="58">
        <v>1283445</v>
      </c>
    </row>
    <row r="656" spans="1:20">
      <c r="A656" s="54">
        <v>97304</v>
      </c>
      <c r="B656" s="55" t="s">
        <v>2032</v>
      </c>
      <c r="C656" s="106">
        <v>1.6799999999999998E-5</v>
      </c>
      <c r="D656" s="106">
        <v>1.7600000000000001E-5</v>
      </c>
      <c r="E656" s="56">
        <v>25666</v>
      </c>
      <c r="F656" s="56"/>
      <c r="G656" s="57">
        <v>1479</v>
      </c>
      <c r="H656" s="107">
        <v>6232</v>
      </c>
      <c r="I656" s="57">
        <v>3665</v>
      </c>
      <c r="J656" s="56">
        <v>8739</v>
      </c>
      <c r="K656" s="107">
        <f t="shared" si="20"/>
        <v>20115</v>
      </c>
      <c r="L656" s="56"/>
      <c r="M656" s="57">
        <v>727</v>
      </c>
      <c r="N656" s="57">
        <v>0</v>
      </c>
      <c r="O656" s="56">
        <v>0</v>
      </c>
      <c r="P656" s="107">
        <f t="shared" si="21"/>
        <v>727</v>
      </c>
      <c r="Q656" s="56"/>
      <c r="R656" s="57">
        <v>8649</v>
      </c>
      <c r="S656" s="58">
        <v>3503</v>
      </c>
      <c r="T656" s="58">
        <f>12153-1</f>
        <v>12152</v>
      </c>
    </row>
    <row r="657" spans="1:20">
      <c r="A657" s="54">
        <v>97311</v>
      </c>
      <c r="B657" s="55" t="s">
        <v>2033</v>
      </c>
      <c r="C657" s="106">
        <v>9.1799999999999998E-4</v>
      </c>
      <c r="D657" s="106">
        <v>9.5E-4</v>
      </c>
      <c r="E657" s="56">
        <v>1402450</v>
      </c>
      <c r="F657" s="56"/>
      <c r="G657" s="57">
        <v>80794</v>
      </c>
      <c r="H657" s="107">
        <v>340516</v>
      </c>
      <c r="I657" s="57">
        <v>200289</v>
      </c>
      <c r="J657" s="56">
        <v>0</v>
      </c>
      <c r="K657" s="107">
        <f t="shared" si="20"/>
        <v>621599</v>
      </c>
      <c r="L657" s="56"/>
      <c r="M657" s="57">
        <v>39699</v>
      </c>
      <c r="N657" s="57">
        <v>0</v>
      </c>
      <c r="O657" s="56">
        <v>96844</v>
      </c>
      <c r="P657" s="107">
        <f t="shared" si="21"/>
        <v>136543</v>
      </c>
      <c r="Q657" s="56"/>
      <c r="R657" s="57">
        <v>472627</v>
      </c>
      <c r="S657" s="58">
        <v>-42048</v>
      </c>
      <c r="T657" s="58">
        <v>430579</v>
      </c>
    </row>
    <row r="658" spans="1:20">
      <c r="A658" s="54">
        <v>97401</v>
      </c>
      <c r="B658" s="55" t="s">
        <v>2034</v>
      </c>
      <c r="C658" s="106">
        <v>7.1303E-3</v>
      </c>
      <c r="D658" s="106">
        <v>6.9633000000000004E-3</v>
      </c>
      <c r="E658" s="56">
        <v>10893123</v>
      </c>
      <c r="F658" s="56"/>
      <c r="G658" s="57">
        <v>627545</v>
      </c>
      <c r="H658" s="107">
        <v>2644864</v>
      </c>
      <c r="I658" s="57">
        <v>1555689</v>
      </c>
      <c r="J658" s="56">
        <v>151378</v>
      </c>
      <c r="K658" s="107">
        <f t="shared" si="20"/>
        <v>4979476</v>
      </c>
      <c r="L658" s="56"/>
      <c r="M658" s="57">
        <v>308350</v>
      </c>
      <c r="N658" s="57">
        <v>0</v>
      </c>
      <c r="O658" s="56">
        <v>83194</v>
      </c>
      <c r="P658" s="107">
        <f t="shared" si="21"/>
        <v>391544</v>
      </c>
      <c r="Q658" s="56"/>
      <c r="R658" s="57">
        <v>3670992</v>
      </c>
      <c r="S658" s="58">
        <v>-21617</v>
      </c>
      <c r="T658" s="58">
        <v>3649375</v>
      </c>
    </row>
    <row r="659" spans="1:20">
      <c r="A659" s="54">
        <v>97402</v>
      </c>
      <c r="B659" s="55" t="s">
        <v>2035</v>
      </c>
      <c r="C659" s="106">
        <v>4.8000000000000001E-5</v>
      </c>
      <c r="D659" s="106">
        <v>4.4700000000000002E-5</v>
      </c>
      <c r="E659" s="56">
        <v>73331</v>
      </c>
      <c r="F659" s="56"/>
      <c r="G659" s="57">
        <v>4225</v>
      </c>
      <c r="H659" s="107">
        <v>17804</v>
      </c>
      <c r="I659" s="57">
        <v>10473</v>
      </c>
      <c r="J659" s="56">
        <v>15704</v>
      </c>
      <c r="K659" s="107">
        <f t="shared" si="20"/>
        <v>48206</v>
      </c>
      <c r="L659" s="56"/>
      <c r="M659" s="57">
        <v>2076</v>
      </c>
      <c r="N659" s="57">
        <v>0</v>
      </c>
      <c r="O659" s="56">
        <v>0</v>
      </c>
      <c r="P659" s="107">
        <f t="shared" si="21"/>
        <v>2076</v>
      </c>
      <c r="Q659" s="56"/>
      <c r="R659" s="57">
        <v>24713</v>
      </c>
      <c r="S659" s="58">
        <v>5283</v>
      </c>
      <c r="T659" s="58">
        <f>29995+1</f>
        <v>29996</v>
      </c>
    </row>
    <row r="660" spans="1:20">
      <c r="A660" s="54">
        <v>97404</v>
      </c>
      <c r="B660" s="55" t="s">
        <v>2036</v>
      </c>
      <c r="C660" s="106">
        <v>2.1010000000000001E-4</v>
      </c>
      <c r="D660" s="106">
        <v>2.1049999999999999E-4</v>
      </c>
      <c r="E660" s="56">
        <v>320975</v>
      </c>
      <c r="F660" s="56"/>
      <c r="G660" s="57">
        <v>18491</v>
      </c>
      <c r="H660" s="107">
        <v>77933</v>
      </c>
      <c r="I660" s="57">
        <v>45840</v>
      </c>
      <c r="J660" s="56">
        <v>983</v>
      </c>
      <c r="K660" s="107">
        <f t="shared" si="20"/>
        <v>143247</v>
      </c>
      <c r="L660" s="56"/>
      <c r="M660" s="57">
        <v>9086</v>
      </c>
      <c r="N660" s="57">
        <v>0</v>
      </c>
      <c r="O660" s="56">
        <v>21173</v>
      </c>
      <c r="P660" s="107">
        <f t="shared" si="21"/>
        <v>30259</v>
      </c>
      <c r="Q660" s="56"/>
      <c r="R660" s="57">
        <v>108169</v>
      </c>
      <c r="S660" s="58">
        <v>-6084</v>
      </c>
      <c r="T660" s="58">
        <f>102084+1</f>
        <v>102085</v>
      </c>
    </row>
    <row r="661" spans="1:20">
      <c r="A661" s="54">
        <v>97405</v>
      </c>
      <c r="B661" s="55" t="s">
        <v>2037</v>
      </c>
      <c r="C661" s="106">
        <v>1.091E-4</v>
      </c>
      <c r="D661" s="106">
        <v>1.087E-4</v>
      </c>
      <c r="E661" s="56">
        <v>166675</v>
      </c>
      <c r="F661" s="56"/>
      <c r="G661" s="57">
        <v>9602</v>
      </c>
      <c r="H661" s="107">
        <v>40468</v>
      </c>
      <c r="I661" s="57">
        <v>23803</v>
      </c>
      <c r="J661" s="56">
        <v>26973</v>
      </c>
      <c r="K661" s="107">
        <f t="shared" si="20"/>
        <v>100846</v>
      </c>
      <c r="L661" s="56"/>
      <c r="M661" s="57">
        <v>4718</v>
      </c>
      <c r="N661" s="57">
        <v>0</v>
      </c>
      <c r="O661" s="56">
        <v>4890</v>
      </c>
      <c r="P661" s="107">
        <f t="shared" si="21"/>
        <v>9608</v>
      </c>
      <c r="Q661" s="56"/>
      <c r="R661" s="57">
        <v>56169</v>
      </c>
      <c r="S661" s="58">
        <v>4747</v>
      </c>
      <c r="T661" s="58">
        <v>60916</v>
      </c>
    </row>
    <row r="662" spans="1:20">
      <c r="A662" s="54">
        <v>97408</v>
      </c>
      <c r="B662" s="55" t="s">
        <v>2038</v>
      </c>
      <c r="C662" s="106">
        <v>4.4499999999999997E-5</v>
      </c>
      <c r="D662" s="106">
        <v>4.9299999999999999E-5</v>
      </c>
      <c r="E662" s="56">
        <v>67984</v>
      </c>
      <c r="F662" s="56"/>
      <c r="G662" s="57">
        <v>3916</v>
      </c>
      <c r="H662" s="107">
        <v>16507</v>
      </c>
      <c r="I662" s="57">
        <v>9709</v>
      </c>
      <c r="J662" s="56">
        <v>7648</v>
      </c>
      <c r="K662" s="107">
        <f t="shared" si="20"/>
        <v>37780</v>
      </c>
      <c r="L662" s="56"/>
      <c r="M662" s="57">
        <v>1924</v>
      </c>
      <c r="N662" s="57">
        <v>0</v>
      </c>
      <c r="O662" s="56">
        <v>0</v>
      </c>
      <c r="P662" s="107">
        <f t="shared" si="21"/>
        <v>1924</v>
      </c>
      <c r="Q662" s="56"/>
      <c r="R662" s="57">
        <v>22911</v>
      </c>
      <c r="S662" s="58">
        <v>2984</v>
      </c>
      <c r="T662" s="58">
        <v>25895</v>
      </c>
    </row>
    <row r="663" spans="1:20">
      <c r="A663" s="54">
        <v>97411</v>
      </c>
      <c r="B663" s="55" t="s">
        <v>2039</v>
      </c>
      <c r="C663" s="106">
        <v>6.6379000000000004E-3</v>
      </c>
      <c r="D663" s="106">
        <v>6.7269000000000001E-3</v>
      </c>
      <c r="E663" s="56">
        <v>10140873</v>
      </c>
      <c r="F663" s="56"/>
      <c r="G663" s="57">
        <v>584208</v>
      </c>
      <c r="H663" s="107">
        <v>2462217</v>
      </c>
      <c r="I663" s="57">
        <v>1448257</v>
      </c>
      <c r="J663" s="56">
        <v>0</v>
      </c>
      <c r="K663" s="107">
        <f t="shared" si="20"/>
        <v>4494682</v>
      </c>
      <c r="L663" s="56"/>
      <c r="M663" s="57">
        <v>287056</v>
      </c>
      <c r="N663" s="57">
        <v>0</v>
      </c>
      <c r="O663" s="56">
        <v>679489</v>
      </c>
      <c r="P663" s="107">
        <f t="shared" si="21"/>
        <v>966545</v>
      </c>
      <c r="Q663" s="56"/>
      <c r="R663" s="57">
        <v>3417483</v>
      </c>
      <c r="S663" s="58">
        <v>-317873</v>
      </c>
      <c r="T663" s="58">
        <v>3099610</v>
      </c>
    </row>
    <row r="664" spans="1:20">
      <c r="A664" s="54">
        <v>97412</v>
      </c>
      <c r="B664" s="55" t="s">
        <v>2040</v>
      </c>
      <c r="C664" s="106">
        <v>4.5082000000000004E-3</v>
      </c>
      <c r="D664" s="106">
        <v>4.424E-3</v>
      </c>
      <c r="E664" s="56">
        <v>6887281</v>
      </c>
      <c r="F664" s="56"/>
      <c r="G664" s="57">
        <v>396771</v>
      </c>
      <c r="H664" s="107">
        <v>1672240</v>
      </c>
      <c r="I664" s="57">
        <v>983599</v>
      </c>
      <c r="J664" s="56">
        <v>229685</v>
      </c>
      <c r="K664" s="107">
        <f t="shared" si="20"/>
        <v>3282295</v>
      </c>
      <c r="L664" s="56"/>
      <c r="M664" s="57">
        <v>194957</v>
      </c>
      <c r="N664" s="57">
        <v>0</v>
      </c>
      <c r="O664" s="56">
        <v>0</v>
      </c>
      <c r="P664" s="107">
        <f t="shared" si="21"/>
        <v>194957</v>
      </c>
      <c r="Q664" s="56"/>
      <c r="R664" s="57">
        <v>2321020</v>
      </c>
      <c r="S664" s="58">
        <v>85525</v>
      </c>
      <c r="T664" s="58">
        <v>2406545</v>
      </c>
    </row>
    <row r="665" spans="1:20">
      <c r="A665" s="54">
        <v>97413</v>
      </c>
      <c r="B665" s="55" t="s">
        <v>2041</v>
      </c>
      <c r="C665" s="106">
        <v>2.6570000000000001E-4</v>
      </c>
      <c r="D665" s="106">
        <v>2.7910000000000001E-4</v>
      </c>
      <c r="E665" s="56">
        <v>405916</v>
      </c>
      <c r="F665" s="56"/>
      <c r="G665" s="57">
        <v>23385</v>
      </c>
      <c r="H665" s="107">
        <v>98557</v>
      </c>
      <c r="I665" s="57">
        <v>57970</v>
      </c>
      <c r="J665" s="56">
        <v>7437</v>
      </c>
      <c r="K665" s="107">
        <f t="shared" si="20"/>
        <v>187349</v>
      </c>
      <c r="L665" s="56"/>
      <c r="M665" s="57">
        <v>11490</v>
      </c>
      <c r="N665" s="57">
        <v>0</v>
      </c>
      <c r="O665" s="56">
        <v>5304</v>
      </c>
      <c r="P665" s="107">
        <f t="shared" si="21"/>
        <v>16794</v>
      </c>
      <c r="Q665" s="56"/>
      <c r="R665" s="57">
        <v>136794</v>
      </c>
      <c r="S665" s="58">
        <v>-2913</v>
      </c>
      <c r="T665" s="58">
        <v>133881</v>
      </c>
    </row>
    <row r="666" spans="1:20">
      <c r="A666" s="54">
        <v>97421</v>
      </c>
      <c r="B666" s="55" t="s">
        <v>2042</v>
      </c>
      <c r="C666" s="106">
        <v>4.2890000000000002E-4</v>
      </c>
      <c r="D666" s="106">
        <v>4.1120000000000002E-4</v>
      </c>
      <c r="E666" s="56">
        <v>655240</v>
      </c>
      <c r="F666" s="56"/>
      <c r="G666" s="57">
        <v>37748</v>
      </c>
      <c r="H666" s="107">
        <v>159093</v>
      </c>
      <c r="I666" s="57">
        <v>93577</v>
      </c>
      <c r="J666" s="56">
        <v>8155</v>
      </c>
      <c r="K666" s="107">
        <f t="shared" si="20"/>
        <v>298573</v>
      </c>
      <c r="L666" s="56"/>
      <c r="M666" s="57">
        <v>18548</v>
      </c>
      <c r="N666" s="57">
        <v>0</v>
      </c>
      <c r="O666" s="56">
        <v>24127</v>
      </c>
      <c r="P666" s="107">
        <f t="shared" si="21"/>
        <v>42675</v>
      </c>
      <c r="Q666" s="56"/>
      <c r="R666" s="57">
        <v>220817</v>
      </c>
      <c r="S666" s="58">
        <v>-14066</v>
      </c>
      <c r="T666" s="58">
        <v>206751</v>
      </c>
    </row>
    <row r="667" spans="1:20">
      <c r="A667" s="54">
        <v>97423</v>
      </c>
      <c r="B667" s="55" t="s">
        <v>2043</v>
      </c>
      <c r="C667" s="106">
        <v>4.3600000000000003E-5</v>
      </c>
      <c r="D667" s="106">
        <v>4.5800000000000002E-5</v>
      </c>
      <c r="E667" s="56">
        <v>66609</v>
      </c>
      <c r="F667" s="56"/>
      <c r="G667" s="57">
        <v>3837</v>
      </c>
      <c r="H667" s="107">
        <v>16173</v>
      </c>
      <c r="I667" s="57">
        <v>9513</v>
      </c>
      <c r="J667" s="56">
        <v>35421</v>
      </c>
      <c r="K667" s="107">
        <f t="shared" si="20"/>
        <v>64944</v>
      </c>
      <c r="L667" s="56"/>
      <c r="M667" s="57">
        <v>1885</v>
      </c>
      <c r="N667" s="57">
        <v>0</v>
      </c>
      <c r="O667" s="56">
        <v>0</v>
      </c>
      <c r="P667" s="107">
        <f t="shared" si="21"/>
        <v>1885</v>
      </c>
      <c r="Q667" s="56"/>
      <c r="R667" s="57">
        <v>22447</v>
      </c>
      <c r="S667" s="58">
        <v>12225</v>
      </c>
      <c r="T667" s="58">
        <v>34672</v>
      </c>
    </row>
    <row r="668" spans="1:20">
      <c r="A668" s="54">
        <v>97431</v>
      </c>
      <c r="B668" s="55" t="s">
        <v>2044</v>
      </c>
      <c r="C668" s="106">
        <v>8.5599999999999994E-5</v>
      </c>
      <c r="D668" s="106">
        <v>8.5199999999999997E-5</v>
      </c>
      <c r="E668" s="56">
        <v>130773</v>
      </c>
      <c r="F668" s="56"/>
      <c r="G668" s="57">
        <v>7534</v>
      </c>
      <c r="H668" s="107">
        <v>31751</v>
      </c>
      <c r="I668" s="57">
        <v>18676</v>
      </c>
      <c r="J668" s="56">
        <v>6440</v>
      </c>
      <c r="K668" s="107">
        <f t="shared" si="20"/>
        <v>64401</v>
      </c>
      <c r="L668" s="56"/>
      <c r="M668" s="57">
        <v>3702</v>
      </c>
      <c r="N668" s="57">
        <v>0</v>
      </c>
      <c r="O668" s="56">
        <v>0</v>
      </c>
      <c r="P668" s="107">
        <f t="shared" si="21"/>
        <v>3702</v>
      </c>
      <c r="Q668" s="56"/>
      <c r="R668" s="57">
        <v>44071</v>
      </c>
      <c r="S668" s="58">
        <v>2026</v>
      </c>
      <c r="T668" s="58">
        <v>46097</v>
      </c>
    </row>
    <row r="669" spans="1:20">
      <c r="A669" s="54">
        <v>97441</v>
      </c>
      <c r="B669" s="55" t="s">
        <v>2045</v>
      </c>
      <c r="C669" s="106">
        <v>7.5799999999999999E-5</v>
      </c>
      <c r="D669" s="106">
        <v>7.0500000000000006E-5</v>
      </c>
      <c r="E669" s="56">
        <v>115801</v>
      </c>
      <c r="F669" s="56"/>
      <c r="G669" s="57">
        <v>6671</v>
      </c>
      <c r="H669" s="107">
        <v>28117</v>
      </c>
      <c r="I669" s="57">
        <v>16538</v>
      </c>
      <c r="J669" s="56">
        <v>202</v>
      </c>
      <c r="K669" s="107">
        <f t="shared" si="20"/>
        <v>51528</v>
      </c>
      <c r="L669" s="56"/>
      <c r="M669" s="57">
        <v>3278</v>
      </c>
      <c r="N669" s="57">
        <v>0</v>
      </c>
      <c r="O669" s="56">
        <v>7671</v>
      </c>
      <c r="P669" s="107">
        <f t="shared" si="21"/>
        <v>10949</v>
      </c>
      <c r="Q669" s="56"/>
      <c r="R669" s="57">
        <v>39025</v>
      </c>
      <c r="S669" s="58">
        <v>-2235</v>
      </c>
      <c r="T669" s="58">
        <v>36790</v>
      </c>
    </row>
    <row r="670" spans="1:20">
      <c r="A670" s="54">
        <v>97451</v>
      </c>
      <c r="B670" s="55" t="s">
        <v>2046</v>
      </c>
      <c r="C670" s="106">
        <v>5.5820000000000002E-4</v>
      </c>
      <c r="D670" s="106">
        <v>6.1039999999999998E-4</v>
      </c>
      <c r="E670" s="56">
        <v>852775</v>
      </c>
      <c r="F670" s="56"/>
      <c r="G670" s="57">
        <v>49128</v>
      </c>
      <c r="H670" s="107">
        <v>207055</v>
      </c>
      <c r="I670" s="57">
        <v>121788</v>
      </c>
      <c r="J670" s="56">
        <v>19770</v>
      </c>
      <c r="K670" s="107">
        <f t="shared" si="20"/>
        <v>397741</v>
      </c>
      <c r="L670" s="56"/>
      <c r="M670" s="57">
        <v>24139</v>
      </c>
      <c r="N670" s="57">
        <v>0</v>
      </c>
      <c r="O670" s="56">
        <v>47630</v>
      </c>
      <c r="P670" s="107">
        <f t="shared" si="21"/>
        <v>71769</v>
      </c>
      <c r="Q670" s="56"/>
      <c r="R670" s="57">
        <v>287386</v>
      </c>
      <c r="S670" s="58">
        <v>-2772</v>
      </c>
      <c r="T670" s="58">
        <v>284614</v>
      </c>
    </row>
    <row r="671" spans="1:20">
      <c r="A671" s="54">
        <v>97461</v>
      </c>
      <c r="B671" s="55" t="s">
        <v>2047</v>
      </c>
      <c r="C671" s="106">
        <v>5.5650000000000003E-4</v>
      </c>
      <c r="D671" s="106">
        <v>5.1869999999999998E-4</v>
      </c>
      <c r="E671" s="56">
        <v>850178</v>
      </c>
      <c r="F671" s="56"/>
      <c r="G671" s="57">
        <v>48978</v>
      </c>
      <c r="H671" s="107">
        <v>206424</v>
      </c>
      <c r="I671" s="57">
        <v>121417</v>
      </c>
      <c r="J671" s="56">
        <v>5855</v>
      </c>
      <c r="K671" s="107">
        <f t="shared" si="20"/>
        <v>382674</v>
      </c>
      <c r="L671" s="56"/>
      <c r="M671" s="57">
        <v>24066</v>
      </c>
      <c r="N671" s="57">
        <v>0</v>
      </c>
      <c r="O671" s="56">
        <v>31609</v>
      </c>
      <c r="P671" s="107">
        <f t="shared" si="21"/>
        <v>55675</v>
      </c>
      <c r="Q671" s="56"/>
      <c r="R671" s="57">
        <v>286511</v>
      </c>
      <c r="S671" s="58">
        <v>-11321</v>
      </c>
      <c r="T671" s="58">
        <v>275190</v>
      </c>
    </row>
    <row r="672" spans="1:20">
      <c r="A672" s="54">
        <v>97463</v>
      </c>
      <c r="B672" s="55" t="s">
        <v>2048</v>
      </c>
      <c r="C672" s="106">
        <v>4.1100000000000003E-5</v>
      </c>
      <c r="D672" s="106">
        <v>5.0099999999999998E-5</v>
      </c>
      <c r="E672" s="56">
        <v>62789</v>
      </c>
      <c r="F672" s="56"/>
      <c r="G672" s="57">
        <v>3617</v>
      </c>
      <c r="H672" s="107">
        <v>15246</v>
      </c>
      <c r="I672" s="57">
        <v>8967</v>
      </c>
      <c r="J672" s="56">
        <v>1420</v>
      </c>
      <c r="K672" s="107">
        <f t="shared" si="20"/>
        <v>29250</v>
      </c>
      <c r="L672" s="56"/>
      <c r="M672" s="57">
        <v>1777</v>
      </c>
      <c r="N672" s="57">
        <v>0</v>
      </c>
      <c r="O672" s="56">
        <v>12499</v>
      </c>
      <c r="P672" s="107">
        <f t="shared" si="21"/>
        <v>14276</v>
      </c>
      <c r="Q672" s="56"/>
      <c r="R672" s="57">
        <v>21160</v>
      </c>
      <c r="S672" s="58">
        <v>-2447</v>
      </c>
      <c r="T672" s="58">
        <v>18713</v>
      </c>
    </row>
    <row r="673" spans="1:20">
      <c r="A673" s="54">
        <v>97471</v>
      </c>
      <c r="B673" s="55" t="s">
        <v>2049</v>
      </c>
      <c r="C673" s="106">
        <v>1.22E-5</v>
      </c>
      <c r="D673" s="106">
        <v>1.27E-5</v>
      </c>
      <c r="E673" s="56">
        <v>18638</v>
      </c>
      <c r="F673" s="56"/>
      <c r="G673" s="57">
        <v>1074</v>
      </c>
      <c r="H673" s="107">
        <v>4526</v>
      </c>
      <c r="I673" s="57">
        <v>2662</v>
      </c>
      <c r="J673" s="56">
        <v>6770</v>
      </c>
      <c r="K673" s="107">
        <f t="shared" si="20"/>
        <v>15032</v>
      </c>
      <c r="L673" s="56"/>
      <c r="M673" s="57">
        <v>528</v>
      </c>
      <c r="N673" s="57">
        <v>0</v>
      </c>
      <c r="O673" s="56">
        <v>0</v>
      </c>
      <c r="P673" s="107">
        <f t="shared" si="21"/>
        <v>528</v>
      </c>
      <c r="Q673" s="56"/>
      <c r="R673" s="57">
        <v>6281</v>
      </c>
      <c r="S673" s="58">
        <v>2621</v>
      </c>
      <c r="T673" s="58">
        <v>8902</v>
      </c>
    </row>
    <row r="674" spans="1:20">
      <c r="A674" s="54">
        <v>97481</v>
      </c>
      <c r="B674" s="55" t="s">
        <v>2050</v>
      </c>
      <c r="C674" s="106">
        <v>9.9000000000000001E-6</v>
      </c>
      <c r="D674" s="106">
        <v>1.63E-5</v>
      </c>
      <c r="E674" s="56">
        <v>15124</v>
      </c>
      <c r="F674" s="56"/>
      <c r="G674" s="57">
        <v>871</v>
      </c>
      <c r="H674" s="107">
        <v>3672</v>
      </c>
      <c r="I674" s="57">
        <v>2160</v>
      </c>
      <c r="J674" s="56">
        <v>3592</v>
      </c>
      <c r="K674" s="107">
        <f t="shared" si="20"/>
        <v>10295</v>
      </c>
      <c r="L674" s="56"/>
      <c r="M674" s="57">
        <v>428</v>
      </c>
      <c r="N674" s="57">
        <v>0</v>
      </c>
      <c r="O674" s="56">
        <v>3115</v>
      </c>
      <c r="P674" s="107">
        <f t="shared" si="21"/>
        <v>3543</v>
      </c>
      <c r="Q674" s="56"/>
      <c r="R674" s="57">
        <v>5097</v>
      </c>
      <c r="S674" s="58">
        <v>1594</v>
      </c>
      <c r="T674" s="58">
        <v>6691</v>
      </c>
    </row>
    <row r="675" spans="1:20">
      <c r="A675" s="54">
        <v>97491</v>
      </c>
      <c r="B675" s="55" t="s">
        <v>2051</v>
      </c>
      <c r="C675" s="106">
        <v>0</v>
      </c>
      <c r="D675" s="106">
        <v>0</v>
      </c>
      <c r="E675" s="56">
        <v>0</v>
      </c>
      <c r="F675" s="56"/>
      <c r="G675" s="57">
        <v>0</v>
      </c>
      <c r="H675" s="107">
        <v>0</v>
      </c>
      <c r="I675" s="57">
        <v>0</v>
      </c>
      <c r="J675" s="56">
        <v>0</v>
      </c>
      <c r="K675" s="107">
        <f t="shared" si="20"/>
        <v>0</v>
      </c>
      <c r="L675" s="56"/>
      <c r="M675" s="57">
        <v>0</v>
      </c>
      <c r="N675" s="57">
        <v>0</v>
      </c>
      <c r="O675" s="56">
        <v>7849</v>
      </c>
      <c r="P675" s="107">
        <f t="shared" si="21"/>
        <v>7849</v>
      </c>
      <c r="Q675" s="56"/>
      <c r="R675" s="57">
        <v>0</v>
      </c>
      <c r="S675" s="58">
        <v>-4941</v>
      </c>
      <c r="T675" s="58">
        <v>-4941</v>
      </c>
    </row>
    <row r="676" spans="1:20">
      <c r="A676" s="54">
        <v>97501</v>
      </c>
      <c r="B676" s="55" t="s">
        <v>2052</v>
      </c>
      <c r="C676" s="106">
        <v>1.1000999999999999E-3</v>
      </c>
      <c r="D676" s="106">
        <v>9.6730000000000004E-4</v>
      </c>
      <c r="E676" s="56">
        <v>1680648</v>
      </c>
      <c r="F676" s="56"/>
      <c r="G676" s="57">
        <v>96821</v>
      </c>
      <c r="H676" s="107">
        <v>408064</v>
      </c>
      <c r="I676" s="57">
        <v>240020</v>
      </c>
      <c r="J676" s="56">
        <v>125050</v>
      </c>
      <c r="K676" s="107">
        <f t="shared" si="20"/>
        <v>869955</v>
      </c>
      <c r="L676" s="56"/>
      <c r="M676" s="57">
        <v>47574</v>
      </c>
      <c r="N676" s="57">
        <v>0</v>
      </c>
      <c r="O676" s="56">
        <v>0</v>
      </c>
      <c r="P676" s="107">
        <f t="shared" si="21"/>
        <v>47574</v>
      </c>
      <c r="Q676" s="56"/>
      <c r="R676" s="57">
        <v>566380</v>
      </c>
      <c r="S676" s="58">
        <v>44629</v>
      </c>
      <c r="T676" s="58">
        <v>611009</v>
      </c>
    </row>
    <row r="677" spans="1:20">
      <c r="A677" s="54">
        <v>97511</v>
      </c>
      <c r="B677" s="55" t="s">
        <v>2053</v>
      </c>
      <c r="C677" s="106">
        <v>2.3450000000000001E-4</v>
      </c>
      <c r="D677" s="106">
        <v>2.3220000000000001E-4</v>
      </c>
      <c r="E677" s="56">
        <v>358251</v>
      </c>
      <c r="F677" s="56"/>
      <c r="G677" s="57">
        <v>20639</v>
      </c>
      <c r="H677" s="107">
        <v>86984</v>
      </c>
      <c r="I677" s="57">
        <v>51163</v>
      </c>
      <c r="J677" s="56">
        <v>12835</v>
      </c>
      <c r="K677" s="107">
        <f t="shared" si="20"/>
        <v>171621</v>
      </c>
      <c r="L677" s="56"/>
      <c r="M677" s="57">
        <v>10141</v>
      </c>
      <c r="N677" s="57">
        <v>0</v>
      </c>
      <c r="O677" s="56">
        <v>844</v>
      </c>
      <c r="P677" s="107">
        <f t="shared" si="21"/>
        <v>10985</v>
      </c>
      <c r="Q677" s="56"/>
      <c r="R677" s="57">
        <v>120731</v>
      </c>
      <c r="S677" s="58">
        <v>3795</v>
      </c>
      <c r="T677" s="58">
        <v>124526</v>
      </c>
    </row>
    <row r="678" spans="1:20">
      <c r="A678" s="54">
        <v>97521</v>
      </c>
      <c r="B678" s="55" t="s">
        <v>2054</v>
      </c>
      <c r="C678" s="106">
        <v>1.2870000000000001E-4</v>
      </c>
      <c r="D678" s="106">
        <v>1.293E-4</v>
      </c>
      <c r="E678" s="56">
        <v>196618</v>
      </c>
      <c r="F678" s="56"/>
      <c r="G678" s="57">
        <v>11327</v>
      </c>
      <c r="H678" s="107">
        <v>47739</v>
      </c>
      <c r="I678" s="57">
        <v>28080</v>
      </c>
      <c r="J678" s="56">
        <v>2190</v>
      </c>
      <c r="K678" s="107">
        <f t="shared" si="20"/>
        <v>89336</v>
      </c>
      <c r="L678" s="56"/>
      <c r="M678" s="57">
        <v>5566</v>
      </c>
      <c r="N678" s="57">
        <v>0</v>
      </c>
      <c r="O678" s="56">
        <v>14589</v>
      </c>
      <c r="P678" s="107">
        <f t="shared" si="21"/>
        <v>20155</v>
      </c>
      <c r="Q678" s="56"/>
      <c r="R678" s="57">
        <v>66260</v>
      </c>
      <c r="S678" s="58">
        <v>-3628</v>
      </c>
      <c r="T678" s="58">
        <v>62632</v>
      </c>
    </row>
    <row r="679" spans="1:20">
      <c r="A679" s="54">
        <v>97531</v>
      </c>
      <c r="B679" s="55" t="s">
        <v>2055</v>
      </c>
      <c r="C679" s="106">
        <v>4.32E-5</v>
      </c>
      <c r="D679" s="106">
        <v>3.6300000000000001E-5</v>
      </c>
      <c r="E679" s="56">
        <v>65998</v>
      </c>
      <c r="F679" s="56"/>
      <c r="G679" s="57">
        <v>3802</v>
      </c>
      <c r="H679" s="107">
        <v>16025</v>
      </c>
      <c r="I679" s="57">
        <v>9425</v>
      </c>
      <c r="J679" s="56">
        <v>11185</v>
      </c>
      <c r="K679" s="107">
        <f t="shared" si="20"/>
        <v>40437</v>
      </c>
      <c r="L679" s="56"/>
      <c r="M679" s="57">
        <v>1868</v>
      </c>
      <c r="N679" s="57">
        <v>0</v>
      </c>
      <c r="O679" s="56">
        <v>9052</v>
      </c>
      <c r="P679" s="107">
        <f t="shared" si="21"/>
        <v>10920</v>
      </c>
      <c r="Q679" s="56"/>
      <c r="R679" s="57">
        <v>22241</v>
      </c>
      <c r="S679" s="58">
        <v>-2508</v>
      </c>
      <c r="T679" s="58">
        <f>19734-1</f>
        <v>19733</v>
      </c>
    </row>
    <row r="680" spans="1:20">
      <c r="A680" s="54">
        <v>97601</v>
      </c>
      <c r="B680" s="55" t="s">
        <v>2056</v>
      </c>
      <c r="C680" s="106">
        <v>5.1672000000000003E-3</v>
      </c>
      <c r="D680" s="106">
        <v>4.7808E-3</v>
      </c>
      <c r="E680" s="56">
        <v>7894050</v>
      </c>
      <c r="F680" s="56"/>
      <c r="G680" s="57">
        <v>454770</v>
      </c>
      <c r="H680" s="107">
        <v>1916685</v>
      </c>
      <c r="I680" s="57">
        <v>1127380</v>
      </c>
      <c r="J680" s="56">
        <v>190925</v>
      </c>
      <c r="K680" s="107">
        <f t="shared" si="20"/>
        <v>3689760</v>
      </c>
      <c r="L680" s="56"/>
      <c r="M680" s="57">
        <v>223456</v>
      </c>
      <c r="N680" s="57">
        <v>0</v>
      </c>
      <c r="O680" s="56">
        <v>91443</v>
      </c>
      <c r="P680" s="107">
        <f t="shared" si="21"/>
        <v>314899</v>
      </c>
      <c r="Q680" s="56"/>
      <c r="R680" s="57">
        <v>2660302</v>
      </c>
      <c r="S680" s="58">
        <v>1665</v>
      </c>
      <c r="T680" s="58">
        <v>2661967</v>
      </c>
    </row>
    <row r="681" spans="1:20">
      <c r="A681" s="54">
        <v>97607</v>
      </c>
      <c r="B681" s="55" t="s">
        <v>2057</v>
      </c>
      <c r="C681" s="106">
        <v>2.3200000000000001E-5</v>
      </c>
      <c r="D681" s="106">
        <v>1.9199999999999999E-5</v>
      </c>
      <c r="E681" s="56">
        <v>35443</v>
      </c>
      <c r="F681" s="56"/>
      <c r="G681" s="57">
        <v>2042</v>
      </c>
      <c r="H681" s="107">
        <v>8605</v>
      </c>
      <c r="I681" s="57">
        <v>5062</v>
      </c>
      <c r="J681" s="56">
        <v>13349</v>
      </c>
      <c r="K681" s="107">
        <f t="shared" si="20"/>
        <v>29058</v>
      </c>
      <c r="L681" s="56"/>
      <c r="M681" s="57">
        <v>1003</v>
      </c>
      <c r="N681" s="57">
        <v>0</v>
      </c>
      <c r="O681" s="56">
        <v>0</v>
      </c>
      <c r="P681" s="107">
        <f t="shared" si="21"/>
        <v>1003</v>
      </c>
      <c r="Q681" s="56"/>
      <c r="R681" s="57">
        <v>11944</v>
      </c>
      <c r="S681" s="58">
        <v>5427</v>
      </c>
      <c r="T681" s="58">
        <v>17371</v>
      </c>
    </row>
    <row r="682" spans="1:20">
      <c r="A682" s="54">
        <v>97611</v>
      </c>
      <c r="B682" s="55" t="s">
        <v>2058</v>
      </c>
      <c r="C682" s="106">
        <v>2.4767999999999999E-3</v>
      </c>
      <c r="D682" s="106">
        <v>2.5750999999999999E-3</v>
      </c>
      <c r="E682" s="56">
        <v>3783864</v>
      </c>
      <c r="F682" s="56"/>
      <c r="G682" s="57">
        <v>217986</v>
      </c>
      <c r="H682" s="107">
        <v>918727</v>
      </c>
      <c r="I682" s="57">
        <v>540388</v>
      </c>
      <c r="J682" s="56">
        <v>0</v>
      </c>
      <c r="K682" s="107">
        <f t="shared" si="20"/>
        <v>1677101</v>
      </c>
      <c r="L682" s="56"/>
      <c r="M682" s="57">
        <v>107109</v>
      </c>
      <c r="N682" s="57">
        <v>0</v>
      </c>
      <c r="O682" s="56">
        <v>276084</v>
      </c>
      <c r="P682" s="107">
        <f t="shared" si="21"/>
        <v>383193</v>
      </c>
      <c r="Q682" s="56"/>
      <c r="R682" s="57">
        <v>1275166</v>
      </c>
      <c r="S682" s="58">
        <v>-116051</v>
      </c>
      <c r="T682" s="58">
        <v>1159115</v>
      </c>
    </row>
    <row r="683" spans="1:20">
      <c r="A683" s="54">
        <v>97613</v>
      </c>
      <c r="B683" s="55" t="s">
        <v>2059</v>
      </c>
      <c r="C683" s="106">
        <v>1.1629999999999999E-4</v>
      </c>
      <c r="D683" s="106">
        <v>1.2459999999999999E-4</v>
      </c>
      <c r="E683" s="56">
        <v>177674</v>
      </c>
      <c r="F683" s="56"/>
      <c r="G683" s="57">
        <v>10236</v>
      </c>
      <c r="H683" s="107">
        <v>43140</v>
      </c>
      <c r="I683" s="57">
        <v>25374</v>
      </c>
      <c r="J683" s="56">
        <v>3969</v>
      </c>
      <c r="K683" s="107">
        <f t="shared" si="20"/>
        <v>82719</v>
      </c>
      <c r="L683" s="56"/>
      <c r="M683" s="57">
        <v>5029</v>
      </c>
      <c r="N683" s="57">
        <v>0</v>
      </c>
      <c r="O683" s="56">
        <v>3579</v>
      </c>
      <c r="P683" s="107">
        <f t="shared" si="21"/>
        <v>8608</v>
      </c>
      <c r="Q683" s="56"/>
      <c r="R683" s="57">
        <v>59876</v>
      </c>
      <c r="S683" s="58">
        <v>-543</v>
      </c>
      <c r="T683" s="58">
        <f>59334-1</f>
        <v>59333</v>
      </c>
    </row>
    <row r="684" spans="1:20">
      <c r="A684" s="54">
        <v>97621</v>
      </c>
      <c r="B684" s="55" t="s">
        <v>2060</v>
      </c>
      <c r="C684" s="106">
        <v>4.5179999999999998E-4</v>
      </c>
      <c r="D684" s="106">
        <v>4.7429999999999998E-4</v>
      </c>
      <c r="E684" s="56">
        <v>690225</v>
      </c>
      <c r="F684" s="56"/>
      <c r="G684" s="57">
        <v>39763</v>
      </c>
      <c r="H684" s="107">
        <v>167588</v>
      </c>
      <c r="I684" s="57">
        <v>98574</v>
      </c>
      <c r="J684" s="56">
        <v>15836</v>
      </c>
      <c r="K684" s="107">
        <f t="shared" si="20"/>
        <v>321761</v>
      </c>
      <c r="L684" s="56"/>
      <c r="M684" s="57">
        <v>19538</v>
      </c>
      <c r="N684" s="57">
        <v>0</v>
      </c>
      <c r="O684" s="56">
        <v>70017</v>
      </c>
      <c r="P684" s="107">
        <f t="shared" si="21"/>
        <v>89555</v>
      </c>
      <c r="Q684" s="56"/>
      <c r="R684" s="57">
        <v>232607</v>
      </c>
      <c r="S684" s="58">
        <v>-11992</v>
      </c>
      <c r="T684" s="58">
        <v>220615</v>
      </c>
    </row>
    <row r="685" spans="1:20">
      <c r="A685" s="54">
        <v>97623</v>
      </c>
      <c r="B685" s="55" t="s">
        <v>2061</v>
      </c>
      <c r="C685" s="106">
        <v>2.9499999999999999E-5</v>
      </c>
      <c r="D685" s="106">
        <v>2.9200000000000002E-5</v>
      </c>
      <c r="E685" s="56">
        <v>45068</v>
      </c>
      <c r="F685" s="56"/>
      <c r="G685" s="57">
        <v>2596</v>
      </c>
      <c r="H685" s="107">
        <v>10942</v>
      </c>
      <c r="I685" s="57">
        <v>6436</v>
      </c>
      <c r="J685" s="56">
        <v>6505</v>
      </c>
      <c r="K685" s="107">
        <f t="shared" si="20"/>
        <v>26479</v>
      </c>
      <c r="L685" s="56"/>
      <c r="M685" s="57">
        <v>1276</v>
      </c>
      <c r="N685" s="57">
        <v>0</v>
      </c>
      <c r="O685" s="56">
        <v>1742</v>
      </c>
      <c r="P685" s="107">
        <f t="shared" si="21"/>
        <v>3018</v>
      </c>
      <c r="Q685" s="56"/>
      <c r="R685" s="57">
        <v>15188</v>
      </c>
      <c r="S685" s="58">
        <v>3252</v>
      </c>
      <c r="T685" s="58">
        <v>18440</v>
      </c>
    </row>
    <row r="686" spans="1:20">
      <c r="A686" s="54">
        <v>97627</v>
      </c>
      <c r="B686" s="55" t="s">
        <v>2062</v>
      </c>
      <c r="C686" s="106">
        <v>9.7000000000000003E-6</v>
      </c>
      <c r="D686" s="106">
        <v>1.0200000000000001E-5</v>
      </c>
      <c r="E686" s="56">
        <v>14819</v>
      </c>
      <c r="F686" s="56"/>
      <c r="G686" s="57">
        <v>854</v>
      </c>
      <c r="H686" s="107">
        <v>3599</v>
      </c>
      <c r="I686" s="57">
        <v>2116</v>
      </c>
      <c r="J686" s="56">
        <v>714</v>
      </c>
      <c r="K686" s="107">
        <f t="shared" si="20"/>
        <v>7283</v>
      </c>
      <c r="L686" s="56"/>
      <c r="M686" s="57">
        <v>419</v>
      </c>
      <c r="N686" s="57">
        <v>0</v>
      </c>
      <c r="O686" s="56">
        <v>1008</v>
      </c>
      <c r="P686" s="107">
        <f t="shared" si="21"/>
        <v>1427</v>
      </c>
      <c r="Q686" s="56"/>
      <c r="R686" s="57">
        <v>4994</v>
      </c>
      <c r="S686" s="58">
        <v>-190</v>
      </c>
      <c r="T686" s="58">
        <v>4804</v>
      </c>
    </row>
    <row r="687" spans="1:20">
      <c r="A687" s="54">
        <v>97631</v>
      </c>
      <c r="B687" s="55" t="s">
        <v>2063</v>
      </c>
      <c r="C687" s="106">
        <v>2.051E-4</v>
      </c>
      <c r="D687" s="106">
        <v>2.009E-4</v>
      </c>
      <c r="E687" s="56">
        <v>313336</v>
      </c>
      <c r="F687" s="56"/>
      <c r="G687" s="57">
        <v>18051</v>
      </c>
      <c r="H687" s="107">
        <v>76078</v>
      </c>
      <c r="I687" s="57">
        <v>44749</v>
      </c>
      <c r="J687" s="56">
        <v>9311</v>
      </c>
      <c r="K687" s="107">
        <f t="shared" si="20"/>
        <v>148189</v>
      </c>
      <c r="L687" s="56"/>
      <c r="M687" s="57">
        <v>8870</v>
      </c>
      <c r="N687" s="57">
        <v>0</v>
      </c>
      <c r="O687" s="56">
        <v>3711</v>
      </c>
      <c r="P687" s="107">
        <f t="shared" si="21"/>
        <v>12581</v>
      </c>
      <c r="Q687" s="56"/>
      <c r="R687" s="57">
        <v>105595</v>
      </c>
      <c r="S687" s="58">
        <v>4564</v>
      </c>
      <c r="T687" s="58">
        <f>110158+1</f>
        <v>110159</v>
      </c>
    </row>
    <row r="688" spans="1:20">
      <c r="A688" s="54">
        <v>97637</v>
      </c>
      <c r="B688" s="55" t="s">
        <v>2064</v>
      </c>
      <c r="C688" s="106">
        <v>4.3000000000000003E-6</v>
      </c>
      <c r="D688" s="106">
        <v>4.7999999999999998E-6</v>
      </c>
      <c r="E688" s="56">
        <v>6569</v>
      </c>
      <c r="F688" s="56"/>
      <c r="G688" s="57">
        <v>378</v>
      </c>
      <c r="H688" s="107">
        <v>1595</v>
      </c>
      <c r="I688" s="57">
        <v>938</v>
      </c>
      <c r="J688" s="56">
        <v>944</v>
      </c>
      <c r="K688" s="107">
        <f t="shared" si="20"/>
        <v>3855</v>
      </c>
      <c r="L688" s="56"/>
      <c r="M688" s="57">
        <v>186</v>
      </c>
      <c r="N688" s="57">
        <v>0</v>
      </c>
      <c r="O688" s="56">
        <v>30</v>
      </c>
      <c r="P688" s="107">
        <f t="shared" si="21"/>
        <v>216</v>
      </c>
      <c r="Q688" s="56"/>
      <c r="R688" s="57">
        <v>2214</v>
      </c>
      <c r="S688" s="58">
        <v>380</v>
      </c>
      <c r="T688" s="58">
        <v>2594</v>
      </c>
    </row>
    <row r="689" spans="1:20">
      <c r="A689" s="54">
        <v>97641</v>
      </c>
      <c r="B689" s="55" t="s">
        <v>2065</v>
      </c>
      <c r="C689" s="106">
        <v>6.8899999999999994E-5</v>
      </c>
      <c r="D689" s="106">
        <v>6.9999999999999994E-5</v>
      </c>
      <c r="E689" s="56">
        <v>105260</v>
      </c>
      <c r="F689" s="56"/>
      <c r="G689" s="57">
        <v>6064</v>
      </c>
      <c r="H689" s="107">
        <v>25557</v>
      </c>
      <c r="I689" s="57">
        <v>15033</v>
      </c>
      <c r="J689" s="56">
        <v>13063</v>
      </c>
      <c r="K689" s="107">
        <f t="shared" si="20"/>
        <v>59717</v>
      </c>
      <c r="L689" s="56"/>
      <c r="M689" s="57">
        <v>2980</v>
      </c>
      <c r="N689" s="57">
        <v>0</v>
      </c>
      <c r="O689" s="56">
        <v>2889</v>
      </c>
      <c r="P689" s="107">
        <f t="shared" si="21"/>
        <v>5869</v>
      </c>
      <c r="Q689" s="56"/>
      <c r="R689" s="57">
        <v>35473</v>
      </c>
      <c r="S689" s="58">
        <v>2041</v>
      </c>
      <c r="T689" s="58">
        <v>37514</v>
      </c>
    </row>
    <row r="690" spans="1:20">
      <c r="A690" s="54">
        <v>97651</v>
      </c>
      <c r="B690" s="55" t="s">
        <v>2066</v>
      </c>
      <c r="C690" s="106">
        <v>5.1979999999999995E-4</v>
      </c>
      <c r="D690" s="106">
        <v>5.1579999999999996E-4</v>
      </c>
      <c r="E690" s="56">
        <v>794110</v>
      </c>
      <c r="F690" s="56"/>
      <c r="G690" s="57">
        <v>45748</v>
      </c>
      <c r="H690" s="107">
        <v>192810</v>
      </c>
      <c r="I690" s="57">
        <v>113410</v>
      </c>
      <c r="J690" s="56">
        <v>2621</v>
      </c>
      <c r="K690" s="107">
        <f t="shared" si="20"/>
        <v>354589</v>
      </c>
      <c r="L690" s="56"/>
      <c r="M690" s="57">
        <v>22479</v>
      </c>
      <c r="N690" s="57">
        <v>0</v>
      </c>
      <c r="O690" s="56">
        <v>43572</v>
      </c>
      <c r="P690" s="107">
        <f t="shared" si="21"/>
        <v>66051</v>
      </c>
      <c r="Q690" s="56"/>
      <c r="R690" s="57">
        <v>267616</v>
      </c>
      <c r="S690" s="58">
        <v>-19628</v>
      </c>
      <c r="T690" s="58">
        <v>247988</v>
      </c>
    </row>
    <row r="691" spans="1:20">
      <c r="A691" s="54">
        <v>97661</v>
      </c>
      <c r="B691" s="55" t="s">
        <v>2067</v>
      </c>
      <c r="C691" s="106">
        <v>5.1600000000000001E-5</v>
      </c>
      <c r="D691" s="106">
        <v>4.3900000000000003E-5</v>
      </c>
      <c r="E691" s="56">
        <v>78831</v>
      </c>
      <c r="F691" s="56"/>
      <c r="G691" s="57">
        <v>4541</v>
      </c>
      <c r="H691" s="107">
        <v>19140</v>
      </c>
      <c r="I691" s="57">
        <v>11258</v>
      </c>
      <c r="J691" s="56">
        <v>13582</v>
      </c>
      <c r="K691" s="107">
        <f t="shared" si="20"/>
        <v>48521</v>
      </c>
      <c r="L691" s="56"/>
      <c r="M691" s="57">
        <v>2231</v>
      </c>
      <c r="N691" s="57">
        <v>0</v>
      </c>
      <c r="O691" s="56">
        <v>1913</v>
      </c>
      <c r="P691" s="107">
        <f t="shared" si="21"/>
        <v>4144</v>
      </c>
      <c r="Q691" s="56"/>
      <c r="R691" s="57">
        <v>26566</v>
      </c>
      <c r="S691" s="58">
        <v>4861</v>
      </c>
      <c r="T691" s="58">
        <v>31427</v>
      </c>
    </row>
    <row r="692" spans="1:20">
      <c r="A692" s="54">
        <v>97701</v>
      </c>
      <c r="B692" s="55" t="s">
        <v>2068</v>
      </c>
      <c r="C692" s="106">
        <v>2.4975000000000002E-3</v>
      </c>
      <c r="D692" s="106">
        <v>2.5081000000000001E-3</v>
      </c>
      <c r="E692" s="56">
        <v>3815488</v>
      </c>
      <c r="F692" s="56"/>
      <c r="G692" s="57">
        <v>219807</v>
      </c>
      <c r="H692" s="107">
        <v>926405</v>
      </c>
      <c r="I692" s="57">
        <v>544905</v>
      </c>
      <c r="J692" s="56">
        <v>22724</v>
      </c>
      <c r="K692" s="107">
        <f t="shared" si="20"/>
        <v>1713841</v>
      </c>
      <c r="L692" s="56"/>
      <c r="M692" s="57">
        <v>108004</v>
      </c>
      <c r="N692" s="57">
        <v>0</v>
      </c>
      <c r="O692" s="56">
        <v>8673</v>
      </c>
      <c r="P692" s="107">
        <f t="shared" si="21"/>
        <v>116677</v>
      </c>
      <c r="Q692" s="56"/>
      <c r="R692" s="57">
        <v>1285823</v>
      </c>
      <c r="S692" s="58">
        <v>670</v>
      </c>
      <c r="T692" s="58">
        <v>1286493</v>
      </c>
    </row>
    <row r="693" spans="1:20">
      <c r="A693" s="54">
        <v>97705</v>
      </c>
      <c r="B693" s="55" t="s">
        <v>2069</v>
      </c>
      <c r="C693" s="106">
        <v>4.7700000000000001E-5</v>
      </c>
      <c r="D693" s="106">
        <v>6.41E-5</v>
      </c>
      <c r="E693" s="56">
        <v>72872</v>
      </c>
      <c r="F693" s="56"/>
      <c r="G693" s="57">
        <v>4198</v>
      </c>
      <c r="H693" s="107">
        <v>17694</v>
      </c>
      <c r="I693" s="57">
        <v>10407</v>
      </c>
      <c r="J693" s="56">
        <v>5558</v>
      </c>
      <c r="K693" s="107">
        <f t="shared" si="20"/>
        <v>37857</v>
      </c>
      <c r="L693" s="56"/>
      <c r="M693" s="57">
        <v>2063</v>
      </c>
      <c r="N693" s="57">
        <v>0</v>
      </c>
      <c r="O693" s="56">
        <v>13023</v>
      </c>
      <c r="P693" s="107">
        <f t="shared" si="21"/>
        <v>15086</v>
      </c>
      <c r="Q693" s="56"/>
      <c r="R693" s="57">
        <v>24558</v>
      </c>
      <c r="S693" s="58">
        <v>105</v>
      </c>
      <c r="T693" s="58">
        <v>24663</v>
      </c>
    </row>
    <row r="694" spans="1:20">
      <c r="A694" s="54">
        <v>97711</v>
      </c>
      <c r="B694" s="55" t="s">
        <v>2070</v>
      </c>
      <c r="C694" s="106">
        <v>9.0879999999999997E-4</v>
      </c>
      <c r="D694" s="106">
        <v>9.3789999999999998E-4</v>
      </c>
      <c r="E694" s="56">
        <v>1388395</v>
      </c>
      <c r="F694" s="56"/>
      <c r="G694" s="57">
        <v>79984</v>
      </c>
      <c r="H694" s="107">
        <v>337104</v>
      </c>
      <c r="I694" s="57">
        <v>198282</v>
      </c>
      <c r="J694" s="56">
        <v>9966</v>
      </c>
      <c r="K694" s="107">
        <f t="shared" si="20"/>
        <v>625336</v>
      </c>
      <c r="L694" s="56"/>
      <c r="M694" s="57">
        <v>39301</v>
      </c>
      <c r="N694" s="57">
        <v>0</v>
      </c>
      <c r="O694" s="56">
        <v>31902</v>
      </c>
      <c r="P694" s="107">
        <f t="shared" si="21"/>
        <v>71203</v>
      </c>
      <c r="Q694" s="56"/>
      <c r="R694" s="57">
        <v>467890</v>
      </c>
      <c r="S694" s="58">
        <v>-1258</v>
      </c>
      <c r="T694" s="58">
        <v>466632</v>
      </c>
    </row>
    <row r="695" spans="1:20">
      <c r="A695" s="54">
        <v>97713</v>
      </c>
      <c r="B695" s="55" t="s">
        <v>2071</v>
      </c>
      <c r="C695" s="106">
        <v>4.1199999999999999E-5</v>
      </c>
      <c r="D695" s="106">
        <v>5.3699999999999997E-5</v>
      </c>
      <c r="E695" s="56">
        <v>62942</v>
      </c>
      <c r="F695" s="56"/>
      <c r="G695" s="57">
        <v>3626</v>
      </c>
      <c r="H695" s="107">
        <v>15283</v>
      </c>
      <c r="I695" s="57">
        <v>8989</v>
      </c>
      <c r="J695" s="56">
        <v>927</v>
      </c>
      <c r="K695" s="107">
        <f t="shared" si="20"/>
        <v>28825</v>
      </c>
      <c r="L695" s="56"/>
      <c r="M695" s="57">
        <v>1782</v>
      </c>
      <c r="N695" s="57">
        <v>0</v>
      </c>
      <c r="O695" s="56">
        <v>16932</v>
      </c>
      <c r="P695" s="107">
        <f t="shared" si="21"/>
        <v>18714</v>
      </c>
      <c r="Q695" s="56"/>
      <c r="R695" s="57">
        <v>21212</v>
      </c>
      <c r="S695" s="58">
        <v>-4802</v>
      </c>
      <c r="T695" s="58">
        <v>16410</v>
      </c>
    </row>
    <row r="696" spans="1:20">
      <c r="A696" s="54">
        <v>97717</v>
      </c>
      <c r="B696" s="55" t="s">
        <v>2072</v>
      </c>
      <c r="C696" s="106">
        <v>4.6999999999999999E-6</v>
      </c>
      <c r="D696" s="106">
        <v>7.5000000000000002E-6</v>
      </c>
      <c r="E696" s="56">
        <v>7180</v>
      </c>
      <c r="F696" s="56"/>
      <c r="G696" s="57">
        <v>414</v>
      </c>
      <c r="H696" s="107">
        <v>1743</v>
      </c>
      <c r="I696" s="57">
        <v>1025</v>
      </c>
      <c r="J696" s="56">
        <v>1078</v>
      </c>
      <c r="K696" s="107">
        <f t="shared" si="20"/>
        <v>4260</v>
      </c>
      <c r="L696" s="56"/>
      <c r="M696" s="57">
        <v>203</v>
      </c>
      <c r="N696" s="57">
        <v>0</v>
      </c>
      <c r="O696" s="56">
        <v>3394</v>
      </c>
      <c r="P696" s="107">
        <f t="shared" si="21"/>
        <v>3597</v>
      </c>
      <c r="Q696" s="56"/>
      <c r="R696" s="57">
        <v>2420</v>
      </c>
      <c r="S696" s="58">
        <v>-1550</v>
      </c>
      <c r="T696" s="58">
        <f>869+1</f>
        <v>870</v>
      </c>
    </row>
    <row r="697" spans="1:20">
      <c r="A697" s="54">
        <v>97721</v>
      </c>
      <c r="B697" s="55" t="s">
        <v>2073</v>
      </c>
      <c r="C697" s="106">
        <v>5.6599999999999999E-4</v>
      </c>
      <c r="D697" s="106">
        <v>5.7249999999999998E-4</v>
      </c>
      <c r="E697" s="56">
        <v>864691</v>
      </c>
      <c r="F697" s="56"/>
      <c r="G697" s="57">
        <v>49814</v>
      </c>
      <c r="H697" s="107">
        <v>209948</v>
      </c>
      <c r="I697" s="57">
        <v>123490</v>
      </c>
      <c r="J697" s="56">
        <v>13608</v>
      </c>
      <c r="K697" s="107">
        <f t="shared" si="20"/>
        <v>396860</v>
      </c>
      <c r="L697" s="56"/>
      <c r="M697" s="57">
        <v>24477</v>
      </c>
      <c r="N697" s="57">
        <v>0</v>
      </c>
      <c r="O697" s="56">
        <v>31303</v>
      </c>
      <c r="P697" s="107">
        <f t="shared" si="21"/>
        <v>55780</v>
      </c>
      <c r="Q697" s="56"/>
      <c r="R697" s="57">
        <v>291402</v>
      </c>
      <c r="S697" s="58">
        <v>-9026</v>
      </c>
      <c r="T697" s="58">
        <v>282376</v>
      </c>
    </row>
    <row r="698" spans="1:20">
      <c r="A698" s="54">
        <v>97727</v>
      </c>
      <c r="B698" s="55" t="s">
        <v>2074</v>
      </c>
      <c r="C698" s="106">
        <v>2.27E-5</v>
      </c>
      <c r="D698" s="106">
        <v>2.37E-5</v>
      </c>
      <c r="E698" s="56">
        <v>34679</v>
      </c>
      <c r="F698" s="56"/>
      <c r="G698" s="57">
        <v>1998</v>
      </c>
      <c r="H698" s="107">
        <v>8420</v>
      </c>
      <c r="I698" s="57">
        <v>4953</v>
      </c>
      <c r="J698" s="56">
        <v>0</v>
      </c>
      <c r="K698" s="107">
        <f t="shared" si="20"/>
        <v>15371</v>
      </c>
      <c r="L698" s="56"/>
      <c r="M698" s="57">
        <v>982</v>
      </c>
      <c r="N698" s="57">
        <v>0</v>
      </c>
      <c r="O698" s="56">
        <v>2260</v>
      </c>
      <c r="P698" s="107">
        <f t="shared" si="21"/>
        <v>3242</v>
      </c>
      <c r="Q698" s="56"/>
      <c r="R698" s="57">
        <v>11687</v>
      </c>
      <c r="S698" s="58">
        <v>-1260</v>
      </c>
      <c r="T698" s="58">
        <v>10427</v>
      </c>
    </row>
    <row r="699" spans="1:20">
      <c r="A699" s="54">
        <v>97731</v>
      </c>
      <c r="B699" s="55" t="s">
        <v>2075</v>
      </c>
      <c r="C699" s="106">
        <v>3.5500000000000002E-5</v>
      </c>
      <c r="D699" s="106">
        <v>3.7100000000000001E-5</v>
      </c>
      <c r="E699" s="56">
        <v>54234</v>
      </c>
      <c r="F699" s="56"/>
      <c r="G699" s="57">
        <v>3124</v>
      </c>
      <c r="H699" s="107">
        <v>13168</v>
      </c>
      <c r="I699" s="57">
        <v>7745</v>
      </c>
      <c r="J699" s="56">
        <v>6361</v>
      </c>
      <c r="K699" s="107">
        <f t="shared" si="20"/>
        <v>30398</v>
      </c>
      <c r="L699" s="56"/>
      <c r="M699" s="57">
        <v>1535</v>
      </c>
      <c r="N699" s="57">
        <v>0</v>
      </c>
      <c r="O699" s="56">
        <v>0</v>
      </c>
      <c r="P699" s="107">
        <f t="shared" si="21"/>
        <v>1535</v>
      </c>
      <c r="Q699" s="56"/>
      <c r="R699" s="57">
        <v>18277</v>
      </c>
      <c r="S699" s="58">
        <v>2961</v>
      </c>
      <c r="T699" s="58">
        <v>21238</v>
      </c>
    </row>
    <row r="700" spans="1:20">
      <c r="A700" s="54">
        <v>97801</v>
      </c>
      <c r="B700" s="55" t="s">
        <v>2076</v>
      </c>
      <c r="C700" s="106">
        <v>6.9303000000000003E-3</v>
      </c>
      <c r="D700" s="106">
        <v>7.3343000000000002E-3</v>
      </c>
      <c r="E700" s="56">
        <v>10587579</v>
      </c>
      <c r="F700" s="56"/>
      <c r="G700" s="57">
        <v>609943</v>
      </c>
      <c r="H700" s="107">
        <v>2570677</v>
      </c>
      <c r="I700" s="57">
        <v>1512053</v>
      </c>
      <c r="J700" s="56">
        <v>27764</v>
      </c>
      <c r="K700" s="107">
        <f t="shared" si="20"/>
        <v>4720437</v>
      </c>
      <c r="L700" s="56"/>
      <c r="M700" s="57">
        <v>299701</v>
      </c>
      <c r="N700" s="57">
        <v>0</v>
      </c>
      <c r="O700" s="56">
        <v>406805</v>
      </c>
      <c r="P700" s="107">
        <f t="shared" si="21"/>
        <v>706506</v>
      </c>
      <c r="Q700" s="56"/>
      <c r="R700" s="57">
        <v>3568023</v>
      </c>
      <c r="S700" s="58">
        <v>-97576</v>
      </c>
      <c r="T700" s="58">
        <v>3470447</v>
      </c>
    </row>
    <row r="701" spans="1:20">
      <c r="A701" s="54">
        <v>97802</v>
      </c>
      <c r="B701" s="55" t="s">
        <v>2077</v>
      </c>
      <c r="C701" s="106">
        <v>1.5300000000000001E-4</v>
      </c>
      <c r="D701" s="106">
        <v>1.8120000000000001E-4</v>
      </c>
      <c r="E701" s="56">
        <v>233742</v>
      </c>
      <c r="F701" s="56"/>
      <c r="G701" s="57">
        <v>13466</v>
      </c>
      <c r="H701" s="107">
        <v>56753</v>
      </c>
      <c r="I701" s="57">
        <v>33382</v>
      </c>
      <c r="J701" s="56">
        <v>9696</v>
      </c>
      <c r="K701" s="107">
        <f t="shared" si="20"/>
        <v>113297</v>
      </c>
      <c r="L701" s="56"/>
      <c r="M701" s="57">
        <v>6616</v>
      </c>
      <c r="N701" s="57">
        <v>0</v>
      </c>
      <c r="O701" s="56">
        <v>28235</v>
      </c>
      <c r="P701" s="107">
        <f t="shared" si="21"/>
        <v>34851</v>
      </c>
      <c r="Q701" s="56"/>
      <c r="R701" s="57">
        <v>78771</v>
      </c>
      <c r="S701" s="58">
        <v>-1176</v>
      </c>
      <c r="T701" s="58">
        <v>77595</v>
      </c>
    </row>
    <row r="702" spans="1:20">
      <c r="A702" s="54">
        <v>97803</v>
      </c>
      <c r="B702" s="55" t="s">
        <v>2078</v>
      </c>
      <c r="C702" s="106">
        <v>7.5300000000000001E-5</v>
      </c>
      <c r="D702" s="106">
        <v>7.9099999999999998E-5</v>
      </c>
      <c r="E702" s="56">
        <v>115038</v>
      </c>
      <c r="F702" s="56"/>
      <c r="G702" s="57">
        <v>6627</v>
      </c>
      <c r="H702" s="107">
        <v>27931</v>
      </c>
      <c r="I702" s="57">
        <v>16429</v>
      </c>
      <c r="J702" s="56">
        <v>5581</v>
      </c>
      <c r="K702" s="107">
        <f t="shared" si="20"/>
        <v>56568</v>
      </c>
      <c r="L702" s="56"/>
      <c r="M702" s="57">
        <v>3256</v>
      </c>
      <c r="N702" s="57">
        <v>0</v>
      </c>
      <c r="O702" s="56">
        <v>1522</v>
      </c>
      <c r="P702" s="107">
        <f t="shared" si="21"/>
        <v>4778</v>
      </c>
      <c r="Q702" s="56"/>
      <c r="R702" s="57">
        <v>38768</v>
      </c>
      <c r="S702" s="58">
        <v>3424</v>
      </c>
      <c r="T702" s="58">
        <v>42192</v>
      </c>
    </row>
    <row r="703" spans="1:20">
      <c r="A703" s="54">
        <v>97805</v>
      </c>
      <c r="B703" s="55" t="s">
        <v>2079</v>
      </c>
      <c r="C703" s="106">
        <v>7.9400000000000006E-5</v>
      </c>
      <c r="D703" s="106">
        <v>8.2600000000000002E-5</v>
      </c>
      <c r="E703" s="56">
        <v>121301</v>
      </c>
      <c r="F703" s="56"/>
      <c r="G703" s="57">
        <v>6988</v>
      </c>
      <c r="H703" s="107">
        <v>29452</v>
      </c>
      <c r="I703" s="57">
        <v>17323</v>
      </c>
      <c r="J703" s="56">
        <v>9711</v>
      </c>
      <c r="K703" s="107">
        <f t="shared" si="20"/>
        <v>63474</v>
      </c>
      <c r="L703" s="56"/>
      <c r="M703" s="57">
        <v>3434</v>
      </c>
      <c r="N703" s="57">
        <v>0</v>
      </c>
      <c r="O703" s="56">
        <v>226</v>
      </c>
      <c r="P703" s="107">
        <f t="shared" si="21"/>
        <v>3660</v>
      </c>
      <c r="Q703" s="56"/>
      <c r="R703" s="57">
        <v>40879</v>
      </c>
      <c r="S703" s="58">
        <v>3824</v>
      </c>
      <c r="T703" s="58">
        <v>44703</v>
      </c>
    </row>
    <row r="704" spans="1:20">
      <c r="A704" s="54">
        <v>97811</v>
      </c>
      <c r="B704" s="55" t="s">
        <v>2080</v>
      </c>
      <c r="C704" s="106">
        <v>2.4172E-3</v>
      </c>
      <c r="D704" s="106">
        <v>2.4088E-3</v>
      </c>
      <c r="E704" s="56">
        <v>3692812</v>
      </c>
      <c r="F704" s="56"/>
      <c r="G704" s="57">
        <v>212740</v>
      </c>
      <c r="H704" s="107">
        <v>896619</v>
      </c>
      <c r="I704" s="57">
        <v>527385</v>
      </c>
      <c r="J704" s="56">
        <v>0</v>
      </c>
      <c r="K704" s="107">
        <f t="shared" si="20"/>
        <v>1636744</v>
      </c>
      <c r="L704" s="56"/>
      <c r="M704" s="57">
        <v>104532</v>
      </c>
      <c r="N704" s="57">
        <v>0</v>
      </c>
      <c r="O704" s="56">
        <v>164062</v>
      </c>
      <c r="P704" s="107">
        <f t="shared" si="21"/>
        <v>268594</v>
      </c>
      <c r="Q704" s="56"/>
      <c r="R704" s="57">
        <v>1244481</v>
      </c>
      <c r="S704" s="58">
        <v>-73272</v>
      </c>
      <c r="T704" s="58">
        <v>1171209</v>
      </c>
    </row>
    <row r="705" spans="1:20">
      <c r="A705" s="54">
        <v>97817</v>
      </c>
      <c r="B705" s="55" t="s">
        <v>2081</v>
      </c>
      <c r="C705" s="106">
        <v>2.2200000000000001E-5</v>
      </c>
      <c r="D705" s="106">
        <v>3.9999999999999998E-6</v>
      </c>
      <c r="E705" s="56">
        <v>33915</v>
      </c>
      <c r="F705" s="56"/>
      <c r="G705" s="57">
        <v>1954</v>
      </c>
      <c r="H705" s="107">
        <v>8235</v>
      </c>
      <c r="I705" s="57">
        <v>4844</v>
      </c>
      <c r="J705" s="56">
        <v>18101</v>
      </c>
      <c r="K705" s="107">
        <f t="shared" si="20"/>
        <v>33134</v>
      </c>
      <c r="L705" s="56"/>
      <c r="M705" s="57">
        <v>960</v>
      </c>
      <c r="N705" s="57">
        <v>0</v>
      </c>
      <c r="O705" s="56">
        <v>2418</v>
      </c>
      <c r="P705" s="107">
        <f t="shared" si="21"/>
        <v>3378</v>
      </c>
      <c r="Q705" s="56"/>
      <c r="R705" s="57">
        <v>11430</v>
      </c>
      <c r="S705" s="58">
        <v>3916</v>
      </c>
      <c r="T705" s="58">
        <f>15345+1</f>
        <v>15346</v>
      </c>
    </row>
    <row r="706" spans="1:20">
      <c r="A706" s="54">
        <v>97818</v>
      </c>
      <c r="B706" s="55" t="s">
        <v>2082</v>
      </c>
      <c r="C706" s="106">
        <v>2.1999999999999999E-5</v>
      </c>
      <c r="D706" s="106">
        <v>2.12E-5</v>
      </c>
      <c r="E706" s="56">
        <v>33610</v>
      </c>
      <c r="F706" s="56"/>
      <c r="G706" s="57">
        <v>1936</v>
      </c>
      <c r="H706" s="107">
        <v>8160</v>
      </c>
      <c r="I706" s="57">
        <v>4800</v>
      </c>
      <c r="J706" s="56">
        <v>6200</v>
      </c>
      <c r="K706" s="107">
        <f t="shared" si="20"/>
        <v>21096</v>
      </c>
      <c r="L706" s="56"/>
      <c r="M706" s="57">
        <v>951</v>
      </c>
      <c r="N706" s="57">
        <v>0</v>
      </c>
      <c r="O706" s="56">
        <v>2136</v>
      </c>
      <c r="P706" s="107">
        <f t="shared" si="21"/>
        <v>3087</v>
      </c>
      <c r="Q706" s="56"/>
      <c r="R706" s="57">
        <v>11327</v>
      </c>
      <c r="S706" s="58">
        <v>134</v>
      </c>
      <c r="T706" s="58">
        <v>11461</v>
      </c>
    </row>
    <row r="707" spans="1:20">
      <c r="A707" s="54">
        <v>97821</v>
      </c>
      <c r="B707" s="55" t="s">
        <v>2083</v>
      </c>
      <c r="C707" s="106">
        <v>1.126E-4</v>
      </c>
      <c r="D707" s="106">
        <v>1.1620000000000001E-4</v>
      </c>
      <c r="E707" s="56">
        <v>172022</v>
      </c>
      <c r="F707" s="56"/>
      <c r="G707" s="57">
        <v>9910</v>
      </c>
      <c r="H707" s="107">
        <v>41767</v>
      </c>
      <c r="I707" s="57">
        <v>24567</v>
      </c>
      <c r="J707" s="56">
        <v>5355</v>
      </c>
      <c r="K707" s="107">
        <f t="shared" si="20"/>
        <v>81599</v>
      </c>
      <c r="L707" s="56"/>
      <c r="M707" s="57">
        <v>4869</v>
      </c>
      <c r="N707" s="57">
        <v>0</v>
      </c>
      <c r="O707" s="56">
        <v>16228</v>
      </c>
      <c r="P707" s="107">
        <f t="shared" si="21"/>
        <v>21097</v>
      </c>
      <c r="Q707" s="56"/>
      <c r="R707" s="57">
        <v>57971</v>
      </c>
      <c r="S707" s="58">
        <v>-9342</v>
      </c>
      <c r="T707" s="58">
        <f>48630-1</f>
        <v>48629</v>
      </c>
    </row>
    <row r="708" spans="1:20">
      <c r="A708" s="54">
        <v>97823</v>
      </c>
      <c r="B708" s="55" t="s">
        <v>2084</v>
      </c>
      <c r="C708" s="106">
        <v>2.3300000000000001E-5</v>
      </c>
      <c r="D708" s="106">
        <v>2.4600000000000002E-5</v>
      </c>
      <c r="E708" s="56">
        <v>35596</v>
      </c>
      <c r="F708" s="56"/>
      <c r="G708" s="57">
        <v>2051</v>
      </c>
      <c r="H708" s="107">
        <v>8642</v>
      </c>
      <c r="I708" s="57">
        <v>5084</v>
      </c>
      <c r="J708" s="56">
        <v>1711</v>
      </c>
      <c r="K708" s="107">
        <f t="shared" si="20"/>
        <v>17488</v>
      </c>
      <c r="L708" s="56"/>
      <c r="M708" s="57">
        <v>1008</v>
      </c>
      <c r="N708" s="57">
        <v>0</v>
      </c>
      <c r="O708" s="56">
        <v>591</v>
      </c>
      <c r="P708" s="107">
        <f t="shared" si="21"/>
        <v>1599</v>
      </c>
      <c r="Q708" s="56"/>
      <c r="R708" s="57">
        <v>11996</v>
      </c>
      <c r="S708" s="58">
        <v>-77</v>
      </c>
      <c r="T708" s="58">
        <v>11919</v>
      </c>
    </row>
    <row r="709" spans="1:20">
      <c r="A709" s="54">
        <v>97831</v>
      </c>
      <c r="B709" s="55" t="s">
        <v>2085</v>
      </c>
      <c r="C709" s="106">
        <v>1.7009999999999999E-4</v>
      </c>
      <c r="D709" s="106">
        <v>1.482E-4</v>
      </c>
      <c r="E709" s="56">
        <v>259866</v>
      </c>
      <c r="F709" s="56"/>
      <c r="G709" s="57">
        <v>14971</v>
      </c>
      <c r="H709" s="107">
        <v>63096</v>
      </c>
      <c r="I709" s="57">
        <v>37112</v>
      </c>
      <c r="J709" s="56">
        <v>15261</v>
      </c>
      <c r="K709" s="107">
        <f t="shared" si="20"/>
        <v>130440</v>
      </c>
      <c r="L709" s="56"/>
      <c r="M709" s="57">
        <v>7356</v>
      </c>
      <c r="N709" s="57">
        <v>0</v>
      </c>
      <c r="O709" s="56">
        <v>8418</v>
      </c>
      <c r="P709" s="107">
        <f t="shared" si="21"/>
        <v>15774</v>
      </c>
      <c r="Q709" s="56"/>
      <c r="R709" s="57">
        <v>87575</v>
      </c>
      <c r="S709" s="58">
        <v>-2075</v>
      </c>
      <c r="T709" s="58">
        <v>85500</v>
      </c>
    </row>
    <row r="710" spans="1:20">
      <c r="A710" s="54">
        <v>97837</v>
      </c>
      <c r="B710" s="55" t="s">
        <v>2086</v>
      </c>
      <c r="C710" s="106">
        <v>1.0200000000000001E-5</v>
      </c>
      <c r="D710" s="106">
        <v>8.8000000000000004E-6</v>
      </c>
      <c r="E710" s="56">
        <v>15583</v>
      </c>
      <c r="F710" s="56"/>
      <c r="G710" s="57">
        <v>898</v>
      </c>
      <c r="H710" s="107">
        <v>3784</v>
      </c>
      <c r="I710" s="57">
        <v>2225</v>
      </c>
      <c r="J710" s="56">
        <v>3302</v>
      </c>
      <c r="K710" s="107">
        <f t="shared" si="20"/>
        <v>10209</v>
      </c>
      <c r="L710" s="56"/>
      <c r="M710" s="57">
        <v>441</v>
      </c>
      <c r="N710" s="57">
        <v>0</v>
      </c>
      <c r="O710" s="56">
        <v>214</v>
      </c>
      <c r="P710" s="107">
        <f t="shared" si="21"/>
        <v>655</v>
      </c>
      <c r="Q710" s="56"/>
      <c r="R710" s="57">
        <v>5251</v>
      </c>
      <c r="S710" s="58">
        <v>1260</v>
      </c>
      <c r="T710" s="58">
        <v>6511</v>
      </c>
    </row>
    <row r="711" spans="1:20">
      <c r="A711" s="54">
        <v>97840</v>
      </c>
      <c r="B711" s="55" t="s">
        <v>2087</v>
      </c>
      <c r="C711" s="106">
        <v>1.3190000000000001E-4</v>
      </c>
      <c r="D711" s="106">
        <v>1.403E-4</v>
      </c>
      <c r="E711" s="56">
        <v>201507</v>
      </c>
      <c r="F711" s="56"/>
      <c r="G711" s="57">
        <v>11609</v>
      </c>
      <c r="H711" s="107">
        <v>48926</v>
      </c>
      <c r="I711" s="57">
        <v>28778</v>
      </c>
      <c r="J711" s="56">
        <v>76227</v>
      </c>
      <c r="K711" s="107">
        <f t="shared" ref="K711:K774" si="22">G711+H711+I711+J711</f>
        <v>165540</v>
      </c>
      <c r="L711" s="56"/>
      <c r="M711" s="57">
        <v>5704</v>
      </c>
      <c r="N711" s="57">
        <v>0</v>
      </c>
      <c r="O711" s="56">
        <v>964</v>
      </c>
      <c r="P711" s="107">
        <f t="shared" ref="P711:P774" si="23">M711+N711+O711</f>
        <v>6668</v>
      </c>
      <c r="Q711" s="56"/>
      <c r="R711" s="57">
        <v>67908</v>
      </c>
      <c r="S711" s="58">
        <v>27073</v>
      </c>
      <c r="T711" s="58">
        <v>94981</v>
      </c>
    </row>
    <row r="712" spans="1:20">
      <c r="A712" s="54">
        <v>97841</v>
      </c>
      <c r="B712" s="55" t="s">
        <v>2088</v>
      </c>
      <c r="C712" s="106">
        <v>1.31E-5</v>
      </c>
      <c r="D712" s="106">
        <v>1.45E-5</v>
      </c>
      <c r="E712" s="56">
        <v>20013</v>
      </c>
      <c r="F712" s="56"/>
      <c r="G712" s="57">
        <v>1153</v>
      </c>
      <c r="H712" s="107">
        <v>4859</v>
      </c>
      <c r="I712" s="57">
        <v>2858</v>
      </c>
      <c r="J712" s="56">
        <v>410</v>
      </c>
      <c r="K712" s="107">
        <f t="shared" si="22"/>
        <v>9280</v>
      </c>
      <c r="L712" s="56"/>
      <c r="M712" s="57">
        <v>567</v>
      </c>
      <c r="N712" s="57">
        <v>0</v>
      </c>
      <c r="O712" s="56">
        <v>4768</v>
      </c>
      <c r="P712" s="107">
        <f t="shared" si="23"/>
        <v>5335</v>
      </c>
      <c r="Q712" s="56"/>
      <c r="R712" s="57">
        <v>6744</v>
      </c>
      <c r="S712" s="58">
        <v>-3859</v>
      </c>
      <c r="T712" s="58">
        <v>2885</v>
      </c>
    </row>
    <row r="713" spans="1:20">
      <c r="A713" s="54">
        <v>97847</v>
      </c>
      <c r="B713" s="55" t="s">
        <v>2089</v>
      </c>
      <c r="C713" s="106">
        <v>2.0999999999999998E-6</v>
      </c>
      <c r="D713" s="106">
        <v>2.2000000000000001E-6</v>
      </c>
      <c r="E713" s="56">
        <v>3208</v>
      </c>
      <c r="F713" s="56"/>
      <c r="G713" s="57">
        <v>185</v>
      </c>
      <c r="H713" s="107">
        <v>779</v>
      </c>
      <c r="I713" s="57">
        <v>458</v>
      </c>
      <c r="J713" s="56">
        <v>1433</v>
      </c>
      <c r="K713" s="107">
        <f t="shared" si="22"/>
        <v>2855</v>
      </c>
      <c r="L713" s="56"/>
      <c r="M713" s="57">
        <v>91</v>
      </c>
      <c r="N713" s="57">
        <v>0</v>
      </c>
      <c r="O713" s="56">
        <v>72</v>
      </c>
      <c r="P713" s="107">
        <f t="shared" si="23"/>
        <v>163</v>
      </c>
      <c r="Q713" s="56"/>
      <c r="R713" s="57">
        <v>1081</v>
      </c>
      <c r="S713" s="58">
        <v>355</v>
      </c>
      <c r="T713" s="58">
        <v>1436</v>
      </c>
    </row>
    <row r="714" spans="1:20">
      <c r="A714" s="54">
        <v>97851</v>
      </c>
      <c r="B714" s="55" t="s">
        <v>2090</v>
      </c>
      <c r="C714" s="106">
        <v>2.7799999999999998E-4</v>
      </c>
      <c r="D714" s="106">
        <v>2.7460000000000001E-4</v>
      </c>
      <c r="E714" s="56">
        <v>424707</v>
      </c>
      <c r="F714" s="56"/>
      <c r="G714" s="57">
        <v>24467</v>
      </c>
      <c r="H714" s="107">
        <v>103120</v>
      </c>
      <c r="I714" s="57">
        <v>60654</v>
      </c>
      <c r="J714" s="56">
        <v>1448</v>
      </c>
      <c r="K714" s="107">
        <f t="shared" si="22"/>
        <v>189689</v>
      </c>
      <c r="L714" s="56"/>
      <c r="M714" s="57">
        <v>12022</v>
      </c>
      <c r="N714" s="57">
        <v>0</v>
      </c>
      <c r="O714" s="56">
        <v>12710</v>
      </c>
      <c r="P714" s="107">
        <f t="shared" si="23"/>
        <v>24732</v>
      </c>
      <c r="Q714" s="56"/>
      <c r="R714" s="57">
        <v>143127</v>
      </c>
      <c r="S714" s="58">
        <v>-2512</v>
      </c>
      <c r="T714" s="58">
        <v>140615</v>
      </c>
    </row>
    <row r="715" spans="1:20">
      <c r="A715" s="54">
        <v>97853</v>
      </c>
      <c r="B715" s="55" t="s">
        <v>2091</v>
      </c>
      <c r="C715" s="106">
        <v>1.0289999999999999E-4</v>
      </c>
      <c r="D715" s="106">
        <v>9.1600000000000004E-5</v>
      </c>
      <c r="E715" s="56">
        <v>157203</v>
      </c>
      <c r="F715" s="56"/>
      <c r="G715" s="57">
        <v>9056</v>
      </c>
      <c r="H715" s="107">
        <v>38169</v>
      </c>
      <c r="I715" s="57">
        <v>22451</v>
      </c>
      <c r="J715" s="56">
        <v>8759</v>
      </c>
      <c r="K715" s="107">
        <f t="shared" si="22"/>
        <v>78435</v>
      </c>
      <c r="L715" s="56"/>
      <c r="M715" s="57">
        <v>4450</v>
      </c>
      <c r="N715" s="57">
        <v>0</v>
      </c>
      <c r="O715" s="56">
        <v>9750</v>
      </c>
      <c r="P715" s="107">
        <f t="shared" si="23"/>
        <v>14200</v>
      </c>
      <c r="Q715" s="56"/>
      <c r="R715" s="57">
        <v>52977</v>
      </c>
      <c r="S715" s="58">
        <v>429</v>
      </c>
      <c r="T715" s="58">
        <f>53407-1</f>
        <v>53406</v>
      </c>
    </row>
    <row r="716" spans="1:20">
      <c r="A716" s="54">
        <v>97861</v>
      </c>
      <c r="B716" s="55" t="s">
        <v>2092</v>
      </c>
      <c r="C716" s="106">
        <v>6.7000000000000002E-5</v>
      </c>
      <c r="D716" s="106">
        <v>6.8499999999999998E-5</v>
      </c>
      <c r="E716" s="56">
        <v>102357</v>
      </c>
      <c r="F716" s="56"/>
      <c r="G716" s="57">
        <v>5897</v>
      </c>
      <c r="H716" s="107">
        <v>24852</v>
      </c>
      <c r="I716" s="57">
        <v>14618</v>
      </c>
      <c r="J716" s="56">
        <v>1771</v>
      </c>
      <c r="K716" s="107">
        <f t="shared" si="22"/>
        <v>47138</v>
      </c>
      <c r="L716" s="56"/>
      <c r="M716" s="57">
        <v>2897</v>
      </c>
      <c r="N716" s="57">
        <v>0</v>
      </c>
      <c r="O716" s="56">
        <v>7954</v>
      </c>
      <c r="P716" s="107">
        <f t="shared" si="23"/>
        <v>10851</v>
      </c>
      <c r="Q716" s="56"/>
      <c r="R716" s="57">
        <v>34495</v>
      </c>
      <c r="S716" s="58">
        <v>-3725</v>
      </c>
      <c r="T716" s="58">
        <f>30769+1</f>
        <v>30770</v>
      </c>
    </row>
    <row r="717" spans="1:20">
      <c r="A717" s="54">
        <v>97871</v>
      </c>
      <c r="B717" s="55" t="s">
        <v>2093</v>
      </c>
      <c r="C717" s="106">
        <v>2.9930000000000001E-4</v>
      </c>
      <c r="D717" s="106">
        <v>3.1500000000000001E-4</v>
      </c>
      <c r="E717" s="56">
        <v>457247</v>
      </c>
      <c r="F717" s="56"/>
      <c r="G717" s="57">
        <v>26342</v>
      </c>
      <c r="H717" s="107">
        <v>111020</v>
      </c>
      <c r="I717" s="57">
        <v>65301</v>
      </c>
      <c r="J717" s="56">
        <v>217143</v>
      </c>
      <c r="K717" s="107">
        <f t="shared" si="22"/>
        <v>419806</v>
      </c>
      <c r="L717" s="56"/>
      <c r="M717" s="57">
        <v>12943</v>
      </c>
      <c r="N717" s="57">
        <v>0</v>
      </c>
      <c r="O717" s="56">
        <v>0</v>
      </c>
      <c r="P717" s="107">
        <f t="shared" si="23"/>
        <v>12943</v>
      </c>
      <c r="Q717" s="56"/>
      <c r="R717" s="57">
        <v>154093</v>
      </c>
      <c r="S717" s="58">
        <v>79417</v>
      </c>
      <c r="T717" s="58">
        <f>233509+1</f>
        <v>233510</v>
      </c>
    </row>
    <row r="718" spans="1:20">
      <c r="A718" s="54">
        <v>97877</v>
      </c>
      <c r="B718" s="55" t="s">
        <v>2094</v>
      </c>
      <c r="C718" s="106">
        <v>1.9E-6</v>
      </c>
      <c r="D718" s="106">
        <v>2.2000000000000001E-6</v>
      </c>
      <c r="E718" s="56">
        <v>2903</v>
      </c>
      <c r="F718" s="56"/>
      <c r="G718" s="57">
        <v>167</v>
      </c>
      <c r="H718" s="107">
        <v>705</v>
      </c>
      <c r="I718" s="57">
        <v>415</v>
      </c>
      <c r="J718" s="56">
        <v>1638</v>
      </c>
      <c r="K718" s="107">
        <f t="shared" si="22"/>
        <v>2925</v>
      </c>
      <c r="L718" s="56"/>
      <c r="M718" s="57">
        <v>82</v>
      </c>
      <c r="N718" s="57">
        <v>0</v>
      </c>
      <c r="O718" s="56">
        <v>0</v>
      </c>
      <c r="P718" s="107">
        <f t="shared" si="23"/>
        <v>82</v>
      </c>
      <c r="Q718" s="56"/>
      <c r="R718" s="57">
        <v>978</v>
      </c>
      <c r="S718" s="58">
        <v>648</v>
      </c>
      <c r="T718" s="58">
        <f>1627-1</f>
        <v>1626</v>
      </c>
    </row>
    <row r="719" spans="1:20">
      <c r="A719" s="54">
        <v>97901</v>
      </c>
      <c r="B719" s="55" t="s">
        <v>2095</v>
      </c>
      <c r="C719" s="106">
        <v>4.2658000000000001E-3</v>
      </c>
      <c r="D719" s="106">
        <v>4.3616999999999996E-3</v>
      </c>
      <c r="E719" s="56">
        <v>6516961</v>
      </c>
      <c r="F719" s="56"/>
      <c r="G719" s="57">
        <v>375437</v>
      </c>
      <c r="H719" s="107">
        <v>1582326</v>
      </c>
      <c r="I719" s="57">
        <v>930712</v>
      </c>
      <c r="J719" s="56">
        <v>88360</v>
      </c>
      <c r="K719" s="107">
        <f t="shared" si="22"/>
        <v>2976835</v>
      </c>
      <c r="L719" s="56"/>
      <c r="M719" s="57">
        <v>184475</v>
      </c>
      <c r="N719" s="57">
        <v>0</v>
      </c>
      <c r="O719" s="56">
        <v>14865</v>
      </c>
      <c r="P719" s="107">
        <f t="shared" si="23"/>
        <v>199340</v>
      </c>
      <c r="Q719" s="56"/>
      <c r="R719" s="57">
        <v>2196222</v>
      </c>
      <c r="S719" s="58">
        <v>35112</v>
      </c>
      <c r="T719" s="58">
        <v>2231334</v>
      </c>
    </row>
    <row r="720" spans="1:20">
      <c r="A720" s="54">
        <v>97911</v>
      </c>
      <c r="B720" s="55" t="s">
        <v>2096</v>
      </c>
      <c r="C720" s="106">
        <v>1.3005E-3</v>
      </c>
      <c r="D720" s="106">
        <v>1.3190000000000001E-3</v>
      </c>
      <c r="E720" s="56">
        <v>1986804</v>
      </c>
      <c r="F720" s="56"/>
      <c r="G720" s="57">
        <v>114458</v>
      </c>
      <c r="H720" s="107">
        <v>482398</v>
      </c>
      <c r="I720" s="57">
        <v>283743</v>
      </c>
      <c r="J720" s="56">
        <v>31167</v>
      </c>
      <c r="K720" s="107">
        <f t="shared" si="22"/>
        <v>911766</v>
      </c>
      <c r="L720" s="56"/>
      <c r="M720" s="57">
        <v>56240</v>
      </c>
      <c r="N720" s="57">
        <v>0</v>
      </c>
      <c r="O720" s="56">
        <v>28435</v>
      </c>
      <c r="P720" s="107">
        <f t="shared" si="23"/>
        <v>84675</v>
      </c>
      <c r="Q720" s="56"/>
      <c r="R720" s="57">
        <v>669555</v>
      </c>
      <c r="S720" s="58">
        <v>10548</v>
      </c>
      <c r="T720" s="58">
        <v>680103</v>
      </c>
    </row>
    <row r="721" spans="1:20">
      <c r="A721" s="54">
        <v>97913</v>
      </c>
      <c r="B721" s="55" t="s">
        <v>2097</v>
      </c>
      <c r="C721" s="106">
        <v>3.5899999999999998E-5</v>
      </c>
      <c r="D721" s="106">
        <v>3.7400000000000001E-5</v>
      </c>
      <c r="E721" s="56">
        <v>54845</v>
      </c>
      <c r="F721" s="56"/>
      <c r="G721" s="57">
        <v>3160</v>
      </c>
      <c r="H721" s="107">
        <v>13317</v>
      </c>
      <c r="I721" s="57">
        <v>7833</v>
      </c>
      <c r="J721" s="56">
        <v>15616</v>
      </c>
      <c r="K721" s="107">
        <f t="shared" si="22"/>
        <v>39926</v>
      </c>
      <c r="L721" s="56"/>
      <c r="M721" s="57">
        <v>1552</v>
      </c>
      <c r="N721" s="57">
        <v>0</v>
      </c>
      <c r="O721" s="56">
        <v>0</v>
      </c>
      <c r="P721" s="107">
        <f t="shared" si="23"/>
        <v>1552</v>
      </c>
      <c r="Q721" s="56"/>
      <c r="R721" s="57">
        <v>18483</v>
      </c>
      <c r="S721" s="58">
        <v>5369</v>
      </c>
      <c r="T721" s="58">
        <f>23851+1</f>
        <v>23852</v>
      </c>
    </row>
    <row r="722" spans="1:20">
      <c r="A722" s="54">
        <v>97917</v>
      </c>
      <c r="B722" s="55" t="s">
        <v>2098</v>
      </c>
      <c r="C722" s="106">
        <v>2.0999999999999999E-5</v>
      </c>
      <c r="D722" s="106">
        <v>1.98E-5</v>
      </c>
      <c r="E722" s="56">
        <v>32082</v>
      </c>
      <c r="F722" s="56"/>
      <c r="G722" s="57">
        <v>1848</v>
      </c>
      <c r="H722" s="107">
        <v>7790</v>
      </c>
      <c r="I722" s="57">
        <v>4582</v>
      </c>
      <c r="J722" s="56">
        <v>7811</v>
      </c>
      <c r="K722" s="107">
        <f t="shared" si="22"/>
        <v>22031</v>
      </c>
      <c r="L722" s="56"/>
      <c r="M722" s="57">
        <v>908</v>
      </c>
      <c r="N722" s="57">
        <v>0</v>
      </c>
      <c r="O722" s="56">
        <v>0</v>
      </c>
      <c r="P722" s="107">
        <f t="shared" si="23"/>
        <v>908</v>
      </c>
      <c r="Q722" s="56"/>
      <c r="R722" s="57">
        <v>10812</v>
      </c>
      <c r="S722" s="58">
        <v>3168</v>
      </c>
      <c r="T722" s="58">
        <f>13979+1</f>
        <v>13980</v>
      </c>
    </row>
    <row r="723" spans="1:20">
      <c r="A723" s="54">
        <v>97921</v>
      </c>
      <c r="B723" s="55" t="s">
        <v>2099</v>
      </c>
      <c r="C723" s="106">
        <v>2.1699999999999999E-4</v>
      </c>
      <c r="D723" s="106">
        <v>2.2169999999999999E-4</v>
      </c>
      <c r="E723" s="56">
        <v>331516</v>
      </c>
      <c r="F723" s="56"/>
      <c r="G723" s="57">
        <v>19098</v>
      </c>
      <c r="H723" s="107">
        <v>80493</v>
      </c>
      <c r="I723" s="57">
        <v>47345</v>
      </c>
      <c r="J723" s="56">
        <v>11562</v>
      </c>
      <c r="K723" s="107">
        <f t="shared" si="22"/>
        <v>158498</v>
      </c>
      <c r="L723" s="56"/>
      <c r="M723" s="57">
        <v>9384</v>
      </c>
      <c r="N723" s="57">
        <v>0</v>
      </c>
      <c r="O723" s="56">
        <v>5992</v>
      </c>
      <c r="P723" s="107">
        <f t="shared" si="23"/>
        <v>15376</v>
      </c>
      <c r="Q723" s="56"/>
      <c r="R723" s="57">
        <v>111721</v>
      </c>
      <c r="S723" s="58">
        <v>3241</v>
      </c>
      <c r="T723" s="58">
        <v>114962</v>
      </c>
    </row>
    <row r="724" spans="1:20">
      <c r="A724" s="54">
        <v>97931</v>
      </c>
      <c r="B724" s="55" t="s">
        <v>2100</v>
      </c>
      <c r="C724" s="106">
        <v>7.0199999999999999E-5</v>
      </c>
      <c r="D724" s="106">
        <v>6.1600000000000007E-5</v>
      </c>
      <c r="E724" s="56">
        <v>107246</v>
      </c>
      <c r="F724" s="56"/>
      <c r="G724" s="57">
        <v>6178</v>
      </c>
      <c r="H724" s="107">
        <v>26039</v>
      </c>
      <c r="I724" s="57">
        <v>15316</v>
      </c>
      <c r="J724" s="56">
        <v>18162</v>
      </c>
      <c r="K724" s="107">
        <f t="shared" si="22"/>
        <v>65695</v>
      </c>
      <c r="L724" s="56"/>
      <c r="M724" s="57">
        <v>3036</v>
      </c>
      <c r="N724" s="57">
        <v>0</v>
      </c>
      <c r="O724" s="56">
        <v>7492</v>
      </c>
      <c r="P724" s="107">
        <f t="shared" si="23"/>
        <v>10528</v>
      </c>
      <c r="Q724" s="56"/>
      <c r="R724" s="57">
        <v>36142</v>
      </c>
      <c r="S724" s="58">
        <v>2117</v>
      </c>
      <c r="T724" s="58">
        <v>38259</v>
      </c>
    </row>
    <row r="725" spans="1:20">
      <c r="A725" s="54">
        <v>97941</v>
      </c>
      <c r="B725" s="55" t="s">
        <v>2101</v>
      </c>
      <c r="C725" s="106">
        <v>2.0479999999999999E-4</v>
      </c>
      <c r="D725" s="106">
        <v>2.3330000000000001E-4</v>
      </c>
      <c r="E725" s="56">
        <v>312878</v>
      </c>
      <c r="F725" s="56"/>
      <c r="G725" s="57">
        <v>18025</v>
      </c>
      <c r="H725" s="107">
        <v>75967</v>
      </c>
      <c r="I725" s="57">
        <v>44683</v>
      </c>
      <c r="J725" s="56">
        <v>17999</v>
      </c>
      <c r="K725" s="107">
        <f t="shared" si="22"/>
        <v>156674</v>
      </c>
      <c r="L725" s="56"/>
      <c r="M725" s="57">
        <v>8857</v>
      </c>
      <c r="N725" s="57">
        <v>0</v>
      </c>
      <c r="O725" s="56">
        <v>8897</v>
      </c>
      <c r="P725" s="107">
        <f t="shared" si="23"/>
        <v>17754</v>
      </c>
      <c r="Q725" s="56"/>
      <c r="R725" s="57">
        <v>105440</v>
      </c>
      <c r="S725" s="58">
        <v>7001</v>
      </c>
      <c r="T725" s="58">
        <v>112441</v>
      </c>
    </row>
    <row r="726" spans="1:20">
      <c r="A726" s="54">
        <v>97947</v>
      </c>
      <c r="B726" s="55" t="s">
        <v>2102</v>
      </c>
      <c r="C726" s="106">
        <v>1.3900000000000001E-5</v>
      </c>
      <c r="D726" s="106">
        <v>1.5500000000000001E-5</v>
      </c>
      <c r="E726" s="56">
        <v>21235</v>
      </c>
      <c r="F726" s="56"/>
      <c r="G726" s="57">
        <v>1223</v>
      </c>
      <c r="H726" s="107">
        <v>5156</v>
      </c>
      <c r="I726" s="57">
        <v>3033</v>
      </c>
      <c r="J726" s="56">
        <v>9518</v>
      </c>
      <c r="K726" s="107">
        <f t="shared" si="22"/>
        <v>18930</v>
      </c>
      <c r="L726" s="56"/>
      <c r="M726" s="57">
        <v>601</v>
      </c>
      <c r="N726" s="57">
        <v>0</v>
      </c>
      <c r="O726" s="56">
        <v>306</v>
      </c>
      <c r="P726" s="107">
        <f t="shared" si="23"/>
        <v>907</v>
      </c>
      <c r="Q726" s="56"/>
      <c r="R726" s="57">
        <v>7156</v>
      </c>
      <c r="S726" s="58">
        <v>3116</v>
      </c>
      <c r="T726" s="58">
        <v>10272</v>
      </c>
    </row>
    <row r="727" spans="1:20">
      <c r="A727" s="54">
        <v>97948</v>
      </c>
      <c r="B727" s="55" t="s">
        <v>2103</v>
      </c>
      <c r="C727" s="106">
        <v>2.2099999999999998E-5</v>
      </c>
      <c r="D727" s="106">
        <v>3.5200000000000002E-5</v>
      </c>
      <c r="E727" s="56">
        <v>33763</v>
      </c>
      <c r="F727" s="56"/>
      <c r="G727" s="57">
        <v>1945</v>
      </c>
      <c r="H727" s="107">
        <v>8198</v>
      </c>
      <c r="I727" s="57">
        <v>4822</v>
      </c>
      <c r="J727" s="56">
        <v>1909</v>
      </c>
      <c r="K727" s="107">
        <f t="shared" si="22"/>
        <v>16874</v>
      </c>
      <c r="L727" s="56"/>
      <c r="M727" s="57">
        <v>956</v>
      </c>
      <c r="N727" s="57">
        <v>0</v>
      </c>
      <c r="O727" s="56">
        <v>8330</v>
      </c>
      <c r="P727" s="107">
        <f t="shared" si="23"/>
        <v>9286</v>
      </c>
      <c r="Q727" s="56"/>
      <c r="R727" s="57">
        <v>11378</v>
      </c>
      <c r="S727" s="58">
        <v>-972</v>
      </c>
      <c r="T727" s="58">
        <v>10406</v>
      </c>
    </row>
    <row r="728" spans="1:20">
      <c r="A728" s="54">
        <v>97951</v>
      </c>
      <c r="B728" s="55" t="s">
        <v>2104</v>
      </c>
      <c r="C728" s="106">
        <v>1.2440999999999999E-3</v>
      </c>
      <c r="D728" s="106">
        <v>1.2497000000000001E-3</v>
      </c>
      <c r="E728" s="56">
        <v>1900640</v>
      </c>
      <c r="F728" s="56"/>
      <c r="G728" s="57">
        <v>109494</v>
      </c>
      <c r="H728" s="107">
        <v>461477</v>
      </c>
      <c r="I728" s="57">
        <v>271438</v>
      </c>
      <c r="J728" s="56">
        <v>31864</v>
      </c>
      <c r="K728" s="107">
        <f t="shared" si="22"/>
        <v>874273</v>
      </c>
      <c r="L728" s="56"/>
      <c r="M728" s="57">
        <v>53801</v>
      </c>
      <c r="N728" s="57">
        <v>0</v>
      </c>
      <c r="O728" s="56">
        <v>7067</v>
      </c>
      <c r="P728" s="107">
        <f t="shared" si="23"/>
        <v>60868</v>
      </c>
      <c r="Q728" s="56"/>
      <c r="R728" s="57">
        <v>640517</v>
      </c>
      <c r="S728" s="58">
        <v>4295</v>
      </c>
      <c r="T728" s="58">
        <f>644813-1</f>
        <v>644812</v>
      </c>
    </row>
    <row r="729" spans="1:20">
      <c r="A729" s="54">
        <v>97957</v>
      </c>
      <c r="B729" s="55" t="s">
        <v>2105</v>
      </c>
      <c r="C729" s="106">
        <v>1.8700000000000001E-5</v>
      </c>
      <c r="D729" s="106">
        <v>1.9599999999999999E-5</v>
      </c>
      <c r="E729" s="56">
        <v>28568</v>
      </c>
      <c r="F729" s="56"/>
      <c r="G729" s="57">
        <v>1646</v>
      </c>
      <c r="H729" s="107">
        <v>6936</v>
      </c>
      <c r="I729" s="57">
        <v>4080</v>
      </c>
      <c r="J729" s="56">
        <v>4456</v>
      </c>
      <c r="K729" s="107">
        <f t="shared" si="22"/>
        <v>17118</v>
      </c>
      <c r="L729" s="56"/>
      <c r="M729" s="57">
        <v>809</v>
      </c>
      <c r="N729" s="57">
        <v>0</v>
      </c>
      <c r="O729" s="56">
        <v>1123</v>
      </c>
      <c r="P729" s="107">
        <f t="shared" si="23"/>
        <v>1932</v>
      </c>
      <c r="Q729" s="56"/>
      <c r="R729" s="57">
        <v>9628</v>
      </c>
      <c r="S729" s="58">
        <v>620</v>
      </c>
      <c r="T729" s="58">
        <f>10247+1</f>
        <v>10248</v>
      </c>
    </row>
    <row r="730" spans="1:20">
      <c r="A730" s="54">
        <v>98001</v>
      </c>
      <c r="B730" s="55" t="s">
        <v>2106</v>
      </c>
      <c r="C730" s="106">
        <v>5.1148000000000001E-3</v>
      </c>
      <c r="D730" s="106">
        <v>4.9659999999999999E-3</v>
      </c>
      <c r="E730" s="56">
        <v>7813998</v>
      </c>
      <c r="F730" s="56"/>
      <c r="G730" s="57">
        <v>450159</v>
      </c>
      <c r="H730" s="107">
        <v>1897248</v>
      </c>
      <c r="I730" s="57">
        <v>1115947</v>
      </c>
      <c r="J730" s="56">
        <v>181889</v>
      </c>
      <c r="K730" s="107">
        <f t="shared" si="22"/>
        <v>3645243</v>
      </c>
      <c r="L730" s="56"/>
      <c r="M730" s="57">
        <v>221190</v>
      </c>
      <c r="N730" s="57">
        <v>0</v>
      </c>
      <c r="O730" s="56">
        <v>0</v>
      </c>
      <c r="P730" s="107">
        <f t="shared" si="23"/>
        <v>221190</v>
      </c>
      <c r="Q730" s="56"/>
      <c r="R730" s="57">
        <v>2633324</v>
      </c>
      <c r="S730" s="58">
        <v>81305</v>
      </c>
      <c r="T730" s="58">
        <v>2714629</v>
      </c>
    </row>
    <row r="731" spans="1:20">
      <c r="A731" s="54">
        <v>98002</v>
      </c>
      <c r="B731" s="55" t="s">
        <v>2107</v>
      </c>
      <c r="C731" s="106">
        <v>6.7000000000000002E-6</v>
      </c>
      <c r="D731" s="106">
        <v>7.3000000000000004E-6</v>
      </c>
      <c r="E731" s="56">
        <v>10236</v>
      </c>
      <c r="F731" s="56"/>
      <c r="G731" s="57">
        <v>590</v>
      </c>
      <c r="H731" s="107">
        <v>2485</v>
      </c>
      <c r="I731" s="57">
        <v>1462</v>
      </c>
      <c r="J731" s="56">
        <v>1007</v>
      </c>
      <c r="K731" s="107">
        <f t="shared" si="22"/>
        <v>5544</v>
      </c>
      <c r="L731" s="56"/>
      <c r="M731" s="57">
        <v>290</v>
      </c>
      <c r="N731" s="57">
        <v>0</v>
      </c>
      <c r="O731" s="56">
        <v>6492</v>
      </c>
      <c r="P731" s="107">
        <f t="shared" si="23"/>
        <v>6782</v>
      </c>
      <c r="Q731" s="56"/>
      <c r="R731" s="57">
        <v>3449</v>
      </c>
      <c r="S731" s="58">
        <v>-6219</v>
      </c>
      <c r="T731" s="58">
        <v>-2770</v>
      </c>
    </row>
    <row r="732" spans="1:20">
      <c r="A732" s="54">
        <v>98003</v>
      </c>
      <c r="B732" s="55" t="s">
        <v>2108</v>
      </c>
      <c r="C732" s="106">
        <v>7.9599999999999997E-5</v>
      </c>
      <c r="D732" s="106">
        <v>8.1600000000000005E-5</v>
      </c>
      <c r="E732" s="56">
        <v>121607</v>
      </c>
      <c r="F732" s="56"/>
      <c r="G732" s="57">
        <v>7006</v>
      </c>
      <c r="H732" s="107">
        <v>29526</v>
      </c>
      <c r="I732" s="57">
        <v>17367</v>
      </c>
      <c r="J732" s="56">
        <v>54986</v>
      </c>
      <c r="K732" s="107">
        <f t="shared" si="22"/>
        <v>108885</v>
      </c>
      <c r="L732" s="56"/>
      <c r="M732" s="57">
        <v>3442</v>
      </c>
      <c r="N732" s="57">
        <v>0</v>
      </c>
      <c r="O732" s="56">
        <v>0</v>
      </c>
      <c r="P732" s="107">
        <f t="shared" si="23"/>
        <v>3442</v>
      </c>
      <c r="Q732" s="56"/>
      <c r="R732" s="57">
        <v>40982</v>
      </c>
      <c r="S732" s="58">
        <v>18634</v>
      </c>
      <c r="T732" s="58">
        <v>59616</v>
      </c>
    </row>
    <row r="733" spans="1:20">
      <c r="A733" s="54">
        <v>98004</v>
      </c>
      <c r="B733" s="55" t="s">
        <v>2109</v>
      </c>
      <c r="C733" s="106">
        <v>1.182E-4</v>
      </c>
      <c r="D733" s="106">
        <v>1.209E-4</v>
      </c>
      <c r="E733" s="56">
        <v>180577</v>
      </c>
      <c r="F733" s="56"/>
      <c r="G733" s="57">
        <v>10403</v>
      </c>
      <c r="H733" s="107">
        <v>43844</v>
      </c>
      <c r="I733" s="57">
        <v>25789</v>
      </c>
      <c r="J733" s="56">
        <v>36575</v>
      </c>
      <c r="K733" s="107">
        <f t="shared" si="22"/>
        <v>116611</v>
      </c>
      <c r="L733" s="56"/>
      <c r="M733" s="57">
        <v>5112</v>
      </c>
      <c r="N733" s="57">
        <v>0</v>
      </c>
      <c r="O733" s="56">
        <v>0</v>
      </c>
      <c r="P733" s="107">
        <f t="shared" si="23"/>
        <v>5112</v>
      </c>
      <c r="Q733" s="56"/>
      <c r="R733" s="57">
        <v>60855</v>
      </c>
      <c r="S733" s="58">
        <v>14190</v>
      </c>
      <c r="T733" s="58">
        <f>75044+1</f>
        <v>75045</v>
      </c>
    </row>
    <row r="734" spans="1:20">
      <c r="A734" s="54">
        <v>98008</v>
      </c>
      <c r="B734" s="55" t="s">
        <v>2110</v>
      </c>
      <c r="C734" s="106">
        <v>7.9999999999999996E-6</v>
      </c>
      <c r="D734" s="106">
        <v>7.7999999999999999E-6</v>
      </c>
      <c r="E734" s="56">
        <v>12222</v>
      </c>
      <c r="F734" s="56"/>
      <c r="G734" s="57">
        <v>704</v>
      </c>
      <c r="H734" s="107">
        <v>2967</v>
      </c>
      <c r="I734" s="57">
        <v>1745</v>
      </c>
      <c r="J734" s="56">
        <v>25</v>
      </c>
      <c r="K734" s="107">
        <f t="shared" si="22"/>
        <v>5441</v>
      </c>
      <c r="L734" s="56"/>
      <c r="M734" s="57">
        <v>346</v>
      </c>
      <c r="N734" s="57">
        <v>0</v>
      </c>
      <c r="O734" s="56">
        <v>804</v>
      </c>
      <c r="P734" s="107">
        <f t="shared" si="23"/>
        <v>1150</v>
      </c>
      <c r="Q734" s="56"/>
      <c r="R734" s="57">
        <v>4119</v>
      </c>
      <c r="S734" s="58">
        <v>-490</v>
      </c>
      <c r="T734" s="58">
        <v>3629</v>
      </c>
    </row>
    <row r="735" spans="1:20">
      <c r="A735" s="54">
        <v>98011</v>
      </c>
      <c r="B735" s="55" t="s">
        <v>2111</v>
      </c>
      <c r="C735" s="106">
        <v>3.1578999999999999E-3</v>
      </c>
      <c r="D735" s="106">
        <v>3.1795E-3</v>
      </c>
      <c r="E735" s="56">
        <v>4824396</v>
      </c>
      <c r="F735" s="56"/>
      <c r="G735" s="57">
        <v>277930</v>
      </c>
      <c r="H735" s="107">
        <v>1171370</v>
      </c>
      <c r="I735" s="57">
        <v>688991</v>
      </c>
      <c r="J735" s="56">
        <v>0</v>
      </c>
      <c r="K735" s="107">
        <f t="shared" si="22"/>
        <v>2138291</v>
      </c>
      <c r="L735" s="56"/>
      <c r="M735" s="57">
        <v>136563</v>
      </c>
      <c r="N735" s="57">
        <v>0</v>
      </c>
      <c r="O735" s="56">
        <v>315025</v>
      </c>
      <c r="P735" s="107">
        <f t="shared" si="23"/>
        <v>451588</v>
      </c>
      <c r="Q735" s="56"/>
      <c r="R735" s="57">
        <v>1625826</v>
      </c>
      <c r="S735" s="58">
        <v>-146862</v>
      </c>
      <c r="T735" s="58">
        <v>1478964</v>
      </c>
    </row>
    <row r="736" spans="1:20">
      <c r="A736" s="54">
        <v>98013</v>
      </c>
      <c r="B736" s="55" t="s">
        <v>2112</v>
      </c>
      <c r="C736" s="106">
        <v>1.415E-4</v>
      </c>
      <c r="D736" s="106">
        <v>1.426E-4</v>
      </c>
      <c r="E736" s="56">
        <v>216173</v>
      </c>
      <c r="F736" s="56"/>
      <c r="G736" s="57">
        <v>12454</v>
      </c>
      <c r="H736" s="107">
        <v>52487</v>
      </c>
      <c r="I736" s="57">
        <v>30872</v>
      </c>
      <c r="J736" s="56">
        <v>126104</v>
      </c>
      <c r="K736" s="107">
        <f t="shared" si="22"/>
        <v>221917</v>
      </c>
      <c r="L736" s="56"/>
      <c r="M736" s="57">
        <v>6119</v>
      </c>
      <c r="N736" s="57">
        <v>0</v>
      </c>
      <c r="O736" s="56">
        <v>2073</v>
      </c>
      <c r="P736" s="107">
        <f t="shared" si="23"/>
        <v>8192</v>
      </c>
      <c r="Q736" s="56"/>
      <c r="R736" s="57">
        <v>72850</v>
      </c>
      <c r="S736" s="58">
        <v>41784</v>
      </c>
      <c r="T736" s="58">
        <f>114635-1</f>
        <v>114634</v>
      </c>
    </row>
    <row r="737" spans="1:20">
      <c r="A737" s="54">
        <v>98021</v>
      </c>
      <c r="B737" s="55" t="s">
        <v>2113</v>
      </c>
      <c r="C737" s="106">
        <v>8.6199999999999995E-5</v>
      </c>
      <c r="D737" s="106">
        <v>7.5099999999999996E-5</v>
      </c>
      <c r="E737" s="56">
        <v>131690</v>
      </c>
      <c r="F737" s="56"/>
      <c r="G737" s="57">
        <v>7587</v>
      </c>
      <c r="H737" s="107">
        <v>31975</v>
      </c>
      <c r="I737" s="57">
        <v>18807</v>
      </c>
      <c r="J737" s="56">
        <v>13468</v>
      </c>
      <c r="K737" s="107">
        <f t="shared" si="22"/>
        <v>71837</v>
      </c>
      <c r="L737" s="56"/>
      <c r="M737" s="57">
        <v>3728</v>
      </c>
      <c r="N737" s="57">
        <v>0</v>
      </c>
      <c r="O737" s="56">
        <v>2708</v>
      </c>
      <c r="P737" s="107">
        <f t="shared" si="23"/>
        <v>6436</v>
      </c>
      <c r="Q737" s="56"/>
      <c r="R737" s="57">
        <v>44380</v>
      </c>
      <c r="S737" s="58">
        <v>6479</v>
      </c>
      <c r="T737" s="58">
        <v>50859</v>
      </c>
    </row>
    <row r="738" spans="1:20">
      <c r="A738" s="54">
        <v>98023</v>
      </c>
      <c r="B738" s="55" t="s">
        <v>2114</v>
      </c>
      <c r="C738" s="106">
        <v>1.43E-5</v>
      </c>
      <c r="D738" s="106">
        <v>1.45E-5</v>
      </c>
      <c r="E738" s="56">
        <v>21846</v>
      </c>
      <c r="F738" s="56"/>
      <c r="G738" s="57">
        <v>1259</v>
      </c>
      <c r="H738" s="107">
        <v>5305</v>
      </c>
      <c r="I738" s="57">
        <v>3120</v>
      </c>
      <c r="J738" s="56">
        <v>109</v>
      </c>
      <c r="K738" s="107">
        <f t="shared" si="22"/>
        <v>9793</v>
      </c>
      <c r="L738" s="56"/>
      <c r="M738" s="57">
        <v>618</v>
      </c>
      <c r="N738" s="57">
        <v>0</v>
      </c>
      <c r="O738" s="56">
        <v>5220</v>
      </c>
      <c r="P738" s="107">
        <f t="shared" si="23"/>
        <v>5838</v>
      </c>
      <c r="Q738" s="56"/>
      <c r="R738" s="57">
        <v>7362</v>
      </c>
      <c r="S738" s="58">
        <v>-2611</v>
      </c>
      <c r="T738" s="58">
        <v>4751</v>
      </c>
    </row>
    <row r="739" spans="1:20">
      <c r="A739" s="54">
        <v>98031</v>
      </c>
      <c r="B739" s="55" t="s">
        <v>2115</v>
      </c>
      <c r="C739" s="106">
        <v>1.537E-4</v>
      </c>
      <c r="D739" s="106">
        <v>1.5530000000000001E-4</v>
      </c>
      <c r="E739" s="56">
        <v>234811</v>
      </c>
      <c r="F739" s="56"/>
      <c r="G739" s="57">
        <v>13527</v>
      </c>
      <c r="H739" s="107">
        <v>57012</v>
      </c>
      <c r="I739" s="57">
        <v>33534</v>
      </c>
      <c r="J739" s="56">
        <v>4651</v>
      </c>
      <c r="K739" s="107">
        <f t="shared" si="22"/>
        <v>108724</v>
      </c>
      <c r="L739" s="56"/>
      <c r="M739" s="57">
        <v>6647</v>
      </c>
      <c r="N739" s="57">
        <v>0</v>
      </c>
      <c r="O739" s="56">
        <v>9184</v>
      </c>
      <c r="P739" s="107">
        <f t="shared" si="23"/>
        <v>15831</v>
      </c>
      <c r="Q739" s="56"/>
      <c r="R739" s="57">
        <v>79132</v>
      </c>
      <c r="S739" s="58">
        <v>-1401</v>
      </c>
      <c r="T739" s="58">
        <f>77730+1</f>
        <v>77731</v>
      </c>
    </row>
    <row r="740" spans="1:20">
      <c r="A740" s="54">
        <v>98041</v>
      </c>
      <c r="B740" s="55" t="s">
        <v>2116</v>
      </c>
      <c r="C740" s="106">
        <v>1.9230000000000001E-4</v>
      </c>
      <c r="D740" s="106">
        <v>1.6559999999999999E-4</v>
      </c>
      <c r="E740" s="56">
        <v>293781</v>
      </c>
      <c r="F740" s="56"/>
      <c r="G740" s="57">
        <v>16925</v>
      </c>
      <c r="H740" s="107">
        <v>71330</v>
      </c>
      <c r="I740" s="57">
        <v>41956</v>
      </c>
      <c r="J740" s="56">
        <v>17154</v>
      </c>
      <c r="K740" s="107">
        <f t="shared" si="22"/>
        <v>147365</v>
      </c>
      <c r="L740" s="56"/>
      <c r="M740" s="57">
        <v>8316</v>
      </c>
      <c r="N740" s="57">
        <v>0</v>
      </c>
      <c r="O740" s="56">
        <v>5779</v>
      </c>
      <c r="P740" s="107">
        <f t="shared" si="23"/>
        <v>14095</v>
      </c>
      <c r="Q740" s="56"/>
      <c r="R740" s="57">
        <v>99005</v>
      </c>
      <c r="S740" s="58">
        <v>943</v>
      </c>
      <c r="T740" s="58">
        <v>99948</v>
      </c>
    </row>
    <row r="741" spans="1:20">
      <c r="A741" s="54">
        <v>98051</v>
      </c>
      <c r="B741" s="55" t="s">
        <v>2117</v>
      </c>
      <c r="C741" s="106">
        <v>2.8019999999999998E-4</v>
      </c>
      <c r="D741" s="106">
        <v>3.0019999999999998E-4</v>
      </c>
      <c r="E741" s="56">
        <v>428068</v>
      </c>
      <c r="F741" s="56"/>
      <c r="G741" s="57">
        <v>24661</v>
      </c>
      <c r="H741" s="107">
        <v>103936</v>
      </c>
      <c r="I741" s="57">
        <v>61134</v>
      </c>
      <c r="J741" s="56">
        <v>21691</v>
      </c>
      <c r="K741" s="107">
        <f t="shared" si="22"/>
        <v>211422</v>
      </c>
      <c r="L741" s="56"/>
      <c r="M741" s="57">
        <v>12117</v>
      </c>
      <c r="N741" s="57">
        <v>0</v>
      </c>
      <c r="O741" s="56">
        <v>7516</v>
      </c>
      <c r="P741" s="107">
        <f t="shared" si="23"/>
        <v>19633</v>
      </c>
      <c r="Q741" s="56"/>
      <c r="R741" s="57">
        <v>144259</v>
      </c>
      <c r="S741" s="58">
        <v>7566</v>
      </c>
      <c r="T741" s="58">
        <v>151825</v>
      </c>
    </row>
    <row r="742" spans="1:20">
      <c r="A742" s="54">
        <v>98061</v>
      </c>
      <c r="B742" s="55" t="s">
        <v>2118</v>
      </c>
      <c r="C742" s="106">
        <v>1.0670000000000001E-4</v>
      </c>
      <c r="D742" s="106">
        <v>9.9099999999999996E-5</v>
      </c>
      <c r="E742" s="56">
        <v>163008</v>
      </c>
      <c r="F742" s="56"/>
      <c r="G742" s="57">
        <v>9391</v>
      </c>
      <c r="H742" s="107">
        <v>39579</v>
      </c>
      <c r="I742" s="57">
        <v>23280</v>
      </c>
      <c r="J742" s="56">
        <v>3820</v>
      </c>
      <c r="K742" s="107">
        <f t="shared" si="22"/>
        <v>76070</v>
      </c>
      <c r="L742" s="56"/>
      <c r="M742" s="57">
        <v>4614</v>
      </c>
      <c r="N742" s="57">
        <v>0</v>
      </c>
      <c r="O742" s="56">
        <v>17433</v>
      </c>
      <c r="P742" s="107">
        <f t="shared" si="23"/>
        <v>22047</v>
      </c>
      <c r="Q742" s="56"/>
      <c r="R742" s="57">
        <v>54934</v>
      </c>
      <c r="S742" s="58">
        <v>-6260</v>
      </c>
      <c r="T742" s="58">
        <v>48674</v>
      </c>
    </row>
    <row r="743" spans="1:20">
      <c r="A743" s="54">
        <v>98071</v>
      </c>
      <c r="B743" s="55" t="s">
        <v>2119</v>
      </c>
      <c r="C743" s="106">
        <v>4.0099999999999999E-5</v>
      </c>
      <c r="D743" s="106">
        <v>3.4400000000000003E-5</v>
      </c>
      <c r="E743" s="56">
        <v>61262</v>
      </c>
      <c r="F743" s="56"/>
      <c r="G743" s="57">
        <v>3529</v>
      </c>
      <c r="H743" s="107">
        <v>14874</v>
      </c>
      <c r="I743" s="57">
        <v>8749</v>
      </c>
      <c r="J743" s="56">
        <v>18505</v>
      </c>
      <c r="K743" s="107">
        <f t="shared" si="22"/>
        <v>45657</v>
      </c>
      <c r="L743" s="56"/>
      <c r="M743" s="57">
        <v>1734</v>
      </c>
      <c r="N743" s="57">
        <v>0</v>
      </c>
      <c r="O743" s="56">
        <v>1200</v>
      </c>
      <c r="P743" s="107">
        <f t="shared" si="23"/>
        <v>2934</v>
      </c>
      <c r="Q743" s="56"/>
      <c r="R743" s="57">
        <v>20645</v>
      </c>
      <c r="S743" s="58">
        <v>4654</v>
      </c>
      <c r="T743" s="58">
        <v>25299</v>
      </c>
    </row>
    <row r="744" spans="1:20">
      <c r="A744" s="54">
        <v>98081</v>
      </c>
      <c r="B744" s="55" t="s">
        <v>2120</v>
      </c>
      <c r="C744" s="106">
        <v>1.8300000000000001E-5</v>
      </c>
      <c r="D744" s="106">
        <v>1.9400000000000001E-5</v>
      </c>
      <c r="E744" s="56">
        <v>27957</v>
      </c>
      <c r="F744" s="56"/>
      <c r="G744" s="57">
        <v>1611</v>
      </c>
      <c r="H744" s="107">
        <v>6788</v>
      </c>
      <c r="I744" s="57">
        <v>3993</v>
      </c>
      <c r="J744" s="56">
        <v>0</v>
      </c>
      <c r="K744" s="107">
        <f t="shared" si="22"/>
        <v>12392</v>
      </c>
      <c r="L744" s="56"/>
      <c r="M744" s="57">
        <v>791</v>
      </c>
      <c r="N744" s="57">
        <v>0</v>
      </c>
      <c r="O744" s="56">
        <v>4207</v>
      </c>
      <c r="P744" s="107">
        <f t="shared" si="23"/>
        <v>4998</v>
      </c>
      <c r="Q744" s="56"/>
      <c r="R744" s="57">
        <v>9422</v>
      </c>
      <c r="S744" s="58">
        <v>-1896</v>
      </c>
      <c r="T744" s="58">
        <v>7526</v>
      </c>
    </row>
    <row r="745" spans="1:20">
      <c r="A745" s="54">
        <v>98091</v>
      </c>
      <c r="B745" s="55" t="s">
        <v>2121</v>
      </c>
      <c r="C745" s="106">
        <v>4.7500000000000003E-5</v>
      </c>
      <c r="D745" s="106">
        <v>5.0899999999999997E-5</v>
      </c>
      <c r="E745" s="56">
        <v>72567</v>
      </c>
      <c r="F745" s="56"/>
      <c r="G745" s="57">
        <v>4181</v>
      </c>
      <c r="H745" s="107">
        <v>17619</v>
      </c>
      <c r="I745" s="57">
        <v>10364</v>
      </c>
      <c r="J745" s="56">
        <v>1261</v>
      </c>
      <c r="K745" s="107">
        <f t="shared" si="22"/>
        <v>33425</v>
      </c>
      <c r="L745" s="56"/>
      <c r="M745" s="57">
        <v>2054</v>
      </c>
      <c r="N745" s="57">
        <v>0</v>
      </c>
      <c r="O745" s="56">
        <v>807</v>
      </c>
      <c r="P745" s="107">
        <f t="shared" si="23"/>
        <v>2861</v>
      </c>
      <c r="Q745" s="56"/>
      <c r="R745" s="57">
        <v>24455</v>
      </c>
      <c r="S745" s="58">
        <v>-295</v>
      </c>
      <c r="T745" s="58">
        <v>24160</v>
      </c>
    </row>
    <row r="746" spans="1:20">
      <c r="A746" s="54">
        <v>98101</v>
      </c>
      <c r="B746" s="55" t="s">
        <v>2122</v>
      </c>
      <c r="C746" s="106">
        <v>2.8706999999999999E-3</v>
      </c>
      <c r="D746" s="106">
        <v>2.7642999999999999E-3</v>
      </c>
      <c r="E746" s="56">
        <v>4385634</v>
      </c>
      <c r="F746" s="56"/>
      <c r="G746" s="57">
        <v>252653</v>
      </c>
      <c r="H746" s="107">
        <v>1064838</v>
      </c>
      <c r="I746" s="57">
        <v>626329</v>
      </c>
      <c r="J746" s="56">
        <v>37308</v>
      </c>
      <c r="K746" s="107">
        <f t="shared" si="22"/>
        <v>1981128</v>
      </c>
      <c r="L746" s="56"/>
      <c r="M746" s="57">
        <v>124143</v>
      </c>
      <c r="N746" s="57">
        <v>0</v>
      </c>
      <c r="O746" s="56">
        <v>32438</v>
      </c>
      <c r="P746" s="107">
        <f t="shared" si="23"/>
        <v>156581</v>
      </c>
      <c r="Q746" s="56"/>
      <c r="R746" s="57">
        <v>1477963</v>
      </c>
      <c r="S746" s="58">
        <v>14286</v>
      </c>
      <c r="T746" s="58">
        <f>1492248+1</f>
        <v>1492249</v>
      </c>
    </row>
    <row r="747" spans="1:20">
      <c r="A747" s="54">
        <v>98102</v>
      </c>
      <c r="B747" s="55" t="s">
        <v>2123</v>
      </c>
      <c r="C747" s="106">
        <v>1.5809999999999999E-4</v>
      </c>
      <c r="D747" s="106">
        <v>1.683E-4</v>
      </c>
      <c r="E747" s="56">
        <v>241533</v>
      </c>
      <c r="F747" s="56"/>
      <c r="G747" s="57">
        <v>13915</v>
      </c>
      <c r="H747" s="107">
        <v>58644</v>
      </c>
      <c r="I747" s="57">
        <v>34494</v>
      </c>
      <c r="J747" s="56">
        <v>0</v>
      </c>
      <c r="K747" s="107">
        <f t="shared" si="22"/>
        <v>107053</v>
      </c>
      <c r="L747" s="56"/>
      <c r="M747" s="57">
        <v>6837</v>
      </c>
      <c r="N747" s="57">
        <v>0</v>
      </c>
      <c r="O747" s="56">
        <v>14329</v>
      </c>
      <c r="P747" s="107">
        <f t="shared" si="23"/>
        <v>21166</v>
      </c>
      <c r="Q747" s="56"/>
      <c r="R747" s="57">
        <v>81397</v>
      </c>
      <c r="S747" s="58">
        <v>-5584</v>
      </c>
      <c r="T747" s="58">
        <v>75813</v>
      </c>
    </row>
    <row r="748" spans="1:20">
      <c r="A748" s="54">
        <v>98103</v>
      </c>
      <c r="B748" s="55" t="s">
        <v>2124</v>
      </c>
      <c r="C748" s="106">
        <v>5.4410000000000005E-4</v>
      </c>
      <c r="D748" s="106">
        <v>5.3600000000000002E-4</v>
      </c>
      <c r="E748" s="56">
        <v>831234</v>
      </c>
      <c r="F748" s="56"/>
      <c r="G748" s="57">
        <v>47887</v>
      </c>
      <c r="H748" s="107">
        <v>201824</v>
      </c>
      <c r="I748" s="57">
        <v>118712</v>
      </c>
      <c r="J748" s="56">
        <v>9730</v>
      </c>
      <c r="K748" s="107">
        <f t="shared" si="22"/>
        <v>378153</v>
      </c>
      <c r="L748" s="56"/>
      <c r="M748" s="57">
        <v>23530</v>
      </c>
      <c r="N748" s="57">
        <v>0</v>
      </c>
      <c r="O748" s="56">
        <v>27055</v>
      </c>
      <c r="P748" s="107">
        <f t="shared" si="23"/>
        <v>50585</v>
      </c>
      <c r="Q748" s="56"/>
      <c r="R748" s="57">
        <v>280127</v>
      </c>
      <c r="S748" s="58">
        <v>-17051</v>
      </c>
      <c r="T748" s="58">
        <v>263076</v>
      </c>
    </row>
    <row r="749" spans="1:20">
      <c r="A749" s="54">
        <v>98107</v>
      </c>
      <c r="B749" s="55" t="s">
        <v>2125</v>
      </c>
      <c r="C749" s="106">
        <v>1.08E-5</v>
      </c>
      <c r="D749" s="106">
        <v>1.08E-5</v>
      </c>
      <c r="E749" s="56">
        <v>16499</v>
      </c>
      <c r="F749" s="56"/>
      <c r="G749" s="57">
        <v>951</v>
      </c>
      <c r="H749" s="107">
        <v>4006</v>
      </c>
      <c r="I749" s="57">
        <v>2356</v>
      </c>
      <c r="J749" s="56">
        <v>8237</v>
      </c>
      <c r="K749" s="107">
        <f t="shared" si="22"/>
        <v>15550</v>
      </c>
      <c r="L749" s="56"/>
      <c r="M749" s="57">
        <v>467</v>
      </c>
      <c r="N749" s="57">
        <v>0</v>
      </c>
      <c r="O749" s="56">
        <v>0</v>
      </c>
      <c r="P749" s="107">
        <f t="shared" si="23"/>
        <v>467</v>
      </c>
      <c r="Q749" s="56"/>
      <c r="R749" s="57">
        <v>5560</v>
      </c>
      <c r="S749" s="58">
        <v>3467</v>
      </c>
      <c r="T749" s="58">
        <v>9027</v>
      </c>
    </row>
    <row r="750" spans="1:20">
      <c r="A750" s="54">
        <v>98109</v>
      </c>
      <c r="B750" s="55" t="s">
        <v>2126</v>
      </c>
      <c r="C750" s="106">
        <v>1.573E-4</v>
      </c>
      <c r="D750" s="106">
        <v>1.4660000000000001E-4</v>
      </c>
      <c r="E750" s="56">
        <v>240311</v>
      </c>
      <c r="F750" s="56"/>
      <c r="G750" s="57">
        <v>13844</v>
      </c>
      <c r="H750" s="107">
        <v>58348</v>
      </c>
      <c r="I750" s="57">
        <v>34320</v>
      </c>
      <c r="J750" s="56">
        <v>12163</v>
      </c>
      <c r="K750" s="107">
        <f t="shared" si="22"/>
        <v>118675</v>
      </c>
      <c r="L750" s="56"/>
      <c r="M750" s="57">
        <v>6802</v>
      </c>
      <c r="N750" s="57">
        <v>0</v>
      </c>
      <c r="O750" s="56">
        <v>24551</v>
      </c>
      <c r="P750" s="107">
        <f t="shared" si="23"/>
        <v>31353</v>
      </c>
      <c r="Q750" s="56"/>
      <c r="R750" s="57">
        <v>80985</v>
      </c>
      <c r="S750" s="58">
        <v>-7590</v>
      </c>
      <c r="T750" s="58">
        <v>73395</v>
      </c>
    </row>
    <row r="751" spans="1:20">
      <c r="A751" s="54">
        <v>98111</v>
      </c>
      <c r="B751" s="55" t="s">
        <v>2127</v>
      </c>
      <c r="C751" s="106">
        <v>1.0143000000000001E-3</v>
      </c>
      <c r="D751" s="106">
        <v>1.0191E-3</v>
      </c>
      <c r="E751" s="56">
        <v>1549569</v>
      </c>
      <c r="F751" s="56"/>
      <c r="G751" s="57">
        <v>89270</v>
      </c>
      <c r="H751" s="107">
        <v>376238</v>
      </c>
      <c r="I751" s="57">
        <v>221300</v>
      </c>
      <c r="J751" s="56">
        <v>0</v>
      </c>
      <c r="K751" s="107">
        <f t="shared" si="22"/>
        <v>686808</v>
      </c>
      <c r="L751" s="56"/>
      <c r="M751" s="57">
        <v>43863</v>
      </c>
      <c r="N751" s="57">
        <v>0</v>
      </c>
      <c r="O751" s="56">
        <v>66610</v>
      </c>
      <c r="P751" s="107">
        <f t="shared" si="23"/>
        <v>110473</v>
      </c>
      <c r="Q751" s="56"/>
      <c r="R751" s="57">
        <v>522206</v>
      </c>
      <c r="S751" s="58">
        <v>-21506</v>
      </c>
      <c r="T751" s="58">
        <v>500700</v>
      </c>
    </row>
    <row r="752" spans="1:20">
      <c r="A752" s="54">
        <v>98113</v>
      </c>
      <c r="B752" s="55" t="s">
        <v>2128</v>
      </c>
      <c r="C752" s="106">
        <v>4.6199999999999998E-5</v>
      </c>
      <c r="D752" s="106">
        <v>3.8999999999999999E-5</v>
      </c>
      <c r="E752" s="56">
        <v>70581</v>
      </c>
      <c r="F752" s="56"/>
      <c r="G752" s="57">
        <v>4066</v>
      </c>
      <c r="H752" s="107">
        <v>17137</v>
      </c>
      <c r="I752" s="57">
        <v>10080</v>
      </c>
      <c r="J752" s="56">
        <v>11739</v>
      </c>
      <c r="K752" s="107">
        <f t="shared" si="22"/>
        <v>43022</v>
      </c>
      <c r="L752" s="56"/>
      <c r="M752" s="57">
        <v>1998</v>
      </c>
      <c r="N752" s="57">
        <v>0</v>
      </c>
      <c r="O752" s="56">
        <v>0</v>
      </c>
      <c r="P752" s="107">
        <f t="shared" si="23"/>
        <v>1998</v>
      </c>
      <c r="Q752" s="56"/>
      <c r="R752" s="57">
        <v>23786</v>
      </c>
      <c r="S752" s="58">
        <v>4647</v>
      </c>
      <c r="T752" s="58">
        <f>28432+1</f>
        <v>28433</v>
      </c>
    </row>
    <row r="753" spans="1:20">
      <c r="A753" s="54">
        <v>98121</v>
      </c>
      <c r="B753" s="55" t="s">
        <v>2129</v>
      </c>
      <c r="C753" s="106">
        <v>2.0100000000000001E-4</v>
      </c>
      <c r="D753" s="106">
        <v>2.2910000000000001E-4</v>
      </c>
      <c r="E753" s="56">
        <v>307072</v>
      </c>
      <c r="F753" s="56"/>
      <c r="G753" s="57">
        <v>17690</v>
      </c>
      <c r="H753" s="107">
        <v>74558</v>
      </c>
      <c r="I753" s="57">
        <v>43854</v>
      </c>
      <c r="J753" s="56">
        <v>2134</v>
      </c>
      <c r="K753" s="107">
        <f t="shared" si="22"/>
        <v>138236</v>
      </c>
      <c r="L753" s="56"/>
      <c r="M753" s="57">
        <v>8692</v>
      </c>
      <c r="N753" s="57">
        <v>0</v>
      </c>
      <c r="O753" s="56">
        <v>25239</v>
      </c>
      <c r="P753" s="107">
        <f t="shared" si="23"/>
        <v>33931</v>
      </c>
      <c r="Q753" s="56"/>
      <c r="R753" s="57">
        <v>103484</v>
      </c>
      <c r="S753" s="58">
        <v>-5712</v>
      </c>
      <c r="T753" s="58">
        <f>97771+1</f>
        <v>97772</v>
      </c>
    </row>
    <row r="754" spans="1:20">
      <c r="A754" s="54">
        <v>98131</v>
      </c>
      <c r="B754" s="55" t="s">
        <v>2130</v>
      </c>
      <c r="C754" s="106">
        <v>2.5230000000000001E-4</v>
      </c>
      <c r="D754" s="106">
        <v>2.9569999999999998E-4</v>
      </c>
      <c r="E754" s="56">
        <v>385445</v>
      </c>
      <c r="F754" s="56"/>
      <c r="G754" s="57">
        <v>22205</v>
      </c>
      <c r="H754" s="107">
        <v>93586</v>
      </c>
      <c r="I754" s="57">
        <v>55047</v>
      </c>
      <c r="J754" s="56">
        <v>0</v>
      </c>
      <c r="K754" s="107">
        <f t="shared" si="22"/>
        <v>170838</v>
      </c>
      <c r="L754" s="56"/>
      <c r="M754" s="57">
        <v>10911</v>
      </c>
      <c r="N754" s="57">
        <v>0</v>
      </c>
      <c r="O754" s="56">
        <v>53749</v>
      </c>
      <c r="P754" s="107">
        <f t="shared" si="23"/>
        <v>64660</v>
      </c>
      <c r="Q754" s="56"/>
      <c r="R754" s="57">
        <v>129895</v>
      </c>
      <c r="S754" s="58">
        <v>-23653</v>
      </c>
      <c r="T754" s="58">
        <v>106242</v>
      </c>
    </row>
    <row r="755" spans="1:20">
      <c r="A755" s="54">
        <v>98141</v>
      </c>
      <c r="B755" s="55" t="s">
        <v>2131</v>
      </c>
      <c r="C755" s="106">
        <v>3.0360000000000001E-4</v>
      </c>
      <c r="D755" s="106">
        <v>2.9030000000000001E-4</v>
      </c>
      <c r="E755" s="56">
        <v>463817</v>
      </c>
      <c r="F755" s="56"/>
      <c r="G755" s="57">
        <v>26720</v>
      </c>
      <c r="H755" s="107">
        <v>112616</v>
      </c>
      <c r="I755" s="57">
        <v>66239</v>
      </c>
      <c r="J755" s="56">
        <v>5226</v>
      </c>
      <c r="K755" s="107">
        <f t="shared" si="22"/>
        <v>210801</v>
      </c>
      <c r="L755" s="56"/>
      <c r="M755" s="57">
        <v>13129</v>
      </c>
      <c r="N755" s="57">
        <v>0</v>
      </c>
      <c r="O755" s="56">
        <v>22375</v>
      </c>
      <c r="P755" s="107">
        <f t="shared" si="23"/>
        <v>35504</v>
      </c>
      <c r="Q755" s="56"/>
      <c r="R755" s="57">
        <v>156307</v>
      </c>
      <c r="S755" s="58">
        <v>-11630</v>
      </c>
      <c r="T755" s="58">
        <v>144677</v>
      </c>
    </row>
    <row r="756" spans="1:20">
      <c r="A756" s="54">
        <v>98147</v>
      </c>
      <c r="B756" s="55" t="s">
        <v>2132</v>
      </c>
      <c r="C756" s="106">
        <v>1.29E-5</v>
      </c>
      <c r="D756" s="106">
        <v>1.29E-5</v>
      </c>
      <c r="E756" s="56">
        <v>19708</v>
      </c>
      <c r="F756" s="56"/>
      <c r="G756" s="57">
        <v>1135</v>
      </c>
      <c r="H756" s="107">
        <v>4785</v>
      </c>
      <c r="I756" s="57">
        <v>2815</v>
      </c>
      <c r="J756" s="56">
        <v>8231</v>
      </c>
      <c r="K756" s="107">
        <f t="shared" si="22"/>
        <v>16966</v>
      </c>
      <c r="L756" s="56"/>
      <c r="M756" s="57">
        <v>558</v>
      </c>
      <c r="N756" s="57">
        <v>0</v>
      </c>
      <c r="O756" s="56">
        <v>0</v>
      </c>
      <c r="P756" s="107">
        <f t="shared" si="23"/>
        <v>558</v>
      </c>
      <c r="Q756" s="56"/>
      <c r="R756" s="57">
        <v>6641</v>
      </c>
      <c r="S756" s="58">
        <v>3295</v>
      </c>
      <c r="T756" s="58">
        <f>9937-1</f>
        <v>9936</v>
      </c>
    </row>
    <row r="757" spans="1:20">
      <c r="A757" s="54">
        <v>98161</v>
      </c>
      <c r="B757" s="55" t="s">
        <v>2133</v>
      </c>
      <c r="C757" s="106">
        <v>7.3000000000000004E-6</v>
      </c>
      <c r="D757" s="106">
        <v>7.4000000000000003E-6</v>
      </c>
      <c r="E757" s="56">
        <v>11152</v>
      </c>
      <c r="F757" s="56"/>
      <c r="G757" s="57">
        <v>642</v>
      </c>
      <c r="H757" s="107">
        <v>2708</v>
      </c>
      <c r="I757" s="57">
        <v>1593</v>
      </c>
      <c r="J757" s="56">
        <v>2689</v>
      </c>
      <c r="K757" s="107">
        <f t="shared" si="22"/>
        <v>7632</v>
      </c>
      <c r="L757" s="56"/>
      <c r="M757" s="57">
        <v>316</v>
      </c>
      <c r="N757" s="57">
        <v>0</v>
      </c>
      <c r="O757" s="56">
        <v>0</v>
      </c>
      <c r="P757" s="107">
        <f t="shared" si="23"/>
        <v>316</v>
      </c>
      <c r="Q757" s="56"/>
      <c r="R757" s="57">
        <v>3758</v>
      </c>
      <c r="S757" s="58">
        <v>1075</v>
      </c>
      <c r="T757" s="58">
        <v>4833</v>
      </c>
    </row>
    <row r="758" spans="1:20">
      <c r="A758" s="54">
        <v>98201</v>
      </c>
      <c r="B758" s="55" t="s">
        <v>2134</v>
      </c>
      <c r="C758" s="106">
        <v>3.1664000000000002E-3</v>
      </c>
      <c r="D758" s="106">
        <v>3.0368999999999999E-3</v>
      </c>
      <c r="E758" s="56">
        <v>4837382</v>
      </c>
      <c r="F758" s="56"/>
      <c r="G758" s="57">
        <v>278678</v>
      </c>
      <c r="H758" s="107">
        <v>1174522</v>
      </c>
      <c r="I758" s="57">
        <v>690845</v>
      </c>
      <c r="J758" s="56">
        <v>63594</v>
      </c>
      <c r="K758" s="107">
        <f t="shared" si="22"/>
        <v>2207639</v>
      </c>
      <c r="L758" s="56"/>
      <c r="M758" s="57">
        <v>136931</v>
      </c>
      <c r="N758" s="57">
        <v>0</v>
      </c>
      <c r="O758" s="56">
        <v>39608</v>
      </c>
      <c r="P758" s="107">
        <f t="shared" si="23"/>
        <v>176539</v>
      </c>
      <c r="Q758" s="56"/>
      <c r="R758" s="57">
        <v>1630202</v>
      </c>
      <c r="S758" s="58">
        <v>-5370</v>
      </c>
      <c r="T758" s="58">
        <v>1624832</v>
      </c>
    </row>
    <row r="759" spans="1:20">
      <c r="A759" s="54">
        <v>98205</v>
      </c>
      <c r="B759" s="55" t="s">
        <v>2135</v>
      </c>
      <c r="C759" s="106">
        <v>4.6799999999999999E-5</v>
      </c>
      <c r="D759" s="106">
        <v>5.13E-5</v>
      </c>
      <c r="E759" s="56">
        <v>71497</v>
      </c>
      <c r="F759" s="56"/>
      <c r="G759" s="57">
        <v>4119</v>
      </c>
      <c r="H759" s="107">
        <v>17359</v>
      </c>
      <c r="I759" s="57">
        <v>10211</v>
      </c>
      <c r="J759" s="56">
        <v>1985</v>
      </c>
      <c r="K759" s="107">
        <f t="shared" si="22"/>
        <v>33674</v>
      </c>
      <c r="L759" s="56"/>
      <c r="M759" s="57">
        <v>2024</v>
      </c>
      <c r="N759" s="57">
        <v>0</v>
      </c>
      <c r="O759" s="56">
        <v>2510</v>
      </c>
      <c r="P759" s="107">
        <f t="shared" si="23"/>
        <v>4534</v>
      </c>
      <c r="Q759" s="56"/>
      <c r="R759" s="57">
        <v>24095</v>
      </c>
      <c r="S759" s="58">
        <v>-141</v>
      </c>
      <c r="T759" s="58">
        <f>23953+1</f>
        <v>23954</v>
      </c>
    </row>
    <row r="760" spans="1:20">
      <c r="A760" s="54">
        <v>98211</v>
      </c>
      <c r="B760" s="55" t="s">
        <v>2136</v>
      </c>
      <c r="C760" s="106">
        <v>8.6689999999999998E-4</v>
      </c>
      <c r="D760" s="106">
        <v>9.1609999999999999E-4</v>
      </c>
      <c r="E760" s="56">
        <v>1324383</v>
      </c>
      <c r="F760" s="56"/>
      <c r="G760" s="57">
        <v>76297</v>
      </c>
      <c r="H760" s="107">
        <v>321561</v>
      </c>
      <c r="I760" s="57">
        <v>189140</v>
      </c>
      <c r="J760" s="56">
        <v>0</v>
      </c>
      <c r="K760" s="107">
        <f t="shared" si="22"/>
        <v>586998</v>
      </c>
      <c r="L760" s="56"/>
      <c r="M760" s="57">
        <v>37489</v>
      </c>
      <c r="N760" s="57">
        <v>0</v>
      </c>
      <c r="O760" s="56">
        <v>136830</v>
      </c>
      <c r="P760" s="107">
        <f t="shared" si="23"/>
        <v>174319</v>
      </c>
      <c r="Q760" s="56"/>
      <c r="R760" s="57">
        <v>446318</v>
      </c>
      <c r="S760" s="58">
        <v>-50136</v>
      </c>
      <c r="T760" s="58">
        <v>396182</v>
      </c>
    </row>
    <row r="761" spans="1:20">
      <c r="A761" s="54">
        <v>98218</v>
      </c>
      <c r="B761" s="55" t="s">
        <v>2137</v>
      </c>
      <c r="C761" s="106">
        <v>1.3200000000000001E-5</v>
      </c>
      <c r="D761" s="106">
        <v>1.0200000000000001E-5</v>
      </c>
      <c r="E761" s="56">
        <v>20166</v>
      </c>
      <c r="F761" s="56"/>
      <c r="G761" s="57">
        <v>1162</v>
      </c>
      <c r="H761" s="107">
        <v>4896</v>
      </c>
      <c r="I761" s="57">
        <v>2880</v>
      </c>
      <c r="J761" s="56">
        <v>1827</v>
      </c>
      <c r="K761" s="107">
        <f t="shared" si="22"/>
        <v>10765</v>
      </c>
      <c r="L761" s="56"/>
      <c r="M761" s="57">
        <v>571</v>
      </c>
      <c r="N761" s="57">
        <v>0</v>
      </c>
      <c r="O761" s="56">
        <v>1072</v>
      </c>
      <c r="P761" s="107">
        <f t="shared" si="23"/>
        <v>1643</v>
      </c>
      <c r="Q761" s="56"/>
      <c r="R761" s="57">
        <v>6796</v>
      </c>
      <c r="S761" s="58">
        <v>-336</v>
      </c>
      <c r="T761" s="58">
        <v>6460</v>
      </c>
    </row>
    <row r="762" spans="1:20">
      <c r="A762" s="54">
        <v>98221</v>
      </c>
      <c r="B762" s="55" t="s">
        <v>2138</v>
      </c>
      <c r="C762" s="106">
        <v>1.8899999999999999E-5</v>
      </c>
      <c r="D762" s="106">
        <v>1.6799999999999998E-5</v>
      </c>
      <c r="E762" s="56">
        <v>28874</v>
      </c>
      <c r="F762" s="56"/>
      <c r="G762" s="57">
        <v>1663</v>
      </c>
      <c r="H762" s="107">
        <v>7011</v>
      </c>
      <c r="I762" s="57">
        <v>4124</v>
      </c>
      <c r="J762" s="56">
        <v>4593</v>
      </c>
      <c r="K762" s="107">
        <f t="shared" si="22"/>
        <v>17391</v>
      </c>
      <c r="L762" s="56"/>
      <c r="M762" s="57">
        <v>817</v>
      </c>
      <c r="N762" s="57">
        <v>0</v>
      </c>
      <c r="O762" s="56">
        <v>0</v>
      </c>
      <c r="P762" s="107">
        <f t="shared" si="23"/>
        <v>817</v>
      </c>
      <c r="Q762" s="56"/>
      <c r="R762" s="57">
        <v>9731</v>
      </c>
      <c r="S762" s="58">
        <v>1469</v>
      </c>
      <c r="T762" s="58">
        <v>11200</v>
      </c>
    </row>
    <row r="763" spans="1:20">
      <c r="A763" s="54">
        <v>98231</v>
      </c>
      <c r="B763" s="55" t="s">
        <v>2139</v>
      </c>
      <c r="C763" s="106">
        <v>2.2799999999999999E-5</v>
      </c>
      <c r="D763" s="106">
        <v>3.1999999999999999E-5</v>
      </c>
      <c r="E763" s="56">
        <v>34832</v>
      </c>
      <c r="F763" s="56"/>
      <c r="G763" s="57">
        <v>2007</v>
      </c>
      <c r="H763" s="107">
        <v>8457</v>
      </c>
      <c r="I763" s="57">
        <v>4975</v>
      </c>
      <c r="J763" s="56">
        <v>1705</v>
      </c>
      <c r="K763" s="107">
        <f t="shared" si="22"/>
        <v>17144</v>
      </c>
      <c r="L763" s="56"/>
      <c r="M763" s="57">
        <v>986</v>
      </c>
      <c r="N763" s="57">
        <v>0</v>
      </c>
      <c r="O763" s="56">
        <v>9632</v>
      </c>
      <c r="P763" s="107">
        <f t="shared" si="23"/>
        <v>10618</v>
      </c>
      <c r="Q763" s="56"/>
      <c r="R763" s="57">
        <v>11738</v>
      </c>
      <c r="S763" s="58">
        <v>-3592</v>
      </c>
      <c r="T763" s="58">
        <v>8146</v>
      </c>
    </row>
    <row r="764" spans="1:20">
      <c r="A764" s="54">
        <v>98237</v>
      </c>
      <c r="B764" s="55" t="s">
        <v>2140</v>
      </c>
      <c r="C764" s="106">
        <v>5.9000000000000003E-6</v>
      </c>
      <c r="D764" s="106">
        <v>2.7E-6</v>
      </c>
      <c r="E764" s="56">
        <v>9014</v>
      </c>
      <c r="F764" s="56"/>
      <c r="G764" s="57">
        <v>519</v>
      </c>
      <c r="H764" s="107">
        <v>2188</v>
      </c>
      <c r="I764" s="57">
        <v>1287</v>
      </c>
      <c r="J764" s="56">
        <v>5034</v>
      </c>
      <c r="K764" s="107">
        <f t="shared" si="22"/>
        <v>9028</v>
      </c>
      <c r="L764" s="56"/>
      <c r="M764" s="57">
        <v>255</v>
      </c>
      <c r="N764" s="57">
        <v>0</v>
      </c>
      <c r="O764" s="56">
        <v>0</v>
      </c>
      <c r="P764" s="107">
        <f t="shared" si="23"/>
        <v>255</v>
      </c>
      <c r="Q764" s="56"/>
      <c r="R764" s="57">
        <v>3038</v>
      </c>
      <c r="S764" s="58">
        <v>1666</v>
      </c>
      <c r="T764" s="58">
        <v>4704</v>
      </c>
    </row>
    <row r="765" spans="1:20">
      <c r="A765" s="54">
        <v>98241</v>
      </c>
      <c r="B765" s="55" t="s">
        <v>2141</v>
      </c>
      <c r="C765" s="106">
        <v>1.5099999999999999E-5</v>
      </c>
      <c r="D765" s="106">
        <v>1.98E-5</v>
      </c>
      <c r="E765" s="56">
        <v>23069</v>
      </c>
      <c r="F765" s="56"/>
      <c r="G765" s="57">
        <v>1329</v>
      </c>
      <c r="H765" s="107">
        <v>5602</v>
      </c>
      <c r="I765" s="57">
        <v>3295</v>
      </c>
      <c r="J765" s="56">
        <v>5512</v>
      </c>
      <c r="K765" s="107">
        <f t="shared" si="22"/>
        <v>15738</v>
      </c>
      <c r="L765" s="56"/>
      <c r="M765" s="57">
        <v>653</v>
      </c>
      <c r="N765" s="57">
        <v>0</v>
      </c>
      <c r="O765" s="56">
        <v>2200</v>
      </c>
      <c r="P765" s="107">
        <f t="shared" si="23"/>
        <v>2853</v>
      </c>
      <c r="Q765" s="56"/>
      <c r="R765" s="57">
        <v>7774</v>
      </c>
      <c r="S765" s="58">
        <v>2564</v>
      </c>
      <c r="T765" s="58">
        <f>10339-1</f>
        <v>10338</v>
      </c>
    </row>
    <row r="766" spans="1:20">
      <c r="A766" s="54">
        <v>98251</v>
      </c>
      <c r="B766" s="55" t="s">
        <v>2142</v>
      </c>
      <c r="C766" s="106">
        <v>3.0000000000000001E-6</v>
      </c>
      <c r="D766" s="106">
        <v>3.1E-6</v>
      </c>
      <c r="E766" s="56">
        <v>4583</v>
      </c>
      <c r="F766" s="56"/>
      <c r="G766" s="57">
        <v>264</v>
      </c>
      <c r="H766" s="107">
        <v>1113</v>
      </c>
      <c r="I766" s="57">
        <v>655</v>
      </c>
      <c r="J766" s="56">
        <v>1375</v>
      </c>
      <c r="K766" s="107">
        <f t="shared" si="22"/>
        <v>3407</v>
      </c>
      <c r="L766" s="56"/>
      <c r="M766" s="57">
        <v>130</v>
      </c>
      <c r="N766" s="57">
        <v>0</v>
      </c>
      <c r="O766" s="56">
        <v>0</v>
      </c>
      <c r="P766" s="107">
        <f t="shared" si="23"/>
        <v>130</v>
      </c>
      <c r="Q766" s="56"/>
      <c r="R766" s="57">
        <v>1545</v>
      </c>
      <c r="S766" s="58">
        <v>561</v>
      </c>
      <c r="T766" s="58">
        <v>2106</v>
      </c>
    </row>
    <row r="767" spans="1:20">
      <c r="A767" s="54">
        <v>98261</v>
      </c>
      <c r="B767" s="55" t="s">
        <v>2143</v>
      </c>
      <c r="C767" s="106">
        <v>3.3200000000000001E-5</v>
      </c>
      <c r="D767" s="106">
        <v>2.97E-5</v>
      </c>
      <c r="E767" s="56">
        <v>50720</v>
      </c>
      <c r="F767" s="56"/>
      <c r="G767" s="57">
        <v>2922</v>
      </c>
      <c r="H767" s="107">
        <v>12315</v>
      </c>
      <c r="I767" s="57">
        <v>7244</v>
      </c>
      <c r="J767" s="56">
        <v>6546</v>
      </c>
      <c r="K767" s="107">
        <f t="shared" si="22"/>
        <v>29027</v>
      </c>
      <c r="L767" s="56"/>
      <c r="M767" s="57">
        <v>1436</v>
      </c>
      <c r="N767" s="57">
        <v>0</v>
      </c>
      <c r="O767" s="56">
        <v>4922</v>
      </c>
      <c r="P767" s="107">
        <f t="shared" si="23"/>
        <v>6358</v>
      </c>
      <c r="Q767" s="56"/>
      <c r="R767" s="57">
        <v>17093</v>
      </c>
      <c r="S767" s="58">
        <v>793</v>
      </c>
      <c r="T767" s="58">
        <v>17886</v>
      </c>
    </row>
    <row r="768" spans="1:20">
      <c r="A768" s="54">
        <v>98271</v>
      </c>
      <c r="B768" s="55" t="s">
        <v>2144</v>
      </c>
      <c r="C768" s="106">
        <v>5.1000000000000003E-6</v>
      </c>
      <c r="D768" s="106">
        <v>4.5000000000000001E-6</v>
      </c>
      <c r="E768" s="56">
        <v>7791</v>
      </c>
      <c r="F768" s="56"/>
      <c r="G768" s="57">
        <v>449</v>
      </c>
      <c r="H768" s="107">
        <v>1891</v>
      </c>
      <c r="I768" s="57">
        <v>1113</v>
      </c>
      <c r="J768" s="56">
        <v>3229</v>
      </c>
      <c r="K768" s="107">
        <f t="shared" si="22"/>
        <v>6682</v>
      </c>
      <c r="L768" s="56"/>
      <c r="M768" s="57">
        <v>221</v>
      </c>
      <c r="N768" s="57">
        <v>0</v>
      </c>
      <c r="O768" s="56">
        <v>0</v>
      </c>
      <c r="P768" s="107">
        <f t="shared" si="23"/>
        <v>221</v>
      </c>
      <c r="Q768" s="56"/>
      <c r="R768" s="57">
        <v>2626</v>
      </c>
      <c r="S768" s="58">
        <v>1560</v>
      </c>
      <c r="T768" s="58">
        <f>4185+1</f>
        <v>4186</v>
      </c>
    </row>
    <row r="769" spans="1:20">
      <c r="A769" s="54">
        <v>98301</v>
      </c>
      <c r="B769" s="55" t="s">
        <v>2145</v>
      </c>
      <c r="C769" s="106">
        <v>1.7542E-3</v>
      </c>
      <c r="D769" s="106">
        <v>1.7776999999999999E-3</v>
      </c>
      <c r="E769" s="56">
        <v>2679932</v>
      </c>
      <c r="F769" s="56"/>
      <c r="G769" s="57">
        <v>154389</v>
      </c>
      <c r="H769" s="107">
        <v>650690</v>
      </c>
      <c r="I769" s="57">
        <v>382731</v>
      </c>
      <c r="J769" s="56">
        <v>51704</v>
      </c>
      <c r="K769" s="107">
        <f t="shared" si="22"/>
        <v>1239514</v>
      </c>
      <c r="L769" s="56"/>
      <c r="M769" s="57">
        <v>75860</v>
      </c>
      <c r="N769" s="57">
        <v>0</v>
      </c>
      <c r="O769" s="56">
        <v>7816</v>
      </c>
      <c r="P769" s="107">
        <f t="shared" si="23"/>
        <v>83676</v>
      </c>
      <c r="Q769" s="56"/>
      <c r="R769" s="57">
        <v>903139</v>
      </c>
      <c r="S769" s="58">
        <v>17344</v>
      </c>
      <c r="T769" s="58">
        <v>920483</v>
      </c>
    </row>
    <row r="770" spans="1:20">
      <c r="A770" s="54">
        <v>98304</v>
      </c>
      <c r="B770" s="55" t="s">
        <v>2146</v>
      </c>
      <c r="C770" s="106">
        <v>2.0999999999999999E-5</v>
      </c>
      <c r="D770" s="106">
        <v>2.2900000000000001E-5</v>
      </c>
      <c r="E770" s="56">
        <v>32082</v>
      </c>
      <c r="F770" s="56"/>
      <c r="G770" s="57">
        <v>1848</v>
      </c>
      <c r="H770" s="107">
        <v>7790</v>
      </c>
      <c r="I770" s="57">
        <v>4582</v>
      </c>
      <c r="J770" s="56">
        <v>2290</v>
      </c>
      <c r="K770" s="107">
        <f t="shared" si="22"/>
        <v>16510</v>
      </c>
      <c r="L770" s="56"/>
      <c r="M770" s="57">
        <v>908</v>
      </c>
      <c r="N770" s="57">
        <v>0</v>
      </c>
      <c r="O770" s="56">
        <v>0</v>
      </c>
      <c r="P770" s="107">
        <f t="shared" si="23"/>
        <v>908</v>
      </c>
      <c r="Q770" s="56"/>
      <c r="R770" s="57">
        <v>10812</v>
      </c>
      <c r="S770" s="58">
        <v>818</v>
      </c>
      <c r="T770" s="58">
        <f>11629+1</f>
        <v>11630</v>
      </c>
    </row>
    <row r="771" spans="1:20">
      <c r="A771" s="54">
        <v>98308</v>
      </c>
      <c r="B771" s="55" t="s">
        <v>2147</v>
      </c>
      <c r="C771" s="106">
        <v>2.37E-5</v>
      </c>
      <c r="D771" s="106">
        <v>2.55E-5</v>
      </c>
      <c r="E771" s="56">
        <v>36207</v>
      </c>
      <c r="F771" s="56"/>
      <c r="G771" s="57">
        <v>2086</v>
      </c>
      <c r="H771" s="107">
        <v>8791</v>
      </c>
      <c r="I771" s="57">
        <v>5171</v>
      </c>
      <c r="J771" s="56">
        <v>7272</v>
      </c>
      <c r="K771" s="107">
        <f t="shared" si="22"/>
        <v>23320</v>
      </c>
      <c r="L771" s="56"/>
      <c r="M771" s="57">
        <v>1025</v>
      </c>
      <c r="N771" s="57">
        <v>0</v>
      </c>
      <c r="O771" s="56">
        <v>0</v>
      </c>
      <c r="P771" s="107">
        <f t="shared" si="23"/>
        <v>1025</v>
      </c>
      <c r="Q771" s="56"/>
      <c r="R771" s="57">
        <v>12202</v>
      </c>
      <c r="S771" s="58">
        <v>3390</v>
      </c>
      <c r="T771" s="58">
        <v>15592</v>
      </c>
    </row>
    <row r="772" spans="1:20">
      <c r="A772" s="54">
        <v>98311</v>
      </c>
      <c r="B772" s="55" t="s">
        <v>2148</v>
      </c>
      <c r="C772" s="106">
        <v>1.1536000000000001E-3</v>
      </c>
      <c r="D772" s="106">
        <v>1.1441999999999999E-3</v>
      </c>
      <c r="E772" s="56">
        <v>1762381</v>
      </c>
      <c r="F772" s="56"/>
      <c r="G772" s="57">
        <v>101529</v>
      </c>
      <c r="H772" s="107">
        <v>427908</v>
      </c>
      <c r="I772" s="57">
        <v>251692</v>
      </c>
      <c r="J772" s="56">
        <v>12653</v>
      </c>
      <c r="K772" s="107">
        <f t="shared" si="22"/>
        <v>793782</v>
      </c>
      <c r="L772" s="56"/>
      <c r="M772" s="57">
        <v>49887</v>
      </c>
      <c r="N772" s="57">
        <v>0</v>
      </c>
      <c r="O772" s="56">
        <v>98661</v>
      </c>
      <c r="P772" s="107">
        <f t="shared" si="23"/>
        <v>148548</v>
      </c>
      <c r="Q772" s="56"/>
      <c r="R772" s="57">
        <v>593924</v>
      </c>
      <c r="S772" s="58">
        <v>-18424</v>
      </c>
      <c r="T772" s="58">
        <f>575501-1</f>
        <v>575500</v>
      </c>
    </row>
    <row r="773" spans="1:20">
      <c r="A773" s="54">
        <v>98313</v>
      </c>
      <c r="B773" s="55" t="s">
        <v>2149</v>
      </c>
      <c r="C773" s="106">
        <v>2.3560000000000001E-4</v>
      </c>
      <c r="D773" s="106">
        <v>2.4240000000000001E-4</v>
      </c>
      <c r="E773" s="56">
        <v>359932</v>
      </c>
      <c r="F773" s="56"/>
      <c r="G773" s="57">
        <v>20735</v>
      </c>
      <c r="H773" s="107">
        <v>87392</v>
      </c>
      <c r="I773" s="57">
        <v>51403</v>
      </c>
      <c r="J773" s="56">
        <v>233571</v>
      </c>
      <c r="K773" s="107">
        <f t="shared" si="22"/>
        <v>393101</v>
      </c>
      <c r="L773" s="56"/>
      <c r="M773" s="57">
        <v>10189</v>
      </c>
      <c r="N773" s="57">
        <v>0</v>
      </c>
      <c r="O773" s="56">
        <v>59</v>
      </c>
      <c r="P773" s="107">
        <f t="shared" si="23"/>
        <v>10248</v>
      </c>
      <c r="Q773" s="56"/>
      <c r="R773" s="57">
        <v>121297</v>
      </c>
      <c r="S773" s="58">
        <v>77966</v>
      </c>
      <c r="T773" s="58">
        <v>199263</v>
      </c>
    </row>
    <row r="774" spans="1:20">
      <c r="A774" s="54">
        <v>98321</v>
      </c>
      <c r="B774" s="55" t="s">
        <v>2150</v>
      </c>
      <c r="C774" s="106">
        <v>2.05E-5</v>
      </c>
      <c r="D774" s="106">
        <v>2.1399999999999998E-5</v>
      </c>
      <c r="E774" s="56">
        <v>31318</v>
      </c>
      <c r="F774" s="56"/>
      <c r="G774" s="57">
        <v>1804</v>
      </c>
      <c r="H774" s="107">
        <v>7604</v>
      </c>
      <c r="I774" s="57">
        <v>4473</v>
      </c>
      <c r="J774" s="56">
        <v>1639</v>
      </c>
      <c r="K774" s="107">
        <f t="shared" si="22"/>
        <v>15520</v>
      </c>
      <c r="L774" s="56"/>
      <c r="M774" s="57">
        <v>887</v>
      </c>
      <c r="N774" s="57">
        <v>0</v>
      </c>
      <c r="O774" s="56">
        <v>3066</v>
      </c>
      <c r="P774" s="107">
        <f t="shared" si="23"/>
        <v>3953</v>
      </c>
      <c r="Q774" s="56"/>
      <c r="R774" s="57">
        <v>10554</v>
      </c>
      <c r="S774" s="58">
        <v>472</v>
      </c>
      <c r="T774" s="58">
        <v>11026</v>
      </c>
    </row>
    <row r="775" spans="1:20">
      <c r="A775" s="54">
        <v>98331</v>
      </c>
      <c r="B775" s="55" t="s">
        <v>2151</v>
      </c>
      <c r="C775" s="106">
        <v>9.7999999999999993E-6</v>
      </c>
      <c r="D775" s="106">
        <v>1.03E-5</v>
      </c>
      <c r="E775" s="56">
        <v>14972</v>
      </c>
      <c r="F775" s="56"/>
      <c r="G775" s="57">
        <v>863</v>
      </c>
      <c r="H775" s="107">
        <v>3635</v>
      </c>
      <c r="I775" s="57">
        <v>2138</v>
      </c>
      <c r="J775" s="56">
        <v>3035</v>
      </c>
      <c r="K775" s="107">
        <f t="shared" ref="K775:K838" si="24">G775+H775+I775+J775</f>
        <v>9671</v>
      </c>
      <c r="L775" s="56"/>
      <c r="M775" s="57">
        <v>424</v>
      </c>
      <c r="N775" s="57">
        <v>0</v>
      </c>
      <c r="O775" s="56">
        <v>132</v>
      </c>
      <c r="P775" s="107">
        <f t="shared" ref="P775:P838" si="25">M775+N775+O775</f>
        <v>556</v>
      </c>
      <c r="Q775" s="56"/>
      <c r="R775" s="57">
        <v>5045</v>
      </c>
      <c r="S775" s="58">
        <v>972</v>
      </c>
      <c r="T775" s="58">
        <f>6018-1</f>
        <v>6017</v>
      </c>
    </row>
    <row r="776" spans="1:20">
      <c r="A776" s="54">
        <v>98401</v>
      </c>
      <c r="B776" s="55" t="s">
        <v>2152</v>
      </c>
      <c r="C776" s="106">
        <v>2.7655000000000002E-3</v>
      </c>
      <c r="D776" s="106">
        <v>2.7567999999999998E-3</v>
      </c>
      <c r="E776" s="56">
        <v>4224918</v>
      </c>
      <c r="F776" s="56"/>
      <c r="G776" s="57">
        <v>243394</v>
      </c>
      <c r="H776" s="107">
        <v>1025815</v>
      </c>
      <c r="I776" s="57">
        <v>603377</v>
      </c>
      <c r="J776" s="56">
        <v>168129</v>
      </c>
      <c r="K776" s="107">
        <f t="shared" si="24"/>
        <v>2040715</v>
      </c>
      <c r="L776" s="56"/>
      <c r="M776" s="57">
        <v>119594</v>
      </c>
      <c r="N776" s="57">
        <v>0</v>
      </c>
      <c r="O776" s="56">
        <v>6292</v>
      </c>
      <c r="P776" s="107">
        <f t="shared" si="25"/>
        <v>125886</v>
      </c>
      <c r="Q776" s="56"/>
      <c r="R776" s="57">
        <v>1423801</v>
      </c>
      <c r="S776" s="58">
        <v>58759</v>
      </c>
      <c r="T776" s="58">
        <v>1482560</v>
      </c>
    </row>
    <row r="777" spans="1:20">
      <c r="A777" s="54">
        <v>98404</v>
      </c>
      <c r="B777" s="55" t="s">
        <v>2153</v>
      </c>
      <c r="C777" s="106">
        <v>1.52E-5</v>
      </c>
      <c r="D777" s="106">
        <v>0</v>
      </c>
      <c r="E777" s="56">
        <v>23221</v>
      </c>
      <c r="F777" s="56"/>
      <c r="G777" s="57">
        <v>1338</v>
      </c>
      <c r="H777" s="107">
        <v>5638</v>
      </c>
      <c r="I777" s="57">
        <v>3316</v>
      </c>
      <c r="J777" s="56">
        <v>9290</v>
      </c>
      <c r="K777" s="107">
        <f t="shared" si="24"/>
        <v>19582</v>
      </c>
      <c r="L777" s="56"/>
      <c r="M777" s="57">
        <v>657</v>
      </c>
      <c r="N777" s="57">
        <v>0</v>
      </c>
      <c r="O777" s="56">
        <v>0</v>
      </c>
      <c r="P777" s="107">
        <f t="shared" si="25"/>
        <v>657</v>
      </c>
      <c r="Q777" s="56"/>
      <c r="R777" s="57">
        <v>7826</v>
      </c>
      <c r="S777" s="58">
        <v>2323</v>
      </c>
      <c r="T777" s="58">
        <f>10148+1</f>
        <v>10149</v>
      </c>
    </row>
    <row r="778" spans="1:20">
      <c r="A778" s="54">
        <v>98411</v>
      </c>
      <c r="B778" s="55" t="s">
        <v>2154</v>
      </c>
      <c r="C778" s="106">
        <v>1.9816E-3</v>
      </c>
      <c r="D778" s="106">
        <v>2.0076999999999998E-3</v>
      </c>
      <c r="E778" s="56">
        <v>3027336</v>
      </c>
      <c r="F778" s="56"/>
      <c r="G778" s="57">
        <v>174403</v>
      </c>
      <c r="H778" s="107">
        <v>735040</v>
      </c>
      <c r="I778" s="57">
        <v>432345</v>
      </c>
      <c r="J778" s="56">
        <v>3986</v>
      </c>
      <c r="K778" s="107">
        <f t="shared" si="24"/>
        <v>1345774</v>
      </c>
      <c r="L778" s="56"/>
      <c r="M778" s="57">
        <v>85694</v>
      </c>
      <c r="N778" s="57">
        <v>0</v>
      </c>
      <c r="O778" s="56">
        <v>73699</v>
      </c>
      <c r="P778" s="107">
        <f t="shared" si="25"/>
        <v>159393</v>
      </c>
      <c r="Q778" s="56"/>
      <c r="R778" s="57">
        <v>1020215</v>
      </c>
      <c r="S778" s="58">
        <v>-19116</v>
      </c>
      <c r="T778" s="58">
        <v>1001099</v>
      </c>
    </row>
    <row r="779" spans="1:20">
      <c r="A779" s="54">
        <v>98414</v>
      </c>
      <c r="B779" s="55" t="s">
        <v>2155</v>
      </c>
      <c r="C779" s="108">
        <f>0.00283%+0.00102%</f>
        <v>3.8500000000000001E-5</v>
      </c>
      <c r="D779" s="106">
        <v>4.3600000000000003E-5</v>
      </c>
      <c r="E779" s="56">
        <f>43235+15583</f>
        <v>58818</v>
      </c>
      <c r="F779" s="56"/>
      <c r="G779" s="57">
        <f>2491+898</f>
        <v>3389</v>
      </c>
      <c r="H779" s="107">
        <v>14282</v>
      </c>
      <c r="I779" s="57">
        <f>6174+2225</f>
        <v>8399</v>
      </c>
      <c r="J779" s="56">
        <v>14474</v>
      </c>
      <c r="K779" s="107">
        <f t="shared" si="24"/>
        <v>40544</v>
      </c>
      <c r="L779" s="56"/>
      <c r="M779" s="57">
        <f>1224+441</f>
        <v>1665</v>
      </c>
      <c r="N779" s="57">
        <v>0</v>
      </c>
      <c r="O779" s="56">
        <f>0+24505</f>
        <v>24505</v>
      </c>
      <c r="P779" s="107">
        <f t="shared" si="25"/>
        <v>26170</v>
      </c>
      <c r="Q779" s="56"/>
      <c r="R779" s="57">
        <f>14570+5251</f>
        <v>19821</v>
      </c>
      <c r="S779" s="58">
        <f>3619-7460</f>
        <v>-3841</v>
      </c>
      <c r="T779" s="58">
        <f>18189-2209</f>
        <v>15980</v>
      </c>
    </row>
    <row r="780" spans="1:20">
      <c r="A780" s="54">
        <v>98417</v>
      </c>
      <c r="B780" s="55" t="s">
        <v>2156</v>
      </c>
      <c r="C780" s="106">
        <v>2.2900000000000001E-5</v>
      </c>
      <c r="D780" s="106">
        <v>2.4899999999999999E-5</v>
      </c>
      <c r="E780" s="56">
        <v>34985</v>
      </c>
      <c r="F780" s="56"/>
      <c r="G780" s="57">
        <v>2015</v>
      </c>
      <c r="H780" s="107">
        <v>8494</v>
      </c>
      <c r="I780" s="57">
        <v>4996</v>
      </c>
      <c r="J780" s="56">
        <v>2511</v>
      </c>
      <c r="K780" s="107">
        <f t="shared" si="24"/>
        <v>18016</v>
      </c>
      <c r="L780" s="56"/>
      <c r="M780" s="57">
        <v>990</v>
      </c>
      <c r="N780" s="57">
        <v>0</v>
      </c>
      <c r="O780" s="56">
        <v>424</v>
      </c>
      <c r="P780" s="107">
        <f t="shared" si="25"/>
        <v>1414</v>
      </c>
      <c r="Q780" s="56"/>
      <c r="R780" s="57">
        <v>11790</v>
      </c>
      <c r="S780" s="58">
        <v>315</v>
      </c>
      <c r="T780" s="58">
        <v>12105</v>
      </c>
    </row>
    <row r="781" spans="1:20">
      <c r="A781" s="54">
        <v>98421</v>
      </c>
      <c r="B781" s="55" t="s">
        <v>2157</v>
      </c>
      <c r="C781" s="106">
        <v>8.2700000000000004E-5</v>
      </c>
      <c r="D781" s="106">
        <v>1.0840000000000001E-4</v>
      </c>
      <c r="E781" s="56">
        <v>126343</v>
      </c>
      <c r="F781" s="56"/>
      <c r="G781" s="57">
        <v>7279</v>
      </c>
      <c r="H781" s="107">
        <v>30676</v>
      </c>
      <c r="I781" s="57">
        <v>18043</v>
      </c>
      <c r="J781" s="56">
        <v>5132</v>
      </c>
      <c r="K781" s="107">
        <f t="shared" si="24"/>
        <v>61130</v>
      </c>
      <c r="L781" s="56"/>
      <c r="M781" s="57">
        <v>3576</v>
      </c>
      <c r="N781" s="57">
        <v>0</v>
      </c>
      <c r="O781" s="56">
        <v>12725</v>
      </c>
      <c r="P781" s="107">
        <f t="shared" si="25"/>
        <v>16301</v>
      </c>
      <c r="Q781" s="56"/>
      <c r="R781" s="57">
        <v>42578</v>
      </c>
      <c r="S781" s="58">
        <v>-911</v>
      </c>
      <c r="T781" s="58">
        <v>41667</v>
      </c>
    </row>
    <row r="782" spans="1:20">
      <c r="A782" s="54">
        <v>98427</v>
      </c>
      <c r="B782" s="55" t="s">
        <v>2158</v>
      </c>
      <c r="C782" s="106">
        <v>3.9999999999999998E-6</v>
      </c>
      <c r="D782" s="106">
        <v>4.6E-6</v>
      </c>
      <c r="E782" s="56">
        <v>6111</v>
      </c>
      <c r="F782" s="56"/>
      <c r="G782" s="57">
        <v>352</v>
      </c>
      <c r="H782" s="107">
        <v>1484</v>
      </c>
      <c r="I782" s="57">
        <v>873</v>
      </c>
      <c r="J782" s="56">
        <v>1351</v>
      </c>
      <c r="K782" s="107">
        <f t="shared" si="24"/>
        <v>4060</v>
      </c>
      <c r="L782" s="56"/>
      <c r="M782" s="57">
        <v>173</v>
      </c>
      <c r="N782" s="57">
        <v>0</v>
      </c>
      <c r="O782" s="56">
        <v>0</v>
      </c>
      <c r="P782" s="107">
        <f t="shared" si="25"/>
        <v>173</v>
      </c>
      <c r="Q782" s="56"/>
      <c r="R782" s="57">
        <v>2059</v>
      </c>
      <c r="S782" s="58">
        <v>487</v>
      </c>
      <c r="T782" s="58">
        <f>2547-1</f>
        <v>2546</v>
      </c>
    </row>
    <row r="783" spans="1:20">
      <c r="A783" s="54">
        <v>98431</v>
      </c>
      <c r="B783" s="55" t="s">
        <v>2159</v>
      </c>
      <c r="C783" s="106">
        <v>2.0589999999999999E-4</v>
      </c>
      <c r="D783" s="106">
        <v>2.0010000000000001E-4</v>
      </c>
      <c r="E783" s="56">
        <v>314558</v>
      </c>
      <c r="F783" s="56"/>
      <c r="G783" s="57">
        <v>18121</v>
      </c>
      <c r="H783" s="107">
        <v>76375</v>
      </c>
      <c r="I783" s="57">
        <v>44923</v>
      </c>
      <c r="J783" s="56">
        <v>1246</v>
      </c>
      <c r="K783" s="107">
        <f t="shared" si="24"/>
        <v>140665</v>
      </c>
      <c r="L783" s="56"/>
      <c r="M783" s="57">
        <v>8904</v>
      </c>
      <c r="N783" s="57">
        <v>0</v>
      </c>
      <c r="O783" s="56">
        <v>24844</v>
      </c>
      <c r="P783" s="107">
        <f t="shared" si="25"/>
        <v>33748</v>
      </c>
      <c r="Q783" s="56"/>
      <c r="R783" s="57">
        <v>106006</v>
      </c>
      <c r="S783" s="58">
        <v>-7635</v>
      </c>
      <c r="T783" s="58">
        <f>98372-1</f>
        <v>98371</v>
      </c>
    </row>
    <row r="784" spans="1:20">
      <c r="A784" s="54">
        <v>98441</v>
      </c>
      <c r="B784" s="55" t="s">
        <v>2160</v>
      </c>
      <c r="C784" s="106">
        <v>8.2700000000000004E-5</v>
      </c>
      <c r="D784" s="106">
        <v>9.1000000000000003E-5</v>
      </c>
      <c r="E784" s="56">
        <v>126343</v>
      </c>
      <c r="F784" s="56"/>
      <c r="G784" s="57">
        <v>7279</v>
      </c>
      <c r="H784" s="107">
        <v>30676</v>
      </c>
      <c r="I784" s="57">
        <v>18043</v>
      </c>
      <c r="J784" s="56">
        <v>570</v>
      </c>
      <c r="K784" s="107">
        <f t="shared" si="24"/>
        <v>56568</v>
      </c>
      <c r="L784" s="56"/>
      <c r="M784" s="57">
        <v>3576</v>
      </c>
      <c r="N784" s="57">
        <v>0</v>
      </c>
      <c r="O784" s="56">
        <v>22406</v>
      </c>
      <c r="P784" s="107">
        <f t="shared" si="25"/>
        <v>25982</v>
      </c>
      <c r="Q784" s="56"/>
      <c r="R784" s="57">
        <v>42578</v>
      </c>
      <c r="S784" s="58">
        <v>-8026</v>
      </c>
      <c r="T784" s="58">
        <v>34552</v>
      </c>
    </row>
    <row r="785" spans="1:20">
      <c r="A785" s="54">
        <v>98451</v>
      </c>
      <c r="B785" s="55" t="s">
        <v>2161</v>
      </c>
      <c r="C785" s="106">
        <v>5.7000000000000003E-5</v>
      </c>
      <c r="D785" s="106">
        <v>5.6199999999999997E-5</v>
      </c>
      <c r="E785" s="56">
        <v>87080</v>
      </c>
      <c r="F785" s="56"/>
      <c r="G785" s="57">
        <v>5017</v>
      </c>
      <c r="H785" s="107">
        <v>21143</v>
      </c>
      <c r="I785" s="57">
        <v>12436</v>
      </c>
      <c r="J785" s="56">
        <v>508</v>
      </c>
      <c r="K785" s="107">
        <f t="shared" si="24"/>
        <v>39104</v>
      </c>
      <c r="L785" s="56"/>
      <c r="M785" s="57">
        <v>2465</v>
      </c>
      <c r="N785" s="57">
        <v>0</v>
      </c>
      <c r="O785" s="56">
        <v>1478</v>
      </c>
      <c r="P785" s="107">
        <f t="shared" si="25"/>
        <v>3943</v>
      </c>
      <c r="Q785" s="56"/>
      <c r="R785" s="57">
        <v>29346</v>
      </c>
      <c r="S785" s="58">
        <v>-530</v>
      </c>
      <c r="T785" s="58">
        <v>28816</v>
      </c>
    </row>
    <row r="786" spans="1:20">
      <c r="A786" s="54">
        <v>98481</v>
      </c>
      <c r="B786" s="55" t="s">
        <v>2162</v>
      </c>
      <c r="C786" s="106">
        <v>6.3899999999999995E-5</v>
      </c>
      <c r="D786" s="106">
        <v>6.7700000000000006E-5</v>
      </c>
      <c r="E786" s="56">
        <v>97621</v>
      </c>
      <c r="F786" s="56"/>
      <c r="G786" s="57">
        <v>5624</v>
      </c>
      <c r="H786" s="107">
        <v>23703</v>
      </c>
      <c r="I786" s="57">
        <v>13942</v>
      </c>
      <c r="J786" s="56">
        <v>1545</v>
      </c>
      <c r="K786" s="107">
        <f t="shared" si="24"/>
        <v>44814</v>
      </c>
      <c r="L786" s="56"/>
      <c r="M786" s="57">
        <v>2763</v>
      </c>
      <c r="N786" s="57">
        <v>0</v>
      </c>
      <c r="O786" s="56">
        <v>5772</v>
      </c>
      <c r="P786" s="107">
        <f t="shared" si="25"/>
        <v>8535</v>
      </c>
      <c r="Q786" s="56"/>
      <c r="R786" s="57">
        <v>32899</v>
      </c>
      <c r="S786" s="58">
        <v>-35</v>
      </c>
      <c r="T786" s="58">
        <f>32863+1</f>
        <v>32864</v>
      </c>
    </row>
    <row r="787" spans="1:20">
      <c r="A787" s="54">
        <v>98501</v>
      </c>
      <c r="B787" s="55" t="s">
        <v>2163</v>
      </c>
      <c r="C787" s="106">
        <v>1.6022E-3</v>
      </c>
      <c r="D787" s="106">
        <v>1.5690999999999999E-3</v>
      </c>
      <c r="E787" s="56">
        <v>2447718</v>
      </c>
      <c r="F787" s="56"/>
      <c r="G787" s="57">
        <v>141011</v>
      </c>
      <c r="H787" s="107">
        <v>594309</v>
      </c>
      <c r="I787" s="57">
        <v>349568</v>
      </c>
      <c r="J787" s="56">
        <v>75098</v>
      </c>
      <c r="K787" s="107">
        <f t="shared" si="24"/>
        <v>1159986</v>
      </c>
      <c r="L787" s="56"/>
      <c r="M787" s="57">
        <v>69287</v>
      </c>
      <c r="N787" s="57">
        <v>0</v>
      </c>
      <c r="O787" s="56">
        <v>2932</v>
      </c>
      <c r="P787" s="107">
        <f t="shared" si="25"/>
        <v>72219</v>
      </c>
      <c r="Q787" s="56"/>
      <c r="R787" s="57">
        <v>824883</v>
      </c>
      <c r="S787" s="58">
        <v>19182</v>
      </c>
      <c r="T787" s="58">
        <v>844065</v>
      </c>
    </row>
    <row r="788" spans="1:20">
      <c r="A788" s="54">
        <v>98511</v>
      </c>
      <c r="B788" s="55" t="s">
        <v>2164</v>
      </c>
      <c r="C788" s="106">
        <v>4.8000000000000001E-5</v>
      </c>
      <c r="D788" s="106">
        <v>4.5800000000000002E-5</v>
      </c>
      <c r="E788" s="56">
        <v>73331</v>
      </c>
      <c r="F788" s="56"/>
      <c r="G788" s="57">
        <v>4225</v>
      </c>
      <c r="H788" s="107">
        <v>17804</v>
      </c>
      <c r="I788" s="57">
        <v>10473</v>
      </c>
      <c r="J788" s="56">
        <v>5918</v>
      </c>
      <c r="K788" s="107">
        <f t="shared" si="24"/>
        <v>38420</v>
      </c>
      <c r="L788" s="56"/>
      <c r="M788" s="57">
        <v>2076</v>
      </c>
      <c r="N788" s="57">
        <v>0</v>
      </c>
      <c r="O788" s="56">
        <v>11919</v>
      </c>
      <c r="P788" s="107">
        <f t="shared" si="25"/>
        <v>13995</v>
      </c>
      <c r="Q788" s="56"/>
      <c r="R788" s="57">
        <v>24713</v>
      </c>
      <c r="S788" s="58">
        <v>-9378</v>
      </c>
      <c r="T788" s="58">
        <f>15334+1</f>
        <v>15335</v>
      </c>
    </row>
    <row r="789" spans="1:20">
      <c r="A789" s="54">
        <v>98517</v>
      </c>
      <c r="B789" s="55" t="s">
        <v>2165</v>
      </c>
      <c r="C789" s="106">
        <v>2.3E-6</v>
      </c>
      <c r="D789" s="106">
        <v>2.6000000000000001E-6</v>
      </c>
      <c r="E789" s="56">
        <v>3514</v>
      </c>
      <c r="F789" s="56"/>
      <c r="G789" s="57">
        <v>202</v>
      </c>
      <c r="H789" s="107">
        <v>854</v>
      </c>
      <c r="I789" s="57">
        <v>502</v>
      </c>
      <c r="J789" s="56">
        <v>1623</v>
      </c>
      <c r="K789" s="107">
        <f t="shared" si="24"/>
        <v>3181</v>
      </c>
      <c r="L789" s="56"/>
      <c r="M789" s="57">
        <v>99</v>
      </c>
      <c r="N789" s="57">
        <v>0</v>
      </c>
      <c r="O789" s="56">
        <v>0</v>
      </c>
      <c r="P789" s="107">
        <f t="shared" si="25"/>
        <v>99</v>
      </c>
      <c r="Q789" s="56"/>
      <c r="R789" s="57">
        <v>1184</v>
      </c>
      <c r="S789" s="58">
        <v>589</v>
      </c>
      <c r="T789" s="58">
        <v>1773</v>
      </c>
    </row>
    <row r="790" spans="1:20">
      <c r="A790" s="54">
        <v>98521</v>
      </c>
      <c r="B790" s="55" t="s">
        <v>2166</v>
      </c>
      <c r="C790" s="106">
        <v>6.6180000000000004E-4</v>
      </c>
      <c r="D790" s="106">
        <v>5.7059999999999999E-4</v>
      </c>
      <c r="E790" s="56">
        <v>1011047</v>
      </c>
      <c r="F790" s="56"/>
      <c r="G790" s="57">
        <v>58246</v>
      </c>
      <c r="H790" s="107">
        <v>245484</v>
      </c>
      <c r="I790" s="57">
        <v>144392</v>
      </c>
      <c r="J790" s="56">
        <v>34795</v>
      </c>
      <c r="K790" s="107">
        <f t="shared" si="24"/>
        <v>482917</v>
      </c>
      <c r="L790" s="56"/>
      <c r="M790" s="57">
        <v>28620</v>
      </c>
      <c r="N790" s="57">
        <v>0</v>
      </c>
      <c r="O790" s="56">
        <v>43967</v>
      </c>
      <c r="P790" s="107">
        <f t="shared" si="25"/>
        <v>72587</v>
      </c>
      <c r="Q790" s="56"/>
      <c r="R790" s="57">
        <v>340724</v>
      </c>
      <c r="S790" s="58">
        <v>-10201</v>
      </c>
      <c r="T790" s="58">
        <v>330523</v>
      </c>
    </row>
    <row r="791" spans="1:20">
      <c r="A791" s="54">
        <v>98601</v>
      </c>
      <c r="B791" s="55" t="s">
        <v>2167</v>
      </c>
      <c r="C791" s="106">
        <v>3.4148E-3</v>
      </c>
      <c r="D791" s="106">
        <v>3.5065999999999999E-3</v>
      </c>
      <c r="E791" s="56">
        <v>5216869</v>
      </c>
      <c r="F791" s="56"/>
      <c r="G791" s="57">
        <v>300540</v>
      </c>
      <c r="H791" s="107">
        <v>1266662</v>
      </c>
      <c r="I791" s="57">
        <v>745041</v>
      </c>
      <c r="J791" s="56">
        <v>0</v>
      </c>
      <c r="K791" s="107">
        <f t="shared" si="24"/>
        <v>2312243</v>
      </c>
      <c r="L791" s="56"/>
      <c r="M791" s="57">
        <v>147673</v>
      </c>
      <c r="N791" s="57">
        <v>0</v>
      </c>
      <c r="O791" s="56">
        <v>216693</v>
      </c>
      <c r="P791" s="107">
        <f t="shared" si="25"/>
        <v>364366</v>
      </c>
      <c r="Q791" s="56"/>
      <c r="R791" s="57">
        <v>1758089</v>
      </c>
      <c r="S791" s="58">
        <v>-93549</v>
      </c>
      <c r="T791" s="58">
        <v>1664540</v>
      </c>
    </row>
    <row r="792" spans="1:20">
      <c r="A792" s="54">
        <v>98604</v>
      </c>
      <c r="B792" s="55" t="s">
        <v>2168</v>
      </c>
      <c r="C792" s="106">
        <v>1.34E-5</v>
      </c>
      <c r="D792" s="106">
        <v>1.59E-5</v>
      </c>
      <c r="E792" s="56">
        <v>20471</v>
      </c>
      <c r="F792" s="56"/>
      <c r="G792" s="57">
        <v>1179</v>
      </c>
      <c r="H792" s="107">
        <v>4970</v>
      </c>
      <c r="I792" s="57">
        <v>2924</v>
      </c>
      <c r="J792" s="56">
        <f>5979+2967</f>
        <v>8946</v>
      </c>
      <c r="K792" s="107">
        <f t="shared" si="24"/>
        <v>18019</v>
      </c>
      <c r="L792" s="56"/>
      <c r="M792" s="57">
        <v>579</v>
      </c>
      <c r="N792" s="57">
        <v>0</v>
      </c>
      <c r="O792" s="56">
        <f>527+4977</f>
        <v>5504</v>
      </c>
      <c r="P792" s="107">
        <f t="shared" si="25"/>
        <v>6083</v>
      </c>
      <c r="Q792" s="56"/>
      <c r="R792" s="57">
        <v>6899</v>
      </c>
      <c r="S792" s="58">
        <f>1959+178</f>
        <v>2137</v>
      </c>
      <c r="T792" s="58">
        <f>8857+1+178</f>
        <v>9036</v>
      </c>
    </row>
    <row r="793" spans="1:20">
      <c r="A793" s="54">
        <v>98607</v>
      </c>
      <c r="B793" s="55" t="s">
        <v>2169</v>
      </c>
      <c r="C793" s="106">
        <v>5.9000000000000003E-6</v>
      </c>
      <c r="D793" s="106">
        <v>5.9000000000000003E-6</v>
      </c>
      <c r="E793" s="56">
        <v>9014</v>
      </c>
      <c r="F793" s="56"/>
      <c r="G793" s="57">
        <v>519</v>
      </c>
      <c r="H793" s="107">
        <v>2188</v>
      </c>
      <c r="I793" s="57">
        <v>1287</v>
      </c>
      <c r="J793" s="56">
        <v>52</v>
      </c>
      <c r="K793" s="107">
        <f t="shared" si="24"/>
        <v>4046</v>
      </c>
      <c r="L793" s="56"/>
      <c r="M793" s="57">
        <v>255</v>
      </c>
      <c r="N793" s="57">
        <v>0</v>
      </c>
      <c r="O793" s="56">
        <v>1474</v>
      </c>
      <c r="P793" s="107">
        <f t="shared" si="25"/>
        <v>1729</v>
      </c>
      <c r="Q793" s="56"/>
      <c r="R793" s="57">
        <v>3038</v>
      </c>
      <c r="S793" s="58">
        <v>-861</v>
      </c>
      <c r="T793" s="58">
        <v>2177</v>
      </c>
    </row>
    <row r="794" spans="1:20">
      <c r="A794" s="54">
        <v>98608</v>
      </c>
      <c r="B794" s="55" t="s">
        <v>2170</v>
      </c>
      <c r="C794" s="106">
        <v>4.9200000000000003E-5</v>
      </c>
      <c r="D794" s="106">
        <v>4.2299999999999998E-5</v>
      </c>
      <c r="E794" s="56">
        <v>75164</v>
      </c>
      <c r="F794" s="56"/>
      <c r="G794" s="57">
        <v>4330</v>
      </c>
      <c r="H794" s="107">
        <v>18250</v>
      </c>
      <c r="I794" s="57">
        <v>10734</v>
      </c>
      <c r="J794" s="56">
        <v>6529</v>
      </c>
      <c r="K794" s="107">
        <f t="shared" si="24"/>
        <v>39843</v>
      </c>
      <c r="L794" s="56"/>
      <c r="M794" s="57">
        <v>2128</v>
      </c>
      <c r="N794" s="57">
        <v>0</v>
      </c>
      <c r="O794" s="56">
        <v>5369</v>
      </c>
      <c r="P794" s="107">
        <f t="shared" si="25"/>
        <v>7497</v>
      </c>
      <c r="Q794" s="56"/>
      <c r="R794" s="57">
        <v>25330</v>
      </c>
      <c r="S794" s="58">
        <v>1217</v>
      </c>
      <c r="T794" s="58">
        <v>26547</v>
      </c>
    </row>
    <row r="795" spans="1:20">
      <c r="A795" s="54">
        <v>98611</v>
      </c>
      <c r="B795" s="55" t="s">
        <v>2171</v>
      </c>
      <c r="C795" s="106">
        <v>8.6899999999999998E-5</v>
      </c>
      <c r="D795" s="106">
        <v>8.6700000000000007E-5</v>
      </c>
      <c r="E795" s="56">
        <v>132759</v>
      </c>
      <c r="F795" s="56"/>
      <c r="G795" s="57">
        <v>7648</v>
      </c>
      <c r="H795" s="107">
        <v>32235</v>
      </c>
      <c r="I795" s="57">
        <v>18960</v>
      </c>
      <c r="J795" s="56">
        <v>10690</v>
      </c>
      <c r="K795" s="107">
        <f t="shared" si="24"/>
        <v>69533</v>
      </c>
      <c r="L795" s="56"/>
      <c r="M795" s="57">
        <v>3758</v>
      </c>
      <c r="N795" s="57">
        <v>0</v>
      </c>
      <c r="O795" s="56">
        <v>9519</v>
      </c>
      <c r="P795" s="107">
        <f t="shared" si="25"/>
        <v>13277</v>
      </c>
      <c r="Q795" s="56"/>
      <c r="R795" s="57">
        <v>44740</v>
      </c>
      <c r="S795" s="58">
        <v>910</v>
      </c>
      <c r="T795" s="58">
        <f>45649+1</f>
        <v>45650</v>
      </c>
    </row>
    <row r="796" spans="1:20">
      <c r="A796" s="54">
        <v>98621</v>
      </c>
      <c r="B796" s="55" t="s">
        <v>2172</v>
      </c>
      <c r="C796" s="106">
        <v>1.314E-4</v>
      </c>
      <c r="D796" s="106">
        <v>1.3239999999999999E-4</v>
      </c>
      <c r="E796" s="56">
        <v>200743</v>
      </c>
      <c r="F796" s="56"/>
      <c r="G796" s="57">
        <v>11565</v>
      </c>
      <c r="H796" s="107">
        <v>48740</v>
      </c>
      <c r="I796" s="57">
        <v>28669</v>
      </c>
      <c r="J796" s="56">
        <v>473</v>
      </c>
      <c r="K796" s="107">
        <f t="shared" si="24"/>
        <v>89447</v>
      </c>
      <c r="L796" s="56"/>
      <c r="M796" s="57">
        <v>5682</v>
      </c>
      <c r="N796" s="57">
        <v>0</v>
      </c>
      <c r="O796" s="56">
        <v>10727</v>
      </c>
      <c r="P796" s="107">
        <f t="shared" si="25"/>
        <v>16409</v>
      </c>
      <c r="Q796" s="56"/>
      <c r="R796" s="57">
        <v>67651</v>
      </c>
      <c r="S796" s="58">
        <v>-3535</v>
      </c>
      <c r="T796" s="58">
        <f>64115+1</f>
        <v>64116</v>
      </c>
    </row>
    <row r="797" spans="1:20">
      <c r="A797" s="54">
        <v>98627</v>
      </c>
      <c r="B797" s="55" t="s">
        <v>2173</v>
      </c>
      <c r="C797" s="106">
        <v>8.6999999999999997E-6</v>
      </c>
      <c r="D797" s="106">
        <v>9.3999999999999998E-6</v>
      </c>
      <c r="E797" s="56">
        <v>13291</v>
      </c>
      <c r="F797" s="56"/>
      <c r="G797" s="57">
        <v>766</v>
      </c>
      <c r="H797" s="107">
        <v>3227</v>
      </c>
      <c r="I797" s="57">
        <v>1898</v>
      </c>
      <c r="J797" s="56">
        <v>316</v>
      </c>
      <c r="K797" s="107">
        <f t="shared" si="24"/>
        <v>6207</v>
      </c>
      <c r="L797" s="56"/>
      <c r="M797" s="57">
        <v>376</v>
      </c>
      <c r="N797" s="57">
        <v>0</v>
      </c>
      <c r="O797" s="56">
        <v>1098</v>
      </c>
      <c r="P797" s="107">
        <f t="shared" si="25"/>
        <v>1474</v>
      </c>
      <c r="Q797" s="56"/>
      <c r="R797" s="57">
        <v>4479</v>
      </c>
      <c r="S797" s="58">
        <v>-220</v>
      </c>
      <c r="T797" s="58">
        <v>4259</v>
      </c>
    </row>
    <row r="798" spans="1:20">
      <c r="A798" s="54">
        <v>98631</v>
      </c>
      <c r="B798" s="55" t="s">
        <v>2174</v>
      </c>
      <c r="C798" s="106">
        <v>1.0051999999999999E-3</v>
      </c>
      <c r="D798" s="106">
        <v>1.0415000000000001E-3</v>
      </c>
      <c r="E798" s="56">
        <v>1535667</v>
      </c>
      <c r="F798" s="56"/>
      <c r="G798" s="57">
        <v>88469</v>
      </c>
      <c r="H798" s="107">
        <v>372862</v>
      </c>
      <c r="I798" s="57">
        <v>219315</v>
      </c>
      <c r="J798" s="56">
        <v>0</v>
      </c>
      <c r="K798" s="107">
        <f t="shared" si="24"/>
        <v>680646</v>
      </c>
      <c r="L798" s="56"/>
      <c r="M798" s="57">
        <v>43470</v>
      </c>
      <c r="N798" s="57">
        <v>0</v>
      </c>
      <c r="O798" s="56">
        <v>102113</v>
      </c>
      <c r="P798" s="107">
        <f t="shared" si="25"/>
        <v>145583</v>
      </c>
      <c r="Q798" s="56"/>
      <c r="R798" s="57">
        <v>517521</v>
      </c>
      <c r="S798" s="58">
        <v>-41744</v>
      </c>
      <c r="T798" s="58">
        <v>475777</v>
      </c>
    </row>
    <row r="799" spans="1:20">
      <c r="A799" s="54">
        <v>98637</v>
      </c>
      <c r="B799" s="55" t="s">
        <v>2175</v>
      </c>
      <c r="C799" s="106">
        <v>2.0800000000000001E-5</v>
      </c>
      <c r="D799" s="106">
        <v>2.2200000000000001E-5</v>
      </c>
      <c r="E799" s="56">
        <v>31777</v>
      </c>
      <c r="F799" s="56"/>
      <c r="G799" s="57">
        <v>1831</v>
      </c>
      <c r="H799" s="107">
        <v>7715</v>
      </c>
      <c r="I799" s="57">
        <v>4538</v>
      </c>
      <c r="J799" s="56">
        <v>8386</v>
      </c>
      <c r="K799" s="107">
        <f t="shared" si="24"/>
        <v>22470</v>
      </c>
      <c r="L799" s="56"/>
      <c r="M799" s="57">
        <v>899</v>
      </c>
      <c r="N799" s="57">
        <v>0</v>
      </c>
      <c r="O799" s="56">
        <v>0</v>
      </c>
      <c r="P799" s="107">
        <f t="shared" si="25"/>
        <v>899</v>
      </c>
      <c r="Q799" s="56"/>
      <c r="R799" s="57">
        <v>10709</v>
      </c>
      <c r="S799" s="58">
        <v>3206</v>
      </c>
      <c r="T799" s="58">
        <f>13914+1</f>
        <v>13915</v>
      </c>
    </row>
    <row r="800" spans="1:20">
      <c r="A800" s="54">
        <v>98641</v>
      </c>
      <c r="B800" s="55" t="s">
        <v>2176</v>
      </c>
      <c r="C800" s="106">
        <v>2.965E-4</v>
      </c>
      <c r="D800" s="106">
        <v>3.0019999999999998E-4</v>
      </c>
      <c r="E800" s="56">
        <v>452970</v>
      </c>
      <c r="F800" s="56"/>
      <c r="G800" s="57">
        <v>26095</v>
      </c>
      <c r="H800" s="107">
        <v>109981</v>
      </c>
      <c r="I800" s="57">
        <v>64690</v>
      </c>
      <c r="J800" s="56">
        <v>3407</v>
      </c>
      <c r="K800" s="107">
        <f t="shared" si="24"/>
        <v>204173</v>
      </c>
      <c r="L800" s="56"/>
      <c r="M800" s="57">
        <v>12822</v>
      </c>
      <c r="N800" s="57">
        <v>0</v>
      </c>
      <c r="O800" s="56">
        <v>7840</v>
      </c>
      <c r="P800" s="107">
        <f t="shared" si="25"/>
        <v>20662</v>
      </c>
      <c r="Q800" s="56"/>
      <c r="R800" s="57">
        <v>152651</v>
      </c>
      <c r="S800" s="58">
        <v>-183</v>
      </c>
      <c r="T800" s="58">
        <v>152468</v>
      </c>
    </row>
    <row r="801" spans="1:20">
      <c r="A801" s="54">
        <v>98701</v>
      </c>
      <c r="B801" s="55" t="s">
        <v>2177</v>
      </c>
      <c r="C801" s="106">
        <v>1.1333999999999999E-3</v>
      </c>
      <c r="D801" s="106">
        <v>1.1793000000000001E-3</v>
      </c>
      <c r="E801" s="56">
        <v>1731521</v>
      </c>
      <c r="F801" s="56"/>
      <c r="G801" s="57">
        <v>99752</v>
      </c>
      <c r="H801" s="107">
        <v>420415</v>
      </c>
      <c r="I801" s="57">
        <v>247285</v>
      </c>
      <c r="J801" s="56">
        <v>3431</v>
      </c>
      <c r="K801" s="107">
        <f t="shared" si="24"/>
        <v>770883</v>
      </c>
      <c r="L801" s="56"/>
      <c r="M801" s="57">
        <v>49014</v>
      </c>
      <c r="N801" s="57">
        <v>0</v>
      </c>
      <c r="O801" s="56">
        <v>66380</v>
      </c>
      <c r="P801" s="107">
        <f t="shared" si="25"/>
        <v>115394</v>
      </c>
      <c r="Q801" s="56"/>
      <c r="R801" s="57">
        <v>583524</v>
      </c>
      <c r="S801" s="58">
        <v>-25976</v>
      </c>
      <c r="T801" s="58">
        <v>557548</v>
      </c>
    </row>
    <row r="802" spans="1:20">
      <c r="A802" s="54">
        <v>98711</v>
      </c>
      <c r="B802" s="55" t="s">
        <v>2178</v>
      </c>
      <c r="C802" s="106">
        <v>1.8369999999999999E-4</v>
      </c>
      <c r="D802" s="106">
        <v>1.8039999999999999E-4</v>
      </c>
      <c r="E802" s="56">
        <v>280643</v>
      </c>
      <c r="F802" s="56"/>
      <c r="G802" s="57">
        <v>16168</v>
      </c>
      <c r="H802" s="107">
        <v>68140</v>
      </c>
      <c r="I802" s="57">
        <v>40080</v>
      </c>
      <c r="J802" s="56">
        <v>1238</v>
      </c>
      <c r="K802" s="107">
        <f t="shared" si="24"/>
        <v>125626</v>
      </c>
      <c r="L802" s="56"/>
      <c r="M802" s="57">
        <v>7944</v>
      </c>
      <c r="N802" s="57">
        <v>0</v>
      </c>
      <c r="O802" s="56">
        <v>16374</v>
      </c>
      <c r="P802" s="107">
        <f t="shared" si="25"/>
        <v>24318</v>
      </c>
      <c r="Q802" s="56"/>
      <c r="R802" s="57">
        <v>94577</v>
      </c>
      <c r="S802" s="58">
        <v>-4053</v>
      </c>
      <c r="T802" s="58">
        <v>90524</v>
      </c>
    </row>
    <row r="803" spans="1:20">
      <c r="A803" s="54">
        <v>98717</v>
      </c>
      <c r="B803" s="55" t="s">
        <v>2179</v>
      </c>
      <c r="C803" s="106">
        <v>2.1100000000000001E-5</v>
      </c>
      <c r="D803" s="106">
        <v>1.8600000000000001E-5</v>
      </c>
      <c r="E803" s="56">
        <v>32235</v>
      </c>
      <c r="F803" s="56"/>
      <c r="G803" s="57">
        <v>1857</v>
      </c>
      <c r="H803" s="107">
        <v>7827</v>
      </c>
      <c r="I803" s="57">
        <v>4604</v>
      </c>
      <c r="J803" s="56">
        <v>1439</v>
      </c>
      <c r="K803" s="107">
        <f t="shared" si="24"/>
        <v>15727</v>
      </c>
      <c r="L803" s="56"/>
      <c r="M803" s="57">
        <v>912</v>
      </c>
      <c r="N803" s="57">
        <v>0</v>
      </c>
      <c r="O803" s="56">
        <v>534</v>
      </c>
      <c r="P803" s="107">
        <f t="shared" si="25"/>
        <v>1446</v>
      </c>
      <c r="Q803" s="56"/>
      <c r="R803" s="57">
        <v>10863</v>
      </c>
      <c r="S803" s="58">
        <v>247</v>
      </c>
      <c r="T803" s="58">
        <v>11110</v>
      </c>
    </row>
    <row r="804" spans="1:20">
      <c r="A804" s="54">
        <v>98801</v>
      </c>
      <c r="B804" s="55" t="s">
        <v>2180</v>
      </c>
      <c r="C804" s="106">
        <v>2.2859E-3</v>
      </c>
      <c r="D804" s="106">
        <v>2.1771999999999998E-3</v>
      </c>
      <c r="E804" s="56">
        <v>3492222</v>
      </c>
      <c r="F804" s="56"/>
      <c r="G804" s="57">
        <v>201184</v>
      </c>
      <c r="H804" s="107">
        <v>847916</v>
      </c>
      <c r="I804" s="57">
        <v>498738</v>
      </c>
      <c r="J804" s="56">
        <v>146068</v>
      </c>
      <c r="K804" s="107">
        <f t="shared" si="24"/>
        <v>1693906</v>
      </c>
      <c r="L804" s="56"/>
      <c r="M804" s="57">
        <v>98854</v>
      </c>
      <c r="N804" s="57">
        <v>0</v>
      </c>
      <c r="O804" s="56">
        <v>0</v>
      </c>
      <c r="P804" s="107">
        <f t="shared" si="25"/>
        <v>98854</v>
      </c>
      <c r="Q804" s="56"/>
      <c r="R804" s="57">
        <v>1176882</v>
      </c>
      <c r="S804" s="58">
        <v>55567</v>
      </c>
      <c r="T804" s="58">
        <v>1232449</v>
      </c>
    </row>
    <row r="805" spans="1:20">
      <c r="A805" s="54">
        <v>98811</v>
      </c>
      <c r="B805" s="55" t="s">
        <v>2181</v>
      </c>
      <c r="C805" s="106">
        <v>6.5160000000000001E-4</v>
      </c>
      <c r="D805" s="106">
        <v>7.1120000000000005E-4</v>
      </c>
      <c r="E805" s="56">
        <v>995464</v>
      </c>
      <c r="F805" s="56"/>
      <c r="G805" s="57">
        <v>57348</v>
      </c>
      <c r="H805" s="107">
        <v>241700</v>
      </c>
      <c r="I805" s="57">
        <v>142166</v>
      </c>
      <c r="J805" s="56">
        <v>16975</v>
      </c>
      <c r="K805" s="107">
        <f t="shared" si="24"/>
        <v>458189</v>
      </c>
      <c r="L805" s="56"/>
      <c r="M805" s="57">
        <v>28178</v>
      </c>
      <c r="N805" s="57">
        <v>0</v>
      </c>
      <c r="O805" s="56">
        <v>46894</v>
      </c>
      <c r="P805" s="107">
        <f t="shared" si="25"/>
        <v>75072</v>
      </c>
      <c r="Q805" s="56"/>
      <c r="R805" s="57">
        <v>335472</v>
      </c>
      <c r="S805" s="58">
        <v>-312</v>
      </c>
      <c r="T805" s="58">
        <f>335161-1</f>
        <v>335160</v>
      </c>
    </row>
    <row r="806" spans="1:20">
      <c r="A806" s="54">
        <v>98817</v>
      </c>
      <c r="B806" s="55" t="s">
        <v>2182</v>
      </c>
      <c r="C806" s="106">
        <v>2.5199999999999999E-5</v>
      </c>
      <c r="D806" s="106">
        <v>2.34E-5</v>
      </c>
      <c r="E806" s="56">
        <v>38499</v>
      </c>
      <c r="F806" s="56"/>
      <c r="G806" s="57">
        <v>2218</v>
      </c>
      <c r="H806" s="107">
        <v>9347</v>
      </c>
      <c r="I806" s="57">
        <v>5498</v>
      </c>
      <c r="J806" s="56">
        <v>3862</v>
      </c>
      <c r="K806" s="107">
        <f t="shared" si="24"/>
        <v>20925</v>
      </c>
      <c r="L806" s="56"/>
      <c r="M806" s="57">
        <v>1090</v>
      </c>
      <c r="N806" s="57">
        <v>0</v>
      </c>
      <c r="O806" s="56">
        <v>2179</v>
      </c>
      <c r="P806" s="107">
        <f t="shared" si="25"/>
        <v>3269</v>
      </c>
      <c r="Q806" s="56"/>
      <c r="R806" s="57">
        <v>12974</v>
      </c>
      <c r="S806" s="58">
        <v>-1216</v>
      </c>
      <c r="T806" s="58">
        <v>11758</v>
      </c>
    </row>
    <row r="807" spans="1:20">
      <c r="A807" s="54">
        <v>98901</v>
      </c>
      <c r="B807" s="55" t="s">
        <v>2183</v>
      </c>
      <c r="C807" s="106">
        <v>3.5050000000000001E-4</v>
      </c>
      <c r="D807" s="106">
        <v>3.392E-4</v>
      </c>
      <c r="E807" s="56">
        <v>535467</v>
      </c>
      <c r="F807" s="56"/>
      <c r="G807" s="57">
        <v>30848</v>
      </c>
      <c r="H807" s="107">
        <v>130012</v>
      </c>
      <c r="I807" s="57">
        <v>76472</v>
      </c>
      <c r="J807" s="56">
        <v>7505</v>
      </c>
      <c r="K807" s="107">
        <f t="shared" si="24"/>
        <v>244837</v>
      </c>
      <c r="L807" s="56"/>
      <c r="M807" s="57">
        <v>15157</v>
      </c>
      <c r="N807" s="57">
        <v>0</v>
      </c>
      <c r="O807" s="56">
        <v>2530</v>
      </c>
      <c r="P807" s="107">
        <f t="shared" si="25"/>
        <v>17687</v>
      </c>
      <c r="Q807" s="56"/>
      <c r="R807" s="57">
        <v>180453</v>
      </c>
      <c r="S807" s="58">
        <v>975</v>
      </c>
      <c r="T807" s="58">
        <v>181428</v>
      </c>
    </row>
    <row r="808" spans="1:20">
      <c r="A808" s="54">
        <v>98904</v>
      </c>
      <c r="B808" s="55" t="s">
        <v>2184</v>
      </c>
      <c r="C808" s="106">
        <v>2.7999999999999999E-6</v>
      </c>
      <c r="D808" s="106">
        <v>5.2000000000000002E-6</v>
      </c>
      <c r="E808" s="56">
        <v>4278</v>
      </c>
      <c r="F808" s="56"/>
      <c r="G808" s="57">
        <v>246</v>
      </c>
      <c r="H808" s="107">
        <v>1039</v>
      </c>
      <c r="I808" s="57">
        <v>611</v>
      </c>
      <c r="J808" s="56">
        <v>365</v>
      </c>
      <c r="K808" s="107">
        <f t="shared" si="24"/>
        <v>2261</v>
      </c>
      <c r="L808" s="56"/>
      <c r="M808" s="57">
        <v>121</v>
      </c>
      <c r="N808" s="57">
        <v>0</v>
      </c>
      <c r="O808" s="56">
        <v>1887</v>
      </c>
      <c r="P808" s="107">
        <f t="shared" si="25"/>
        <v>2008</v>
      </c>
      <c r="Q808" s="56"/>
      <c r="R808" s="57">
        <v>1442</v>
      </c>
      <c r="S808" s="58">
        <v>-315</v>
      </c>
      <c r="T808" s="58">
        <f>1126+1</f>
        <v>1127</v>
      </c>
    </row>
    <row r="809" spans="1:20">
      <c r="A809" s="54">
        <v>98911</v>
      </c>
      <c r="B809" s="55" t="s">
        <v>2185</v>
      </c>
      <c r="C809" s="106">
        <v>2.7900000000000001E-5</v>
      </c>
      <c r="D809" s="106">
        <v>2.8600000000000001E-5</v>
      </c>
      <c r="E809" s="56">
        <v>42623</v>
      </c>
      <c r="F809" s="56"/>
      <c r="G809" s="57">
        <v>2456</v>
      </c>
      <c r="H809" s="107">
        <v>10349</v>
      </c>
      <c r="I809" s="57">
        <v>6087</v>
      </c>
      <c r="J809" s="56">
        <v>12780</v>
      </c>
      <c r="K809" s="107">
        <f t="shared" si="24"/>
        <v>31672</v>
      </c>
      <c r="L809" s="56"/>
      <c r="M809" s="57">
        <v>1207</v>
      </c>
      <c r="N809" s="57">
        <v>0</v>
      </c>
      <c r="O809" s="56">
        <v>0</v>
      </c>
      <c r="P809" s="107">
        <f t="shared" si="25"/>
        <v>1207</v>
      </c>
      <c r="Q809" s="56"/>
      <c r="R809" s="57">
        <v>14364</v>
      </c>
      <c r="S809" s="58">
        <v>5565</v>
      </c>
      <c r="T809" s="58">
        <v>19929</v>
      </c>
    </row>
    <row r="810" spans="1:20">
      <c r="A810" s="54">
        <v>99001</v>
      </c>
      <c r="B810" s="55" t="s">
        <v>2186</v>
      </c>
      <c r="C810" s="106">
        <v>8.0949000000000004E-3</v>
      </c>
      <c r="D810" s="106">
        <v>7.8098999999999998E-3</v>
      </c>
      <c r="E810" s="56">
        <v>12366765</v>
      </c>
      <c r="F810" s="56"/>
      <c r="G810" s="57">
        <v>712440</v>
      </c>
      <c r="H810" s="107">
        <v>3002666</v>
      </c>
      <c r="I810" s="57">
        <v>1766145</v>
      </c>
      <c r="J810" s="56">
        <v>355732</v>
      </c>
      <c r="K810" s="107">
        <f t="shared" si="24"/>
        <v>5836983</v>
      </c>
      <c r="L810" s="56"/>
      <c r="M810" s="57">
        <v>350064</v>
      </c>
      <c r="N810" s="57">
        <v>0</v>
      </c>
      <c r="O810" s="56">
        <v>0</v>
      </c>
      <c r="P810" s="107">
        <f t="shared" si="25"/>
        <v>350064</v>
      </c>
      <c r="Q810" s="56"/>
      <c r="R810" s="57">
        <v>4167611</v>
      </c>
      <c r="S810" s="58">
        <v>186049</v>
      </c>
      <c r="T810" s="58">
        <v>4353660</v>
      </c>
    </row>
    <row r="811" spans="1:20">
      <c r="A811" s="54">
        <v>99011</v>
      </c>
      <c r="B811" s="55" t="s">
        <v>2187</v>
      </c>
      <c r="C811" s="106">
        <v>3.8736999999999999E-3</v>
      </c>
      <c r="D811" s="106">
        <v>3.9039000000000001E-3</v>
      </c>
      <c r="E811" s="56">
        <v>5917941</v>
      </c>
      <c r="F811" s="56"/>
      <c r="G811" s="57">
        <v>340928</v>
      </c>
      <c r="H811" s="107">
        <v>1436883</v>
      </c>
      <c r="I811" s="57">
        <v>845164</v>
      </c>
      <c r="J811" s="56">
        <v>0</v>
      </c>
      <c r="K811" s="107">
        <f t="shared" si="24"/>
        <v>2622975</v>
      </c>
      <c r="L811" s="56"/>
      <c r="M811" s="57">
        <v>167518</v>
      </c>
      <c r="N811" s="57">
        <v>0</v>
      </c>
      <c r="O811" s="56">
        <v>396289</v>
      </c>
      <c r="P811" s="107">
        <f t="shared" si="25"/>
        <v>563807</v>
      </c>
      <c r="Q811" s="56"/>
      <c r="R811" s="57">
        <v>1994351</v>
      </c>
      <c r="S811" s="58">
        <v>-212974</v>
      </c>
      <c r="T811" s="58">
        <v>1781377</v>
      </c>
    </row>
    <row r="812" spans="1:20">
      <c r="A812" s="54">
        <v>99013</v>
      </c>
      <c r="B812" s="55" t="s">
        <v>2188</v>
      </c>
      <c r="C812" s="106">
        <v>5.5999999999999999E-5</v>
      </c>
      <c r="D812" s="106">
        <v>6.02E-5</v>
      </c>
      <c r="E812" s="56">
        <v>85552</v>
      </c>
      <c r="F812" s="56"/>
      <c r="G812" s="57">
        <v>4929</v>
      </c>
      <c r="H812" s="107">
        <v>20773</v>
      </c>
      <c r="I812" s="57">
        <v>12218</v>
      </c>
      <c r="J812" s="56">
        <v>10</v>
      </c>
      <c r="K812" s="107">
        <f t="shared" si="24"/>
        <v>37930</v>
      </c>
      <c r="L812" s="56"/>
      <c r="M812" s="57">
        <v>2422</v>
      </c>
      <c r="N812" s="57">
        <v>0</v>
      </c>
      <c r="O812" s="56">
        <v>8046</v>
      </c>
      <c r="P812" s="107">
        <f t="shared" si="25"/>
        <v>10468</v>
      </c>
      <c r="Q812" s="56"/>
      <c r="R812" s="57">
        <v>28831</v>
      </c>
      <c r="S812" s="58">
        <v>-2790</v>
      </c>
      <c r="T812" s="58">
        <f>26042-1</f>
        <v>26041</v>
      </c>
    </row>
    <row r="813" spans="1:20">
      <c r="A813" s="54">
        <v>99014</v>
      </c>
      <c r="B813" s="55" t="s">
        <v>2189</v>
      </c>
      <c r="C813" s="106">
        <v>2.0100000000000001E-5</v>
      </c>
      <c r="D813" s="106">
        <v>2.4199999999999999E-5</v>
      </c>
      <c r="E813" s="56">
        <v>30707</v>
      </c>
      <c r="F813" s="56"/>
      <c r="G813" s="57">
        <v>1769</v>
      </c>
      <c r="H813" s="107">
        <v>7456</v>
      </c>
      <c r="I813" s="57">
        <v>4385</v>
      </c>
      <c r="J813" s="56">
        <v>12703</v>
      </c>
      <c r="K813" s="107">
        <f t="shared" si="24"/>
        <v>26313</v>
      </c>
      <c r="L813" s="56"/>
      <c r="M813" s="57">
        <v>869</v>
      </c>
      <c r="N813" s="57">
        <v>0</v>
      </c>
      <c r="O813" s="56">
        <v>0</v>
      </c>
      <c r="P813" s="107">
        <f t="shared" si="25"/>
        <v>869</v>
      </c>
      <c r="Q813" s="56"/>
      <c r="R813" s="57">
        <v>10348</v>
      </c>
      <c r="S813" s="58">
        <v>4335</v>
      </c>
      <c r="T813" s="58">
        <v>14683</v>
      </c>
    </row>
    <row r="814" spans="1:20">
      <c r="A814" s="54">
        <v>99017</v>
      </c>
      <c r="B814" s="55" t="s">
        <v>2190</v>
      </c>
      <c r="C814" s="106">
        <v>5.13E-5</v>
      </c>
      <c r="D814" s="106">
        <v>4.6999999999999997E-5</v>
      </c>
      <c r="E814" s="56">
        <v>78372</v>
      </c>
      <c r="F814" s="56"/>
      <c r="G814" s="57">
        <v>4515</v>
      </c>
      <c r="H814" s="107">
        <v>19029</v>
      </c>
      <c r="I814" s="57">
        <v>11193</v>
      </c>
      <c r="J814" s="56">
        <v>8072</v>
      </c>
      <c r="K814" s="107">
        <f t="shared" si="24"/>
        <v>42809</v>
      </c>
      <c r="L814" s="56"/>
      <c r="M814" s="57">
        <v>2218</v>
      </c>
      <c r="N814" s="57">
        <v>0</v>
      </c>
      <c r="O814" s="56">
        <v>3306</v>
      </c>
      <c r="P814" s="107">
        <f t="shared" si="25"/>
        <v>5524</v>
      </c>
      <c r="Q814" s="56"/>
      <c r="R814" s="57">
        <v>26411</v>
      </c>
      <c r="S814" s="58">
        <v>-629</v>
      </c>
      <c r="T814" s="58">
        <v>25782</v>
      </c>
    </row>
    <row r="815" spans="1:20">
      <c r="A815" s="54">
        <v>99021</v>
      </c>
      <c r="B815" s="55" t="s">
        <v>2191</v>
      </c>
      <c r="C815" s="106">
        <v>1.5249999999999999E-4</v>
      </c>
      <c r="D815" s="106">
        <v>1.3420000000000001E-4</v>
      </c>
      <c r="E815" s="56">
        <v>232978</v>
      </c>
      <c r="F815" s="56"/>
      <c r="G815" s="57">
        <v>13422</v>
      </c>
      <c r="H815" s="107">
        <v>56568</v>
      </c>
      <c r="I815" s="57">
        <v>33272</v>
      </c>
      <c r="J815" s="56">
        <v>11565</v>
      </c>
      <c r="K815" s="107">
        <f t="shared" si="24"/>
        <v>114827</v>
      </c>
      <c r="L815" s="56"/>
      <c r="M815" s="57">
        <v>6595</v>
      </c>
      <c r="N815" s="57">
        <v>0</v>
      </c>
      <c r="O815" s="56">
        <v>728</v>
      </c>
      <c r="P815" s="107">
        <f t="shared" si="25"/>
        <v>7323</v>
      </c>
      <c r="Q815" s="56"/>
      <c r="R815" s="57">
        <v>78514</v>
      </c>
      <c r="S815" s="58">
        <v>3978</v>
      </c>
      <c r="T815" s="58">
        <f>82491+1</f>
        <v>82492</v>
      </c>
    </row>
    <row r="816" spans="1:20">
      <c r="A816" s="54">
        <v>99022</v>
      </c>
      <c r="B816" s="55" t="s">
        <v>804</v>
      </c>
      <c r="C816" s="106">
        <v>1.08E-5</v>
      </c>
      <c r="D816" s="106">
        <v>1.1800000000000001E-5</v>
      </c>
      <c r="E816" s="56">
        <v>16499</v>
      </c>
      <c r="F816" s="56"/>
      <c r="G816" s="57">
        <v>951</v>
      </c>
      <c r="H816" s="107">
        <v>4006</v>
      </c>
      <c r="I816" s="57">
        <v>2356</v>
      </c>
      <c r="J816" s="56">
        <v>8944</v>
      </c>
      <c r="K816" s="107">
        <f t="shared" si="24"/>
        <v>16257</v>
      </c>
      <c r="L816" s="56"/>
      <c r="M816" s="57">
        <v>467</v>
      </c>
      <c r="N816" s="57">
        <v>0</v>
      </c>
      <c r="O816" s="56">
        <v>132</v>
      </c>
      <c r="P816" s="107">
        <f t="shared" si="25"/>
        <v>599</v>
      </c>
      <c r="Q816" s="56"/>
      <c r="R816" s="57">
        <v>5560</v>
      </c>
      <c r="S816" s="58">
        <v>2896</v>
      </c>
      <c r="T816" s="58">
        <v>8456</v>
      </c>
    </row>
    <row r="817" spans="1:20">
      <c r="A817" s="54">
        <v>99031</v>
      </c>
      <c r="B817" s="55" t="s">
        <v>2192</v>
      </c>
      <c r="C817" s="106">
        <v>1.518E-4</v>
      </c>
      <c r="D817" s="106">
        <v>1.5970000000000001E-4</v>
      </c>
      <c r="E817" s="56">
        <v>231908</v>
      </c>
      <c r="F817" s="56"/>
      <c r="G817" s="57">
        <v>13360</v>
      </c>
      <c r="H817" s="107">
        <v>56308</v>
      </c>
      <c r="I817" s="57">
        <v>33120</v>
      </c>
      <c r="J817" s="56">
        <v>2845</v>
      </c>
      <c r="K817" s="107">
        <f t="shared" si="24"/>
        <v>105633</v>
      </c>
      <c r="L817" s="56"/>
      <c r="M817" s="57">
        <v>6565</v>
      </c>
      <c r="N817" s="57">
        <v>0</v>
      </c>
      <c r="O817" s="56">
        <v>23907</v>
      </c>
      <c r="P817" s="107">
        <f t="shared" si="25"/>
        <v>30472</v>
      </c>
      <c r="Q817" s="56"/>
      <c r="R817" s="57">
        <v>78153</v>
      </c>
      <c r="S817" s="58">
        <v>-11727</v>
      </c>
      <c r="T817" s="58">
        <v>66426</v>
      </c>
    </row>
    <row r="818" spans="1:20">
      <c r="A818" s="54">
        <v>99041</v>
      </c>
      <c r="B818" s="55" t="s">
        <v>2193</v>
      </c>
      <c r="C818" s="106">
        <v>6.3500000000000004E-4</v>
      </c>
      <c r="D818" s="106">
        <v>5.6289999999999997E-4</v>
      </c>
      <c r="E818" s="56">
        <v>970104</v>
      </c>
      <c r="F818" s="56"/>
      <c r="G818" s="57">
        <v>55887</v>
      </c>
      <c r="H818" s="107">
        <v>235543</v>
      </c>
      <c r="I818" s="57">
        <v>138544</v>
      </c>
      <c r="J818" s="56">
        <v>52920</v>
      </c>
      <c r="K818" s="107">
        <f t="shared" si="24"/>
        <v>482894</v>
      </c>
      <c r="L818" s="56"/>
      <c r="M818" s="57">
        <v>27461</v>
      </c>
      <c r="N818" s="57">
        <v>0</v>
      </c>
      <c r="O818" s="56">
        <v>0</v>
      </c>
      <c r="P818" s="107">
        <f t="shared" si="25"/>
        <v>27461</v>
      </c>
      <c r="Q818" s="56"/>
      <c r="R818" s="57">
        <v>326926</v>
      </c>
      <c r="S818" s="58">
        <v>28997</v>
      </c>
      <c r="T818" s="58">
        <v>355923</v>
      </c>
    </row>
    <row r="819" spans="1:20">
      <c r="A819" s="54">
        <v>99047</v>
      </c>
      <c r="B819" s="55" t="s">
        <v>2194</v>
      </c>
      <c r="C819" s="106">
        <v>1.42E-5</v>
      </c>
      <c r="D819" s="106">
        <v>9.2E-6</v>
      </c>
      <c r="E819" s="56">
        <v>21694</v>
      </c>
      <c r="F819" s="56"/>
      <c r="G819" s="57">
        <v>1250</v>
      </c>
      <c r="H819" s="107">
        <v>5267</v>
      </c>
      <c r="I819" s="57">
        <v>3098</v>
      </c>
      <c r="J819" s="56">
        <v>6410</v>
      </c>
      <c r="K819" s="107">
        <f t="shared" si="24"/>
        <v>16025</v>
      </c>
      <c r="L819" s="56"/>
      <c r="M819" s="57">
        <v>614</v>
      </c>
      <c r="N819" s="57">
        <v>0</v>
      </c>
      <c r="O819" s="56">
        <v>0</v>
      </c>
      <c r="P819" s="107">
        <f t="shared" si="25"/>
        <v>614</v>
      </c>
      <c r="Q819" s="56"/>
      <c r="R819" s="57">
        <v>7311</v>
      </c>
      <c r="S819" s="58">
        <v>2345</v>
      </c>
      <c r="T819" s="58">
        <f>9655+1</f>
        <v>9656</v>
      </c>
    </row>
    <row r="820" spans="1:20">
      <c r="A820" s="54">
        <v>99051</v>
      </c>
      <c r="B820" s="55" t="s">
        <v>2195</v>
      </c>
      <c r="C820" s="106">
        <v>3.5359999999999998E-4</v>
      </c>
      <c r="D820" s="106">
        <v>3.3349999999999997E-4</v>
      </c>
      <c r="E820" s="56">
        <v>540203</v>
      </c>
      <c r="F820" s="56"/>
      <c r="G820" s="57">
        <v>31121</v>
      </c>
      <c r="H820" s="107">
        <v>131162</v>
      </c>
      <c r="I820" s="57">
        <v>77148</v>
      </c>
      <c r="J820" s="56">
        <v>11433</v>
      </c>
      <c r="K820" s="107">
        <f t="shared" si="24"/>
        <v>250864</v>
      </c>
      <c r="L820" s="56"/>
      <c r="M820" s="57">
        <v>15291</v>
      </c>
      <c r="N820" s="57">
        <v>0</v>
      </c>
      <c r="O820" s="56">
        <v>2536</v>
      </c>
      <c r="P820" s="107">
        <f t="shared" si="25"/>
        <v>17827</v>
      </c>
      <c r="Q820" s="56"/>
      <c r="R820" s="57">
        <v>182049</v>
      </c>
      <c r="S820" s="58">
        <v>4776</v>
      </c>
      <c r="T820" s="58">
        <f>186824+1</f>
        <v>186825</v>
      </c>
    </row>
    <row r="821" spans="1:20">
      <c r="A821" s="54">
        <v>99061</v>
      </c>
      <c r="B821" s="55" t="s">
        <v>2196</v>
      </c>
      <c r="C821" s="106">
        <v>8.1000000000000004E-6</v>
      </c>
      <c r="D821" s="106">
        <v>8.3999999999999992E-6</v>
      </c>
      <c r="E821" s="56">
        <v>12375</v>
      </c>
      <c r="F821" s="56"/>
      <c r="G821" s="57">
        <v>713</v>
      </c>
      <c r="H821" s="107">
        <v>3005</v>
      </c>
      <c r="I821" s="57">
        <v>1767</v>
      </c>
      <c r="J821" s="56">
        <v>7276</v>
      </c>
      <c r="K821" s="107">
        <f t="shared" si="24"/>
        <v>12761</v>
      </c>
      <c r="L821" s="56"/>
      <c r="M821" s="57">
        <v>350</v>
      </c>
      <c r="N821" s="57">
        <v>0</v>
      </c>
      <c r="O821" s="56">
        <v>0</v>
      </c>
      <c r="P821" s="107">
        <f t="shared" si="25"/>
        <v>350</v>
      </c>
      <c r="Q821" s="56"/>
      <c r="R821" s="57">
        <v>4170</v>
      </c>
      <c r="S821" s="58">
        <v>2674</v>
      </c>
      <c r="T821" s="58">
        <v>6844</v>
      </c>
    </row>
    <row r="822" spans="1:20">
      <c r="A822" s="54">
        <v>99071</v>
      </c>
      <c r="B822" s="55" t="s">
        <v>2197</v>
      </c>
      <c r="C822" s="106">
        <v>3.04E-5</v>
      </c>
      <c r="D822" s="106">
        <v>3.0499999999999999E-5</v>
      </c>
      <c r="E822" s="56">
        <v>46443</v>
      </c>
      <c r="F822" s="56"/>
      <c r="G822" s="57">
        <v>2676</v>
      </c>
      <c r="H822" s="107">
        <v>11277</v>
      </c>
      <c r="I822" s="57">
        <v>6633</v>
      </c>
      <c r="J822" s="56">
        <v>818</v>
      </c>
      <c r="K822" s="107">
        <f t="shared" si="24"/>
        <v>21404</v>
      </c>
      <c r="L822" s="56"/>
      <c r="M822" s="57">
        <v>1315</v>
      </c>
      <c r="N822" s="57">
        <v>0</v>
      </c>
      <c r="O822" s="56">
        <v>2093</v>
      </c>
      <c r="P822" s="107">
        <f t="shared" si="25"/>
        <v>3408</v>
      </c>
      <c r="Q822" s="56"/>
      <c r="R822" s="57">
        <v>15651</v>
      </c>
      <c r="S822" s="58">
        <v>-1107</v>
      </c>
      <c r="T822" s="58">
        <v>14544</v>
      </c>
    </row>
    <row r="823" spans="1:20">
      <c r="A823" s="54">
        <v>99081</v>
      </c>
      <c r="B823" s="55" t="s">
        <v>2198</v>
      </c>
      <c r="C823" s="106">
        <v>1.1E-5</v>
      </c>
      <c r="D823" s="106">
        <v>2.9600000000000001E-5</v>
      </c>
      <c r="E823" s="56">
        <v>16805</v>
      </c>
      <c r="F823" s="56"/>
      <c r="G823" s="57">
        <v>968</v>
      </c>
      <c r="H823" s="107">
        <v>4081</v>
      </c>
      <c r="I823" s="57">
        <v>2400</v>
      </c>
      <c r="J823" s="56">
        <v>3587</v>
      </c>
      <c r="K823" s="107">
        <f t="shared" si="24"/>
        <v>11036</v>
      </c>
      <c r="L823" s="56"/>
      <c r="M823" s="57">
        <v>476</v>
      </c>
      <c r="N823" s="57">
        <v>0</v>
      </c>
      <c r="O823" s="56">
        <v>13215</v>
      </c>
      <c r="P823" s="107">
        <f t="shared" si="25"/>
        <v>13691</v>
      </c>
      <c r="Q823" s="56"/>
      <c r="R823" s="57">
        <v>5663</v>
      </c>
      <c r="S823" s="58">
        <v>-2898</v>
      </c>
      <c r="T823" s="58">
        <f>2766-1</f>
        <v>2765</v>
      </c>
    </row>
    <row r="824" spans="1:20">
      <c r="A824" s="54">
        <v>99091</v>
      </c>
      <c r="B824" s="55" t="s">
        <v>2199</v>
      </c>
      <c r="C824" s="106">
        <v>3.9999999999999998E-6</v>
      </c>
      <c r="D824" s="106">
        <v>4.1999999999999996E-6</v>
      </c>
      <c r="E824" s="56">
        <v>6111</v>
      </c>
      <c r="F824" s="56"/>
      <c r="G824" s="57">
        <v>352</v>
      </c>
      <c r="H824" s="107">
        <v>1484</v>
      </c>
      <c r="I824" s="57">
        <v>873</v>
      </c>
      <c r="J824" s="56">
        <v>4105</v>
      </c>
      <c r="K824" s="107">
        <f t="shared" si="24"/>
        <v>6814</v>
      </c>
      <c r="L824" s="56"/>
      <c r="M824" s="57">
        <v>173</v>
      </c>
      <c r="N824" s="57">
        <v>0</v>
      </c>
      <c r="O824" s="56">
        <v>3232</v>
      </c>
      <c r="P824" s="107">
        <f t="shared" si="25"/>
        <v>3405</v>
      </c>
      <c r="Q824" s="56"/>
      <c r="R824" s="57">
        <v>2059</v>
      </c>
      <c r="S824" s="58">
        <v>-1926</v>
      </c>
      <c r="T824" s="58">
        <f>134-1</f>
        <v>133</v>
      </c>
    </row>
    <row r="825" spans="1:20">
      <c r="A825" s="54">
        <v>99101</v>
      </c>
      <c r="B825" s="55" t="s">
        <v>2200</v>
      </c>
      <c r="C825" s="106">
        <v>2.1724000000000001E-3</v>
      </c>
      <c r="D825" s="106">
        <v>2.0087999999999998E-3</v>
      </c>
      <c r="E825" s="56">
        <v>3318825</v>
      </c>
      <c r="F825" s="56"/>
      <c r="G825" s="57">
        <v>191195</v>
      </c>
      <c r="H825" s="107">
        <v>805815</v>
      </c>
      <c r="I825" s="57">
        <v>473974</v>
      </c>
      <c r="J825" s="56">
        <v>48335</v>
      </c>
      <c r="K825" s="107">
        <f t="shared" si="24"/>
        <v>1519319</v>
      </c>
      <c r="L825" s="56"/>
      <c r="M825" s="57">
        <v>93945</v>
      </c>
      <c r="N825" s="57">
        <v>0</v>
      </c>
      <c r="O825" s="56">
        <v>44900</v>
      </c>
      <c r="P825" s="107">
        <f t="shared" si="25"/>
        <v>138845</v>
      </c>
      <c r="Q825" s="56"/>
      <c r="R825" s="57">
        <v>1118447</v>
      </c>
      <c r="S825" s="58">
        <v>-14151</v>
      </c>
      <c r="T825" s="58">
        <v>1104296</v>
      </c>
    </row>
    <row r="826" spans="1:20">
      <c r="A826" s="54">
        <v>99104</v>
      </c>
      <c r="B826" s="55" t="s">
        <v>2201</v>
      </c>
      <c r="C826" s="106">
        <v>3.3500000000000001E-5</v>
      </c>
      <c r="D826" s="106">
        <v>3.4799999999999999E-5</v>
      </c>
      <c r="E826" s="56">
        <v>51179</v>
      </c>
      <c r="F826" s="56"/>
      <c r="G826" s="57">
        <v>2948</v>
      </c>
      <c r="H826" s="107">
        <v>12426</v>
      </c>
      <c r="I826" s="57">
        <v>7309</v>
      </c>
      <c r="J826" s="56">
        <v>15217</v>
      </c>
      <c r="K826" s="107">
        <f t="shared" si="24"/>
        <v>37900</v>
      </c>
      <c r="L826" s="56"/>
      <c r="M826" s="57">
        <v>1449</v>
      </c>
      <c r="N826" s="57">
        <v>0</v>
      </c>
      <c r="O826" s="56">
        <v>0</v>
      </c>
      <c r="P826" s="107">
        <f t="shared" si="25"/>
        <v>1449</v>
      </c>
      <c r="Q826" s="56"/>
      <c r="R826" s="57">
        <v>17247</v>
      </c>
      <c r="S826" s="58">
        <v>6167</v>
      </c>
      <c r="T826" s="58">
        <f>23415-1</f>
        <v>23414</v>
      </c>
    </row>
    <row r="827" spans="1:20">
      <c r="A827" s="54">
        <v>99109</v>
      </c>
      <c r="B827" s="55" t="s">
        <v>2202</v>
      </c>
      <c r="C827" s="106">
        <v>1.2339999999999999E-4</v>
      </c>
      <c r="D827" s="106">
        <v>1.1849999999999999E-4</v>
      </c>
      <c r="E827" s="56">
        <v>188521</v>
      </c>
      <c r="F827" s="56"/>
      <c r="G827" s="57">
        <v>10861</v>
      </c>
      <c r="H827" s="107">
        <v>45773</v>
      </c>
      <c r="I827" s="57">
        <v>26923</v>
      </c>
      <c r="J827" s="56">
        <v>6454</v>
      </c>
      <c r="K827" s="107">
        <f t="shared" si="24"/>
        <v>90011</v>
      </c>
      <c r="L827" s="56"/>
      <c r="M827" s="57">
        <v>5336</v>
      </c>
      <c r="N827" s="57">
        <v>0</v>
      </c>
      <c r="O827" s="56">
        <v>14208</v>
      </c>
      <c r="P827" s="107">
        <f t="shared" si="25"/>
        <v>19544</v>
      </c>
      <c r="Q827" s="56"/>
      <c r="R827" s="57">
        <v>63532</v>
      </c>
      <c r="S827" s="58">
        <v>-5391</v>
      </c>
      <c r="T827" s="58">
        <f>58140+1</f>
        <v>58141</v>
      </c>
    </row>
    <row r="828" spans="1:20">
      <c r="A828" s="54">
        <v>99110</v>
      </c>
      <c r="B828" s="55" t="s">
        <v>2203</v>
      </c>
      <c r="C828" s="106">
        <v>1.7670000000000001E-4</v>
      </c>
      <c r="D828" s="106">
        <v>1.8369999999999999E-4</v>
      </c>
      <c r="E828" s="56">
        <v>269949</v>
      </c>
      <c r="F828" s="56"/>
      <c r="G828" s="57">
        <v>15552</v>
      </c>
      <c r="H828" s="107">
        <v>65544</v>
      </c>
      <c r="I828" s="57">
        <v>38552</v>
      </c>
      <c r="J828" s="56">
        <v>69046</v>
      </c>
      <c r="K828" s="107">
        <f t="shared" si="24"/>
        <v>188694</v>
      </c>
      <c r="L828" s="56"/>
      <c r="M828" s="57">
        <v>7641</v>
      </c>
      <c r="N828" s="57">
        <v>0</v>
      </c>
      <c r="O828" s="56">
        <v>0</v>
      </c>
      <c r="P828" s="107">
        <f t="shared" si="25"/>
        <v>7641</v>
      </c>
      <c r="Q828" s="56"/>
      <c r="R828" s="57">
        <v>90973</v>
      </c>
      <c r="S828" s="58">
        <v>27602</v>
      </c>
      <c r="T828" s="58">
        <v>118575</v>
      </c>
    </row>
    <row r="829" spans="1:20">
      <c r="A829" s="54">
        <v>99111</v>
      </c>
      <c r="B829" s="55" t="s">
        <v>2204</v>
      </c>
      <c r="C829" s="106">
        <v>1.2618E-3</v>
      </c>
      <c r="D829" s="106">
        <v>1.2757000000000001E-3</v>
      </c>
      <c r="E829" s="56">
        <v>1927681</v>
      </c>
      <c r="F829" s="56"/>
      <c r="G829" s="57">
        <v>111052</v>
      </c>
      <c r="H829" s="107">
        <v>468043</v>
      </c>
      <c r="I829" s="57">
        <v>275300</v>
      </c>
      <c r="J829" s="56">
        <v>0</v>
      </c>
      <c r="K829" s="107">
        <f t="shared" si="24"/>
        <v>854395</v>
      </c>
      <c r="L829" s="56"/>
      <c r="M829" s="57">
        <v>54567</v>
      </c>
      <c r="N829" s="57">
        <v>0</v>
      </c>
      <c r="O829" s="56">
        <v>143900</v>
      </c>
      <c r="P829" s="107">
        <f t="shared" si="25"/>
        <v>198467</v>
      </c>
      <c r="Q829" s="56"/>
      <c r="R829" s="57">
        <v>649630</v>
      </c>
      <c r="S829" s="58">
        <v>-68554</v>
      </c>
      <c r="T829" s="58">
        <v>581076</v>
      </c>
    </row>
    <row r="830" spans="1:20">
      <c r="A830" s="54">
        <v>99201</v>
      </c>
      <c r="B830" s="55" t="s">
        <v>2205</v>
      </c>
      <c r="C830" s="106">
        <v>3.3297199999999999E-2</v>
      </c>
      <c r="D830" s="106">
        <v>3.22145E-2</v>
      </c>
      <c r="E830" s="56">
        <v>50868898</v>
      </c>
      <c r="F830" s="56"/>
      <c r="G830" s="57">
        <v>2930520</v>
      </c>
      <c r="H830" s="107">
        <v>12351030</v>
      </c>
      <c r="I830" s="57">
        <v>7264783</v>
      </c>
      <c r="J830" s="56">
        <v>1320745</v>
      </c>
      <c r="K830" s="107">
        <f t="shared" si="24"/>
        <v>23867078</v>
      </c>
      <c r="L830" s="56"/>
      <c r="M830" s="57">
        <v>1439937</v>
      </c>
      <c r="N830" s="57">
        <v>0</v>
      </c>
      <c r="O830" s="56">
        <v>241517</v>
      </c>
      <c r="P830" s="107">
        <f t="shared" si="25"/>
        <v>1681454</v>
      </c>
      <c r="Q830" s="56"/>
      <c r="R830" s="57">
        <v>17142864</v>
      </c>
      <c r="S830" s="58">
        <v>242815</v>
      </c>
      <c r="T830" s="58">
        <v>17385679</v>
      </c>
    </row>
    <row r="831" spans="1:20">
      <c r="A831" s="54">
        <v>99202</v>
      </c>
      <c r="B831" s="55" t="s">
        <v>2206</v>
      </c>
      <c r="C831" s="106">
        <v>2.5855000000000001E-3</v>
      </c>
      <c r="D831" s="106">
        <v>2.5138000000000001E-3</v>
      </c>
      <c r="E831" s="56">
        <v>3949928</v>
      </c>
      <c r="F831" s="56"/>
      <c r="G831" s="57">
        <v>227552</v>
      </c>
      <c r="H831" s="107">
        <v>959048</v>
      </c>
      <c r="I831" s="57">
        <v>564104</v>
      </c>
      <c r="J831" s="56">
        <v>0</v>
      </c>
      <c r="K831" s="107">
        <f t="shared" si="24"/>
        <v>1750704</v>
      </c>
      <c r="L831" s="56"/>
      <c r="M831" s="57">
        <v>111810</v>
      </c>
      <c r="N831" s="57">
        <v>0</v>
      </c>
      <c r="O831" s="56">
        <v>184130</v>
      </c>
      <c r="P831" s="107">
        <f t="shared" si="25"/>
        <v>295940</v>
      </c>
      <c r="Q831" s="56"/>
      <c r="R831" s="57">
        <v>1331129</v>
      </c>
      <c r="S831" s="58">
        <v>-73084</v>
      </c>
      <c r="T831" s="58">
        <v>1258045</v>
      </c>
    </row>
    <row r="832" spans="1:20">
      <c r="A832" s="54">
        <v>99203</v>
      </c>
      <c r="B832" s="55" t="s">
        <v>2207</v>
      </c>
      <c r="C832" s="106">
        <v>3.0410000000000002E-4</v>
      </c>
      <c r="D832" s="106">
        <v>3.1990000000000002E-4</v>
      </c>
      <c r="E832" s="56">
        <v>464581</v>
      </c>
      <c r="F832" s="56"/>
      <c r="G832" s="57">
        <v>26764</v>
      </c>
      <c r="H832" s="107">
        <v>112801</v>
      </c>
      <c r="I832" s="57">
        <v>66349</v>
      </c>
      <c r="J832" s="56">
        <v>24433</v>
      </c>
      <c r="K832" s="107">
        <f t="shared" si="24"/>
        <v>230347</v>
      </c>
      <c r="L832" s="56"/>
      <c r="M832" s="57">
        <v>13151</v>
      </c>
      <c r="N832" s="57">
        <v>0</v>
      </c>
      <c r="O832" s="56">
        <v>20730</v>
      </c>
      <c r="P832" s="107">
        <f t="shared" si="25"/>
        <v>33881</v>
      </c>
      <c r="Q832" s="56"/>
      <c r="R832" s="57">
        <v>156564</v>
      </c>
      <c r="S832" s="58">
        <v>11213</v>
      </c>
      <c r="T832" s="58">
        <v>167777</v>
      </c>
    </row>
    <row r="833" spans="1:20">
      <c r="A833" s="54">
        <v>99204</v>
      </c>
      <c r="B833" s="55" t="s">
        <v>2208</v>
      </c>
      <c r="C833" s="106">
        <v>8.3549999999999998E-4</v>
      </c>
      <c r="D833" s="106">
        <v>7.4910000000000005E-4</v>
      </c>
      <c r="E833" s="56">
        <v>1276413</v>
      </c>
      <c r="F833" s="56"/>
      <c r="G833" s="57">
        <v>73533</v>
      </c>
      <c r="H833" s="107">
        <v>309914</v>
      </c>
      <c r="I833" s="57">
        <v>182289</v>
      </c>
      <c r="J833" s="56">
        <v>108607</v>
      </c>
      <c r="K833" s="107">
        <f t="shared" si="24"/>
        <v>674343</v>
      </c>
      <c r="L833" s="56"/>
      <c r="M833" s="57">
        <v>36131</v>
      </c>
      <c r="N833" s="57">
        <v>0</v>
      </c>
      <c r="O833" s="56">
        <v>0</v>
      </c>
      <c r="P833" s="107">
        <f t="shared" si="25"/>
        <v>36131</v>
      </c>
      <c r="Q833" s="56"/>
      <c r="R833" s="57">
        <v>430152</v>
      </c>
      <c r="S833" s="58">
        <v>37657</v>
      </c>
      <c r="T833" s="58">
        <v>467809</v>
      </c>
    </row>
    <row r="834" spans="1:20">
      <c r="A834" s="54">
        <v>99206</v>
      </c>
      <c r="B834" s="55" t="s">
        <v>2209</v>
      </c>
      <c r="C834" s="106">
        <v>1.6957999999999999E-3</v>
      </c>
      <c r="D834" s="106">
        <v>1.6665E-3</v>
      </c>
      <c r="E834" s="56">
        <v>2590713</v>
      </c>
      <c r="F834" s="56"/>
      <c r="G834" s="57">
        <v>149249</v>
      </c>
      <c r="H834" s="107">
        <v>629028</v>
      </c>
      <c r="I834" s="57">
        <v>369990</v>
      </c>
      <c r="J834" s="56">
        <v>641271</v>
      </c>
      <c r="K834" s="107">
        <f t="shared" si="24"/>
        <v>1789538</v>
      </c>
      <c r="L834" s="56"/>
      <c r="M834" s="57">
        <v>73335</v>
      </c>
      <c r="N834" s="57">
        <v>0</v>
      </c>
      <c r="O834" s="56">
        <v>6741</v>
      </c>
      <c r="P834" s="107">
        <f t="shared" si="25"/>
        <v>80076</v>
      </c>
      <c r="Q834" s="56"/>
      <c r="R834" s="57">
        <v>873072</v>
      </c>
      <c r="S834" s="58">
        <v>209066</v>
      </c>
      <c r="T834" s="58">
        <f>1082139-1</f>
        <v>1082138</v>
      </c>
    </row>
    <row r="835" spans="1:20">
      <c r="A835" s="54">
        <v>99207</v>
      </c>
      <c r="B835" s="55" t="s">
        <v>2210</v>
      </c>
      <c r="C835" s="106">
        <v>1.3329999999999999E-4</v>
      </c>
      <c r="D835" s="106">
        <v>1.3430000000000001E-4</v>
      </c>
      <c r="E835" s="56">
        <v>203645</v>
      </c>
      <c r="F835" s="56"/>
      <c r="G835" s="57">
        <v>11732</v>
      </c>
      <c r="H835" s="107">
        <v>49445</v>
      </c>
      <c r="I835" s="57">
        <v>29083</v>
      </c>
      <c r="J835" s="56">
        <v>145724</v>
      </c>
      <c r="K835" s="107">
        <f t="shared" si="24"/>
        <v>235984</v>
      </c>
      <c r="L835" s="56"/>
      <c r="M835" s="57">
        <v>5765</v>
      </c>
      <c r="N835" s="57">
        <v>0</v>
      </c>
      <c r="O835" s="56">
        <v>0</v>
      </c>
      <c r="P835" s="107">
        <f t="shared" si="25"/>
        <v>5765</v>
      </c>
      <c r="Q835" s="56"/>
      <c r="R835" s="57">
        <v>68629</v>
      </c>
      <c r="S835" s="58">
        <v>46901</v>
      </c>
      <c r="T835" s="58">
        <v>115530</v>
      </c>
    </row>
    <row r="836" spans="1:20">
      <c r="A836" s="54">
        <v>99208</v>
      </c>
      <c r="B836" s="55" t="s">
        <v>2211</v>
      </c>
      <c r="C836" s="106">
        <v>1.4569999999999999E-4</v>
      </c>
      <c r="D836" s="106">
        <v>1.3669999999999999E-4</v>
      </c>
      <c r="E836" s="56">
        <v>222589</v>
      </c>
      <c r="F836" s="56"/>
      <c r="G836" s="57">
        <v>12823</v>
      </c>
      <c r="H836" s="107">
        <v>54045</v>
      </c>
      <c r="I836" s="57">
        <v>31789</v>
      </c>
      <c r="J836" s="56">
        <v>0</v>
      </c>
      <c r="K836" s="107">
        <f t="shared" si="24"/>
        <v>98657</v>
      </c>
      <c r="L836" s="56"/>
      <c r="M836" s="57">
        <v>6301</v>
      </c>
      <c r="N836" s="57">
        <v>0</v>
      </c>
      <c r="O836" s="56">
        <v>38521</v>
      </c>
      <c r="P836" s="107">
        <f t="shared" si="25"/>
        <v>44822</v>
      </c>
      <c r="Q836" s="56"/>
      <c r="R836" s="57">
        <v>75013</v>
      </c>
      <c r="S836" s="58">
        <v>-20543</v>
      </c>
      <c r="T836" s="58">
        <v>54470</v>
      </c>
    </row>
    <row r="837" spans="1:20">
      <c r="A837" s="54">
        <v>99210</v>
      </c>
      <c r="B837" s="55" t="s">
        <v>2212</v>
      </c>
      <c r="C837" s="106">
        <v>1.5943999999999999E-3</v>
      </c>
      <c r="D837" s="106">
        <v>1.5945E-3</v>
      </c>
      <c r="E837" s="56">
        <v>2435802</v>
      </c>
      <c r="F837" s="56"/>
      <c r="G837" s="57">
        <v>140325</v>
      </c>
      <c r="H837" s="107">
        <v>591415</v>
      </c>
      <c r="I837" s="57">
        <v>347866</v>
      </c>
      <c r="J837" s="56">
        <v>99237</v>
      </c>
      <c r="K837" s="107">
        <f t="shared" si="24"/>
        <v>1178843</v>
      </c>
      <c r="L837" s="56"/>
      <c r="M837" s="57">
        <v>68950</v>
      </c>
      <c r="N837" s="57">
        <v>0</v>
      </c>
      <c r="O837" s="56">
        <v>0</v>
      </c>
      <c r="P837" s="107">
        <f t="shared" si="25"/>
        <v>68950</v>
      </c>
      <c r="Q837" s="56"/>
      <c r="R837" s="57">
        <v>820867</v>
      </c>
      <c r="S837" s="58">
        <v>39106</v>
      </c>
      <c r="T837" s="58">
        <f>859974-1</f>
        <v>859973</v>
      </c>
    </row>
    <row r="838" spans="1:20">
      <c r="A838" s="54">
        <v>99211</v>
      </c>
      <c r="B838" s="55" t="s">
        <v>2213</v>
      </c>
      <c r="C838" s="106">
        <v>3.7100599999999997E-2</v>
      </c>
      <c r="D838" s="106">
        <v>3.8233999999999997E-2</v>
      </c>
      <c r="E838" s="56">
        <v>56679440</v>
      </c>
      <c r="F838" s="56"/>
      <c r="G838" s="57">
        <v>3265261</v>
      </c>
      <c r="H838" s="107">
        <v>13761837</v>
      </c>
      <c r="I838" s="57">
        <v>8094609</v>
      </c>
      <c r="J838" s="56">
        <v>0</v>
      </c>
      <c r="K838" s="107">
        <f t="shared" si="24"/>
        <v>25121707</v>
      </c>
      <c r="L838" s="56"/>
      <c r="M838" s="57">
        <v>1604415</v>
      </c>
      <c r="N838" s="57">
        <v>0</v>
      </c>
      <c r="O838" s="56">
        <v>1838947</v>
      </c>
      <c r="P838" s="107">
        <f t="shared" si="25"/>
        <v>3443362</v>
      </c>
      <c r="Q838" s="56"/>
      <c r="R838" s="57">
        <v>19101021</v>
      </c>
      <c r="S838" s="58">
        <v>-724653</v>
      </c>
      <c r="T838" s="58">
        <f>18376369-1</f>
        <v>18376368</v>
      </c>
    </row>
    <row r="839" spans="1:20">
      <c r="A839" s="54">
        <v>99212</v>
      </c>
      <c r="B839" s="55" t="s">
        <v>2214</v>
      </c>
      <c r="C839" s="106">
        <v>8.14E-5</v>
      </c>
      <c r="D839" s="106">
        <v>7.4400000000000006E-5</v>
      </c>
      <c r="E839" s="56">
        <v>124357</v>
      </c>
      <c r="F839" s="56"/>
      <c r="G839" s="57">
        <v>7164</v>
      </c>
      <c r="H839" s="107">
        <v>30194</v>
      </c>
      <c r="I839" s="57">
        <v>17760</v>
      </c>
      <c r="J839" s="56">
        <v>242</v>
      </c>
      <c r="K839" s="107">
        <f t="shared" ref="K839:K902" si="26">G839+H839+I839+J839</f>
        <v>55360</v>
      </c>
      <c r="L839" s="56"/>
      <c r="M839" s="57">
        <v>3520</v>
      </c>
      <c r="N839" s="57">
        <v>0</v>
      </c>
      <c r="O839" s="56">
        <v>34044</v>
      </c>
      <c r="P839" s="107">
        <f t="shared" ref="P839:P902" si="27">M839+N839+O839</f>
        <v>37564</v>
      </c>
      <c r="Q839" s="56"/>
      <c r="R839" s="57">
        <v>41908</v>
      </c>
      <c r="S839" s="58">
        <v>-15261</v>
      </c>
      <c r="T839" s="58">
        <v>26647</v>
      </c>
    </row>
    <row r="840" spans="1:20">
      <c r="A840" s="54">
        <v>99213</v>
      </c>
      <c r="B840" s="55" t="s">
        <v>2215</v>
      </c>
      <c r="C840" s="106">
        <v>7.5159999999999995E-4</v>
      </c>
      <c r="D840" s="106">
        <v>8.0730000000000005E-4</v>
      </c>
      <c r="E840" s="56">
        <v>1148237</v>
      </c>
      <c r="F840" s="56"/>
      <c r="G840" s="57">
        <v>66149</v>
      </c>
      <c r="H840" s="107">
        <v>278793</v>
      </c>
      <c r="I840" s="57">
        <v>163984</v>
      </c>
      <c r="J840" s="56">
        <v>6057</v>
      </c>
      <c r="K840" s="107">
        <f t="shared" si="26"/>
        <v>514983</v>
      </c>
      <c r="L840" s="56"/>
      <c r="M840" s="57">
        <v>32503</v>
      </c>
      <c r="N840" s="57">
        <v>0</v>
      </c>
      <c r="O840" s="56">
        <v>45468</v>
      </c>
      <c r="P840" s="107">
        <f t="shared" si="27"/>
        <v>77971</v>
      </c>
      <c r="Q840" s="56"/>
      <c r="R840" s="57">
        <v>386957</v>
      </c>
      <c r="S840" s="58">
        <v>-10310</v>
      </c>
      <c r="T840" s="58">
        <f>376646+1</f>
        <v>376647</v>
      </c>
    </row>
    <row r="841" spans="1:20">
      <c r="A841" s="54">
        <v>99218</v>
      </c>
      <c r="B841" s="55" t="s">
        <v>2216</v>
      </c>
      <c r="C841" s="106">
        <v>3.1162E-3</v>
      </c>
      <c r="D841" s="106">
        <v>3.1227999999999998E-3</v>
      </c>
      <c r="E841" s="56">
        <v>4760690</v>
      </c>
      <c r="F841" s="56"/>
      <c r="G841" s="57">
        <v>274260</v>
      </c>
      <c r="H841" s="107">
        <v>1155902</v>
      </c>
      <c r="I841" s="57">
        <v>679893</v>
      </c>
      <c r="J841" s="56">
        <v>179789</v>
      </c>
      <c r="K841" s="107">
        <f t="shared" si="26"/>
        <v>2289844</v>
      </c>
      <c r="L841" s="56"/>
      <c r="M841" s="57">
        <v>134760</v>
      </c>
      <c r="N841" s="57">
        <v>0</v>
      </c>
      <c r="O841" s="56">
        <v>0</v>
      </c>
      <c r="P841" s="107">
        <f t="shared" si="27"/>
        <v>134760</v>
      </c>
      <c r="Q841" s="56"/>
      <c r="R841" s="57">
        <v>1604357</v>
      </c>
      <c r="S841" s="58">
        <v>66860</v>
      </c>
      <c r="T841" s="58">
        <v>1671217</v>
      </c>
    </row>
    <row r="842" spans="1:20">
      <c r="A842" s="54">
        <v>99221</v>
      </c>
      <c r="B842" s="55" t="s">
        <v>2217</v>
      </c>
      <c r="C842" s="106">
        <v>1.27709E-2</v>
      </c>
      <c r="D842" s="106">
        <v>1.3092700000000001E-2</v>
      </c>
      <c r="E842" s="56">
        <v>19510398</v>
      </c>
      <c r="F842" s="56"/>
      <c r="G842" s="57">
        <v>1123980</v>
      </c>
      <c r="H842" s="107">
        <v>4737148</v>
      </c>
      <c r="I842" s="57">
        <v>2786355</v>
      </c>
      <c r="J842" s="56">
        <v>0</v>
      </c>
      <c r="K842" s="107">
        <f t="shared" si="26"/>
        <v>8647483</v>
      </c>
      <c r="L842" s="56"/>
      <c r="M842" s="57">
        <v>552278</v>
      </c>
      <c r="N842" s="57">
        <v>0</v>
      </c>
      <c r="O842" s="56">
        <v>687802</v>
      </c>
      <c r="P842" s="107">
        <f t="shared" si="27"/>
        <v>1240080</v>
      </c>
      <c r="Q842" s="56"/>
      <c r="R842" s="57">
        <v>6575021</v>
      </c>
      <c r="S842" s="58">
        <v>-271922</v>
      </c>
      <c r="T842" s="58">
        <v>6303099</v>
      </c>
    </row>
    <row r="843" spans="1:20">
      <c r="A843" s="54">
        <v>99222</v>
      </c>
      <c r="B843" s="55" t="s">
        <v>2218</v>
      </c>
      <c r="C843" s="106">
        <v>3.9100000000000002E-5</v>
      </c>
      <c r="D843" s="106">
        <v>4.0099999999999999E-5</v>
      </c>
      <c r="E843" s="56">
        <v>59734</v>
      </c>
      <c r="F843" s="56"/>
      <c r="G843" s="57">
        <v>3441</v>
      </c>
      <c r="H843" s="107">
        <v>14504</v>
      </c>
      <c r="I843" s="57">
        <v>8531</v>
      </c>
      <c r="J843" s="56">
        <v>2307</v>
      </c>
      <c r="K843" s="107">
        <f t="shared" si="26"/>
        <v>28783</v>
      </c>
      <c r="L843" s="56"/>
      <c r="M843" s="57">
        <v>1691</v>
      </c>
      <c r="N843" s="57">
        <v>0</v>
      </c>
      <c r="O843" s="56">
        <v>3585</v>
      </c>
      <c r="P843" s="107">
        <f t="shared" si="27"/>
        <v>5276</v>
      </c>
      <c r="Q843" s="56"/>
      <c r="R843" s="57">
        <v>20130</v>
      </c>
      <c r="S843" s="58">
        <v>281</v>
      </c>
      <c r="T843" s="58">
        <v>20411</v>
      </c>
    </row>
    <row r="844" spans="1:20">
      <c r="A844" s="54">
        <v>99231</v>
      </c>
      <c r="B844" s="55" t="s">
        <v>2219</v>
      </c>
      <c r="C844" s="106">
        <v>3.7179999999999998E-4</v>
      </c>
      <c r="D844" s="106">
        <v>3.7869999999999999E-4</v>
      </c>
      <c r="E844" s="56">
        <v>568007</v>
      </c>
      <c r="F844" s="56"/>
      <c r="G844" s="57">
        <v>32722</v>
      </c>
      <c r="H844" s="107">
        <v>137913</v>
      </c>
      <c r="I844" s="57">
        <v>81119</v>
      </c>
      <c r="J844" s="56">
        <v>0</v>
      </c>
      <c r="K844" s="107">
        <f t="shared" si="26"/>
        <v>251754</v>
      </c>
      <c r="L844" s="56"/>
      <c r="M844" s="57">
        <v>16078</v>
      </c>
      <c r="N844" s="57">
        <v>0</v>
      </c>
      <c r="O844" s="56">
        <v>31773</v>
      </c>
      <c r="P844" s="107">
        <f t="shared" si="27"/>
        <v>47851</v>
      </c>
      <c r="Q844" s="56"/>
      <c r="R844" s="57">
        <v>191419</v>
      </c>
      <c r="S844" s="58">
        <v>-14995</v>
      </c>
      <c r="T844" s="58">
        <v>176424</v>
      </c>
    </row>
    <row r="845" spans="1:20">
      <c r="A845" s="54">
        <v>99241</v>
      </c>
      <c r="B845" s="55" t="s">
        <v>2220</v>
      </c>
      <c r="C845" s="106">
        <v>5.5329999999999995E-4</v>
      </c>
      <c r="D845" s="106">
        <v>5.6039999999999996E-4</v>
      </c>
      <c r="E845" s="56">
        <v>845289</v>
      </c>
      <c r="F845" s="56"/>
      <c r="G845" s="57">
        <v>48696</v>
      </c>
      <c r="H845" s="107">
        <v>205238</v>
      </c>
      <c r="I845" s="57">
        <v>120719</v>
      </c>
      <c r="J845" s="56">
        <v>0</v>
      </c>
      <c r="K845" s="107">
        <f t="shared" si="26"/>
        <v>374653</v>
      </c>
      <c r="L845" s="56"/>
      <c r="M845" s="57">
        <v>23927</v>
      </c>
      <c r="N845" s="57">
        <v>0</v>
      </c>
      <c r="O845" s="56">
        <v>103885</v>
      </c>
      <c r="P845" s="107">
        <f t="shared" si="27"/>
        <v>127812</v>
      </c>
      <c r="Q845" s="56"/>
      <c r="R845" s="57">
        <v>284863</v>
      </c>
      <c r="S845" s="58">
        <v>-52289</v>
      </c>
      <c r="T845" s="58">
        <f>232575-1</f>
        <v>232574</v>
      </c>
    </row>
    <row r="846" spans="1:20">
      <c r="A846" s="54">
        <v>99251</v>
      </c>
      <c r="B846" s="55" t="s">
        <v>2221</v>
      </c>
      <c r="C846" s="106">
        <v>1.6069000000000001E-3</v>
      </c>
      <c r="D846" s="106">
        <v>1.6521000000000001E-3</v>
      </c>
      <c r="E846" s="56">
        <v>2454898</v>
      </c>
      <c r="F846" s="56"/>
      <c r="G846" s="57">
        <v>141425</v>
      </c>
      <c r="H846" s="107">
        <v>596053</v>
      </c>
      <c r="I846" s="57">
        <v>350593</v>
      </c>
      <c r="J846" s="56">
        <v>2758</v>
      </c>
      <c r="K846" s="107">
        <f t="shared" si="26"/>
        <v>1090829</v>
      </c>
      <c r="L846" s="56"/>
      <c r="M846" s="57">
        <v>69490</v>
      </c>
      <c r="N846" s="57">
        <v>0</v>
      </c>
      <c r="O846" s="56">
        <v>31200</v>
      </c>
      <c r="P846" s="107">
        <f t="shared" si="27"/>
        <v>100690</v>
      </c>
      <c r="Q846" s="56"/>
      <c r="R846" s="57">
        <v>827303</v>
      </c>
      <c r="S846" s="58">
        <v>-11932</v>
      </c>
      <c r="T846" s="58">
        <v>815371</v>
      </c>
    </row>
    <row r="847" spans="1:20">
      <c r="A847" s="54">
        <v>99252</v>
      </c>
      <c r="B847" s="55" t="s">
        <v>2222</v>
      </c>
      <c r="C847" s="106">
        <v>6.1269999999999999E-4</v>
      </c>
      <c r="D847" s="106">
        <v>5.8279999999999996E-4</v>
      </c>
      <c r="E847" s="56">
        <v>936036</v>
      </c>
      <c r="F847" s="56"/>
      <c r="G847" s="57">
        <v>53924</v>
      </c>
      <c r="H847" s="107">
        <v>227271</v>
      </c>
      <c r="I847" s="57">
        <v>133679</v>
      </c>
      <c r="J847" s="56">
        <v>0</v>
      </c>
      <c r="K847" s="107">
        <f t="shared" si="26"/>
        <v>414874</v>
      </c>
      <c r="L847" s="56"/>
      <c r="M847" s="57">
        <v>26496</v>
      </c>
      <c r="N847" s="57">
        <v>0</v>
      </c>
      <c r="O847" s="56">
        <v>202059</v>
      </c>
      <c r="P847" s="107">
        <f t="shared" si="27"/>
        <v>228555</v>
      </c>
      <c r="Q847" s="56"/>
      <c r="R847" s="57">
        <v>315445</v>
      </c>
      <c r="S847" s="58">
        <v>-85968</v>
      </c>
      <c r="T847" s="58">
        <v>229477</v>
      </c>
    </row>
    <row r="848" spans="1:20">
      <c r="A848" s="54">
        <v>99261</v>
      </c>
      <c r="B848" s="55" t="s">
        <v>2223</v>
      </c>
      <c r="C848" s="106">
        <v>1.9938E-3</v>
      </c>
      <c r="D848" s="106">
        <v>1.9145E-3</v>
      </c>
      <c r="E848" s="56">
        <v>3045974</v>
      </c>
      <c r="F848" s="56"/>
      <c r="G848" s="57">
        <v>175476</v>
      </c>
      <c r="H848" s="107">
        <v>739566</v>
      </c>
      <c r="I848" s="57">
        <v>435007</v>
      </c>
      <c r="J848" s="56">
        <v>0</v>
      </c>
      <c r="K848" s="107">
        <f t="shared" si="26"/>
        <v>1350049</v>
      </c>
      <c r="L848" s="56"/>
      <c r="M848" s="57">
        <v>86222</v>
      </c>
      <c r="N848" s="57">
        <v>0</v>
      </c>
      <c r="O848" s="56">
        <v>148472</v>
      </c>
      <c r="P848" s="107">
        <f t="shared" si="27"/>
        <v>234694</v>
      </c>
      <c r="Q848" s="56"/>
      <c r="R848" s="57">
        <v>1026496</v>
      </c>
      <c r="S848" s="58">
        <v>-69364</v>
      </c>
      <c r="T848" s="58">
        <v>957132</v>
      </c>
    </row>
    <row r="849" spans="1:20">
      <c r="A849" s="54">
        <v>99271</v>
      </c>
      <c r="B849" s="55" t="s">
        <v>2224</v>
      </c>
      <c r="C849" s="106">
        <v>4.0137000000000003E-3</v>
      </c>
      <c r="D849" s="106">
        <v>3.9248E-3</v>
      </c>
      <c r="E849" s="56">
        <v>6131822</v>
      </c>
      <c r="F849" s="56"/>
      <c r="G849" s="57">
        <v>353250</v>
      </c>
      <c r="H849" s="107">
        <v>1488814</v>
      </c>
      <c r="I849" s="57">
        <v>875709</v>
      </c>
      <c r="J849" s="56">
        <v>0</v>
      </c>
      <c r="K849" s="107">
        <f t="shared" si="26"/>
        <v>2717773</v>
      </c>
      <c r="L849" s="56"/>
      <c r="M849" s="57">
        <v>173572</v>
      </c>
      <c r="N849" s="57">
        <v>0</v>
      </c>
      <c r="O849" s="56">
        <v>122792</v>
      </c>
      <c r="P849" s="107">
        <f t="shared" si="27"/>
        <v>296364</v>
      </c>
      <c r="Q849" s="56"/>
      <c r="R849" s="57">
        <v>2066429</v>
      </c>
      <c r="S849" s="58">
        <v>-45302</v>
      </c>
      <c r="T849" s="58">
        <v>2021127</v>
      </c>
    </row>
    <row r="850" spans="1:20">
      <c r="A850" s="54">
        <v>99281</v>
      </c>
      <c r="B850" s="55" t="s">
        <v>2225</v>
      </c>
      <c r="C850" s="106">
        <v>2.2918999999999999E-3</v>
      </c>
      <c r="D850" s="106">
        <v>2.2824E-3</v>
      </c>
      <c r="E850" s="56">
        <v>3501388</v>
      </c>
      <c r="F850" s="56"/>
      <c r="G850" s="57">
        <v>201712</v>
      </c>
      <c r="H850" s="107">
        <v>850141</v>
      </c>
      <c r="I850" s="57">
        <v>500047</v>
      </c>
      <c r="J850" s="56">
        <v>6743</v>
      </c>
      <c r="K850" s="107">
        <f t="shared" si="26"/>
        <v>1558643</v>
      </c>
      <c r="L850" s="56"/>
      <c r="M850" s="57">
        <v>99113</v>
      </c>
      <c r="N850" s="57">
        <v>0</v>
      </c>
      <c r="O850" s="56">
        <v>128585</v>
      </c>
      <c r="P850" s="107">
        <f t="shared" si="27"/>
        <v>227698</v>
      </c>
      <c r="Q850" s="56"/>
      <c r="R850" s="57">
        <v>1179971</v>
      </c>
      <c r="S850" s="58">
        <v>-37280</v>
      </c>
      <c r="T850" s="58">
        <v>1142691</v>
      </c>
    </row>
    <row r="851" spans="1:20">
      <c r="A851" s="54">
        <v>99291</v>
      </c>
      <c r="B851" s="55" t="s">
        <v>2226</v>
      </c>
      <c r="C851" s="106">
        <v>7.3499999999999998E-4</v>
      </c>
      <c r="D851" s="106">
        <v>7.7260000000000002E-4</v>
      </c>
      <c r="E851" s="56">
        <v>1122876</v>
      </c>
      <c r="F851" s="56"/>
      <c r="G851" s="57">
        <v>64688</v>
      </c>
      <c r="H851" s="107">
        <v>272636</v>
      </c>
      <c r="I851" s="57">
        <v>160362</v>
      </c>
      <c r="J851" s="56">
        <v>0</v>
      </c>
      <c r="K851" s="107">
        <f t="shared" si="26"/>
        <v>497686</v>
      </c>
      <c r="L851" s="56"/>
      <c r="M851" s="57">
        <v>31785</v>
      </c>
      <c r="N851" s="57">
        <v>0</v>
      </c>
      <c r="O851" s="56">
        <v>137813</v>
      </c>
      <c r="P851" s="107">
        <f t="shared" si="27"/>
        <v>169598</v>
      </c>
      <c r="Q851" s="56"/>
      <c r="R851" s="57">
        <v>378410</v>
      </c>
      <c r="S851" s="58">
        <v>-55575</v>
      </c>
      <c r="T851" s="58">
        <v>322835</v>
      </c>
    </row>
    <row r="852" spans="1:20">
      <c r="A852" s="54">
        <v>99301</v>
      </c>
      <c r="B852" s="55" t="s">
        <v>2227</v>
      </c>
      <c r="C852" s="106">
        <v>1.7879E-3</v>
      </c>
      <c r="D852" s="106">
        <v>1.8458000000000001E-3</v>
      </c>
      <c r="E852" s="56">
        <v>2731416</v>
      </c>
      <c r="F852" s="56"/>
      <c r="G852" s="57">
        <v>157355</v>
      </c>
      <c r="H852" s="107">
        <v>663191</v>
      </c>
      <c r="I852" s="57">
        <v>390084</v>
      </c>
      <c r="J852" s="56">
        <v>67408</v>
      </c>
      <c r="K852" s="107">
        <f t="shared" si="26"/>
        <v>1278038</v>
      </c>
      <c r="L852" s="56"/>
      <c r="M852" s="57">
        <v>77318</v>
      </c>
      <c r="N852" s="57">
        <v>0</v>
      </c>
      <c r="O852" s="56">
        <v>65062</v>
      </c>
      <c r="P852" s="107">
        <f t="shared" si="27"/>
        <v>142380</v>
      </c>
      <c r="Q852" s="56"/>
      <c r="R852" s="57">
        <v>920490</v>
      </c>
      <c r="S852" s="58">
        <v>38686</v>
      </c>
      <c r="T852" s="58">
        <f>959175+1</f>
        <v>959176</v>
      </c>
    </row>
    <row r="853" spans="1:20">
      <c r="A853" s="54">
        <v>99304</v>
      </c>
      <c r="B853" s="55" t="s">
        <v>2228</v>
      </c>
      <c r="C853" s="106">
        <v>9.2E-6</v>
      </c>
      <c r="D853" s="106">
        <v>9.9000000000000001E-6</v>
      </c>
      <c r="E853" s="56">
        <v>14055</v>
      </c>
      <c r="F853" s="56"/>
      <c r="G853" s="57">
        <v>810</v>
      </c>
      <c r="H853" s="107">
        <v>3412</v>
      </c>
      <c r="I853" s="57">
        <v>2007</v>
      </c>
      <c r="J853" s="56">
        <v>4659</v>
      </c>
      <c r="K853" s="107">
        <f t="shared" si="26"/>
        <v>10888</v>
      </c>
      <c r="L853" s="56"/>
      <c r="M853" s="57">
        <v>398</v>
      </c>
      <c r="N853" s="57">
        <v>0</v>
      </c>
      <c r="O853" s="56">
        <v>248</v>
      </c>
      <c r="P853" s="107">
        <f t="shared" si="27"/>
        <v>646</v>
      </c>
      <c r="Q853" s="56"/>
      <c r="R853" s="57">
        <v>4737</v>
      </c>
      <c r="S853" s="58">
        <v>1371</v>
      </c>
      <c r="T853" s="58">
        <f>6107+1</f>
        <v>6108</v>
      </c>
    </row>
    <row r="854" spans="1:20">
      <c r="A854" s="54">
        <v>99311</v>
      </c>
      <c r="B854" s="55" t="s">
        <v>2229</v>
      </c>
      <c r="C854" s="106">
        <v>5.4299999999999998E-5</v>
      </c>
      <c r="D854" s="106">
        <v>5.7599999999999997E-5</v>
      </c>
      <c r="E854" s="56">
        <v>82955</v>
      </c>
      <c r="F854" s="56"/>
      <c r="G854" s="57">
        <v>4779</v>
      </c>
      <c r="H854" s="107">
        <v>20142</v>
      </c>
      <c r="I854" s="57">
        <v>11847</v>
      </c>
      <c r="J854" s="56">
        <v>0</v>
      </c>
      <c r="K854" s="107">
        <f t="shared" si="26"/>
        <v>36768</v>
      </c>
      <c r="L854" s="56"/>
      <c r="M854" s="57">
        <v>2348</v>
      </c>
      <c r="N854" s="57">
        <v>0</v>
      </c>
      <c r="O854" s="56">
        <v>6758</v>
      </c>
      <c r="P854" s="107">
        <f t="shared" si="27"/>
        <v>9106</v>
      </c>
      <c r="Q854" s="56"/>
      <c r="R854" s="57">
        <v>27956</v>
      </c>
      <c r="S854" s="58">
        <v>-3216</v>
      </c>
      <c r="T854" s="58">
        <v>24740</v>
      </c>
    </row>
    <row r="855" spans="1:20">
      <c r="A855" s="54">
        <v>99321</v>
      </c>
      <c r="B855" s="55" t="s">
        <v>2230</v>
      </c>
      <c r="C855" s="106">
        <v>1.1E-4</v>
      </c>
      <c r="D855" s="106">
        <v>1.1909999999999999E-4</v>
      </c>
      <c r="E855" s="56">
        <v>168050</v>
      </c>
      <c r="F855" s="56"/>
      <c r="G855" s="57">
        <v>9681</v>
      </c>
      <c r="H855" s="107">
        <v>40803</v>
      </c>
      <c r="I855" s="57">
        <v>24000</v>
      </c>
      <c r="J855" s="56">
        <v>96146</v>
      </c>
      <c r="K855" s="107">
        <f t="shared" si="26"/>
        <v>170630</v>
      </c>
      <c r="L855" s="56"/>
      <c r="M855" s="57">
        <v>4757</v>
      </c>
      <c r="N855" s="57">
        <v>0</v>
      </c>
      <c r="O855" s="56">
        <v>0</v>
      </c>
      <c r="P855" s="107">
        <f t="shared" si="27"/>
        <v>4757</v>
      </c>
      <c r="Q855" s="56"/>
      <c r="R855" s="57">
        <v>56633</v>
      </c>
      <c r="S855" s="58">
        <v>41980</v>
      </c>
      <c r="T855" s="58">
        <v>98613</v>
      </c>
    </row>
    <row r="856" spans="1:20">
      <c r="A856" s="54">
        <v>99401</v>
      </c>
      <c r="B856" s="55" t="s">
        <v>2231</v>
      </c>
      <c r="C856" s="106">
        <v>9.2389999999999996E-4</v>
      </c>
      <c r="D856" s="106">
        <v>9.3869999999999999E-4</v>
      </c>
      <c r="E856" s="56">
        <v>1411463</v>
      </c>
      <c r="F856" s="56"/>
      <c r="G856" s="57">
        <v>81313</v>
      </c>
      <c r="H856" s="107">
        <v>342705</v>
      </c>
      <c r="I856" s="57">
        <v>201577</v>
      </c>
      <c r="J856" s="56">
        <v>34240</v>
      </c>
      <c r="K856" s="107">
        <f t="shared" si="26"/>
        <v>659835</v>
      </c>
      <c r="L856" s="56"/>
      <c r="M856" s="57">
        <v>39954</v>
      </c>
      <c r="N856" s="57">
        <v>0</v>
      </c>
      <c r="O856" s="56">
        <v>17589</v>
      </c>
      <c r="P856" s="107">
        <f t="shared" si="27"/>
        <v>57543</v>
      </c>
      <c r="Q856" s="56"/>
      <c r="R856" s="57">
        <v>475664</v>
      </c>
      <c r="S856" s="58">
        <v>22297</v>
      </c>
      <c r="T856" s="58">
        <v>497961</v>
      </c>
    </row>
    <row r="857" spans="1:20">
      <c r="A857" s="54">
        <v>99404</v>
      </c>
      <c r="B857" s="55" t="s">
        <v>2232</v>
      </c>
      <c r="C857" s="106">
        <v>9.3999999999999998E-6</v>
      </c>
      <c r="D857" s="106">
        <v>9.5999999999999996E-6</v>
      </c>
      <c r="E857" s="56">
        <v>14361</v>
      </c>
      <c r="F857" s="56"/>
      <c r="G857" s="57">
        <v>827</v>
      </c>
      <c r="H857" s="107">
        <v>3487</v>
      </c>
      <c r="I857" s="57">
        <v>2051</v>
      </c>
      <c r="J857" s="56">
        <v>1334</v>
      </c>
      <c r="K857" s="107">
        <f t="shared" si="26"/>
        <v>7699</v>
      </c>
      <c r="L857" s="56"/>
      <c r="M857" s="57">
        <v>407</v>
      </c>
      <c r="N857" s="57">
        <v>0</v>
      </c>
      <c r="O857" s="56">
        <v>0</v>
      </c>
      <c r="P857" s="107">
        <f t="shared" si="27"/>
        <v>407</v>
      </c>
      <c r="Q857" s="56"/>
      <c r="R857" s="57">
        <v>4840</v>
      </c>
      <c r="S857" s="58">
        <v>466</v>
      </c>
      <c r="T857" s="58">
        <v>5306</v>
      </c>
    </row>
    <row r="858" spans="1:20">
      <c r="A858" s="54">
        <v>99405</v>
      </c>
      <c r="B858" s="55" t="s">
        <v>2233</v>
      </c>
      <c r="C858" s="106">
        <v>6.2700000000000006E-5</v>
      </c>
      <c r="D858" s="106">
        <v>5.8100000000000003E-5</v>
      </c>
      <c r="E858" s="56">
        <v>95788</v>
      </c>
      <c r="F858" s="56"/>
      <c r="G858" s="57">
        <v>5518</v>
      </c>
      <c r="H858" s="107">
        <v>23258</v>
      </c>
      <c r="I858" s="57">
        <v>13680</v>
      </c>
      <c r="J858" s="56">
        <v>18380</v>
      </c>
      <c r="K858" s="107">
        <f t="shared" si="26"/>
        <v>60836</v>
      </c>
      <c r="L858" s="56"/>
      <c r="M858" s="57">
        <v>2711</v>
      </c>
      <c r="N858" s="57">
        <v>0</v>
      </c>
      <c r="O858" s="56">
        <v>336</v>
      </c>
      <c r="P858" s="107">
        <f t="shared" si="27"/>
        <v>3047</v>
      </c>
      <c r="Q858" s="56"/>
      <c r="R858" s="57">
        <v>32281</v>
      </c>
      <c r="S858" s="58">
        <v>6084</v>
      </c>
      <c r="T858" s="58">
        <f>38364+1</f>
        <v>38365</v>
      </c>
    </row>
    <row r="859" spans="1:20">
      <c r="A859" s="54">
        <v>99411</v>
      </c>
      <c r="B859" s="55" t="s">
        <v>2234</v>
      </c>
      <c r="C859" s="106">
        <v>1.583E-4</v>
      </c>
      <c r="D859" s="106">
        <v>1.2510000000000001E-4</v>
      </c>
      <c r="E859" s="56">
        <v>241839</v>
      </c>
      <c r="F859" s="56"/>
      <c r="G859" s="57">
        <v>13932</v>
      </c>
      <c r="H859" s="107">
        <v>58719</v>
      </c>
      <c r="I859" s="57">
        <v>34538</v>
      </c>
      <c r="J859" s="56">
        <v>41924</v>
      </c>
      <c r="K859" s="107">
        <f t="shared" si="26"/>
        <v>149113</v>
      </c>
      <c r="L859" s="56"/>
      <c r="M859" s="57">
        <v>6846</v>
      </c>
      <c r="N859" s="57">
        <v>0</v>
      </c>
      <c r="O859" s="56">
        <v>4400</v>
      </c>
      <c r="P859" s="107">
        <f t="shared" si="27"/>
        <v>11246</v>
      </c>
      <c r="Q859" s="56"/>
      <c r="R859" s="57">
        <v>81500</v>
      </c>
      <c r="S859" s="58">
        <v>8626</v>
      </c>
      <c r="T859" s="58">
        <v>90126</v>
      </c>
    </row>
    <row r="860" spans="1:20">
      <c r="A860" s="54">
        <v>99413</v>
      </c>
      <c r="B860" s="55" t="s">
        <v>2235</v>
      </c>
      <c r="C860" s="106">
        <v>3.1099999999999997E-5</v>
      </c>
      <c r="D860" s="106">
        <v>2.76E-5</v>
      </c>
      <c r="E860" s="56">
        <v>47512</v>
      </c>
      <c r="F860" s="56"/>
      <c r="G860" s="57">
        <v>2737</v>
      </c>
      <c r="H860" s="107">
        <v>11536</v>
      </c>
      <c r="I860" s="57">
        <v>6785</v>
      </c>
      <c r="J860" s="56">
        <v>5754</v>
      </c>
      <c r="K860" s="107">
        <f t="shared" si="26"/>
        <v>26812</v>
      </c>
      <c r="L860" s="56"/>
      <c r="M860" s="57">
        <v>1345</v>
      </c>
      <c r="N860" s="57">
        <v>0</v>
      </c>
      <c r="O860" s="56">
        <v>3024</v>
      </c>
      <c r="P860" s="107">
        <f t="shared" si="27"/>
        <v>4369</v>
      </c>
      <c r="Q860" s="56"/>
      <c r="R860" s="57">
        <v>16012</v>
      </c>
      <c r="S860" s="58">
        <v>202</v>
      </c>
      <c r="T860" s="58">
        <v>16214</v>
      </c>
    </row>
    <row r="861" spans="1:20">
      <c r="A861" s="54">
        <v>99421</v>
      </c>
      <c r="B861" s="55" t="s">
        <v>2236</v>
      </c>
      <c r="C861" s="106">
        <v>1.04E-5</v>
      </c>
      <c r="D861" s="106">
        <v>1.5E-5</v>
      </c>
      <c r="E861" s="56">
        <v>15888</v>
      </c>
      <c r="F861" s="56"/>
      <c r="G861" s="57">
        <v>915</v>
      </c>
      <c r="H861" s="107">
        <v>3858</v>
      </c>
      <c r="I861" s="57">
        <v>2269</v>
      </c>
      <c r="J861" s="56">
        <v>764</v>
      </c>
      <c r="K861" s="107">
        <f t="shared" si="26"/>
        <v>7806</v>
      </c>
      <c r="L861" s="56"/>
      <c r="M861" s="57">
        <v>450</v>
      </c>
      <c r="N861" s="57">
        <v>0</v>
      </c>
      <c r="O861" s="56">
        <v>5440</v>
      </c>
      <c r="P861" s="107">
        <f t="shared" si="27"/>
        <v>5890</v>
      </c>
      <c r="Q861" s="56"/>
      <c r="R861" s="57">
        <v>5354</v>
      </c>
      <c r="S861" s="58">
        <v>-1116</v>
      </c>
      <c r="T861" s="58">
        <v>4238</v>
      </c>
    </row>
    <row r="862" spans="1:20">
      <c r="A862" s="54">
        <v>99431</v>
      </c>
      <c r="B862" s="55" t="s">
        <v>2237</v>
      </c>
      <c r="C862" s="106">
        <v>2.2200000000000001E-5</v>
      </c>
      <c r="D862" s="106">
        <v>2.16E-5</v>
      </c>
      <c r="E862" s="56">
        <v>33915</v>
      </c>
      <c r="F862" s="56"/>
      <c r="G862" s="57">
        <v>1954</v>
      </c>
      <c r="H862" s="107">
        <v>8235</v>
      </c>
      <c r="I862" s="57">
        <v>4844</v>
      </c>
      <c r="J862" s="56">
        <v>1071</v>
      </c>
      <c r="K862" s="107">
        <f t="shared" si="26"/>
        <v>16104</v>
      </c>
      <c r="L862" s="56"/>
      <c r="M862" s="57">
        <v>960</v>
      </c>
      <c r="N862" s="57">
        <v>0</v>
      </c>
      <c r="O862" s="56">
        <v>3001</v>
      </c>
      <c r="P862" s="107">
        <f t="shared" si="27"/>
        <v>3961</v>
      </c>
      <c r="Q862" s="56"/>
      <c r="R862" s="57">
        <v>11430</v>
      </c>
      <c r="S862" s="58">
        <v>119</v>
      </c>
      <c r="T862" s="58">
        <v>11549</v>
      </c>
    </row>
    <row r="863" spans="1:20">
      <c r="A863" s="54">
        <v>99501</v>
      </c>
      <c r="B863" s="55" t="s">
        <v>2238</v>
      </c>
      <c r="C863" s="106">
        <v>1.6785000000000001E-3</v>
      </c>
      <c r="D863" s="106">
        <v>1.7390000000000001E-3</v>
      </c>
      <c r="E863" s="56">
        <v>2564283</v>
      </c>
      <c r="F863" s="56"/>
      <c r="G863" s="57">
        <v>147726</v>
      </c>
      <c r="H863" s="107">
        <v>622611</v>
      </c>
      <c r="I863" s="57">
        <v>366215</v>
      </c>
      <c r="J863" s="56">
        <v>3764</v>
      </c>
      <c r="K863" s="107">
        <f t="shared" si="26"/>
        <v>1140316</v>
      </c>
      <c r="L863" s="56"/>
      <c r="M863" s="57">
        <v>72587</v>
      </c>
      <c r="N863" s="57">
        <v>0</v>
      </c>
      <c r="O863" s="56">
        <v>21505</v>
      </c>
      <c r="P863" s="107">
        <f t="shared" si="27"/>
        <v>94092</v>
      </c>
      <c r="Q863" s="56"/>
      <c r="R863" s="57">
        <v>864166</v>
      </c>
      <c r="S863" s="58">
        <v>-3415</v>
      </c>
      <c r="T863" s="58">
        <f>860750+1</f>
        <v>860751</v>
      </c>
    </row>
    <row r="864" spans="1:20">
      <c r="A864" s="54">
        <v>99502</v>
      </c>
      <c r="B864" s="55" t="s">
        <v>2239</v>
      </c>
      <c r="C864" s="106">
        <v>1.373E-4</v>
      </c>
      <c r="D864" s="106">
        <v>1.3779999999999999E-4</v>
      </c>
      <c r="E864" s="56">
        <v>209756</v>
      </c>
      <c r="F864" s="56"/>
      <c r="G864" s="57">
        <v>12084</v>
      </c>
      <c r="H864" s="107">
        <v>50929</v>
      </c>
      <c r="I864" s="57">
        <v>29956</v>
      </c>
      <c r="J864" s="56">
        <v>21393</v>
      </c>
      <c r="K864" s="107">
        <f t="shared" si="26"/>
        <v>114362</v>
      </c>
      <c r="L864" s="56"/>
      <c r="M864" s="57">
        <v>5938</v>
      </c>
      <c r="N864" s="57">
        <v>0</v>
      </c>
      <c r="O864" s="56">
        <v>71</v>
      </c>
      <c r="P864" s="107">
        <f t="shared" si="27"/>
        <v>6009</v>
      </c>
      <c r="Q864" s="56"/>
      <c r="R864" s="57">
        <v>70688</v>
      </c>
      <c r="S864" s="58">
        <v>9456</v>
      </c>
      <c r="T864" s="58">
        <v>80144</v>
      </c>
    </row>
    <row r="865" spans="1:20">
      <c r="A865" s="54">
        <v>99508</v>
      </c>
      <c r="B865" s="55" t="s">
        <v>2240</v>
      </c>
      <c r="C865" s="106">
        <v>2.2099999999999998E-5</v>
      </c>
      <c r="D865" s="106">
        <v>2.1699999999999999E-5</v>
      </c>
      <c r="E865" s="56">
        <v>33763</v>
      </c>
      <c r="F865" s="56"/>
      <c r="G865" s="57">
        <v>1945</v>
      </c>
      <c r="H865" s="107">
        <v>8198</v>
      </c>
      <c r="I865" s="57">
        <v>4822</v>
      </c>
      <c r="J865" s="56">
        <v>37</v>
      </c>
      <c r="K865" s="107">
        <f t="shared" si="26"/>
        <v>15002</v>
      </c>
      <c r="L865" s="56"/>
      <c r="M865" s="57">
        <v>956</v>
      </c>
      <c r="N865" s="57">
        <v>0</v>
      </c>
      <c r="O865" s="56">
        <v>1571</v>
      </c>
      <c r="P865" s="107">
        <f t="shared" si="27"/>
        <v>2527</v>
      </c>
      <c r="Q865" s="56"/>
      <c r="R865" s="57">
        <v>11378</v>
      </c>
      <c r="S865" s="58">
        <v>-984</v>
      </c>
      <c r="T865" s="58">
        <v>10394</v>
      </c>
    </row>
    <row r="866" spans="1:20">
      <c r="A866" s="54">
        <v>99509</v>
      </c>
      <c r="B866" s="55" t="s">
        <v>2241</v>
      </c>
      <c r="C866" s="106">
        <v>2.76E-5</v>
      </c>
      <c r="D866" s="106">
        <v>2.8900000000000001E-5</v>
      </c>
      <c r="E866" s="56">
        <v>42165</v>
      </c>
      <c r="F866" s="56"/>
      <c r="G866" s="57">
        <v>2429</v>
      </c>
      <c r="H866" s="107">
        <v>10238</v>
      </c>
      <c r="I866" s="57">
        <v>6022</v>
      </c>
      <c r="J866" s="56">
        <v>0</v>
      </c>
      <c r="K866" s="107">
        <f t="shared" si="26"/>
        <v>18689</v>
      </c>
      <c r="L866" s="56"/>
      <c r="M866" s="57">
        <v>1194</v>
      </c>
      <c r="N866" s="57">
        <v>0</v>
      </c>
      <c r="O866" s="56">
        <v>6512</v>
      </c>
      <c r="P866" s="107">
        <f t="shared" si="27"/>
        <v>7706</v>
      </c>
      <c r="Q866" s="56"/>
      <c r="R866" s="57">
        <v>14210</v>
      </c>
      <c r="S866" s="58">
        <v>-4301</v>
      </c>
      <c r="T866" s="58">
        <v>9909</v>
      </c>
    </row>
    <row r="867" spans="1:20">
      <c r="A867" s="54">
        <v>99511</v>
      </c>
      <c r="B867" s="55" t="s">
        <v>2242</v>
      </c>
      <c r="C867" s="106">
        <v>1.4048999999999999E-3</v>
      </c>
      <c r="D867" s="106">
        <v>1.3638000000000001E-3</v>
      </c>
      <c r="E867" s="56">
        <v>2146298</v>
      </c>
      <c r="F867" s="56"/>
      <c r="G867" s="57">
        <v>123647</v>
      </c>
      <c r="H867" s="107">
        <v>521124</v>
      </c>
      <c r="I867" s="57">
        <v>306521</v>
      </c>
      <c r="J867" s="56">
        <v>4500</v>
      </c>
      <c r="K867" s="107">
        <f t="shared" si="26"/>
        <v>955792</v>
      </c>
      <c r="L867" s="56"/>
      <c r="M867" s="57">
        <v>60755</v>
      </c>
      <c r="N867" s="57">
        <v>0</v>
      </c>
      <c r="O867" s="56">
        <v>85381</v>
      </c>
      <c r="P867" s="107">
        <f t="shared" si="27"/>
        <v>146136</v>
      </c>
      <c r="Q867" s="56"/>
      <c r="R867" s="57">
        <v>723304</v>
      </c>
      <c r="S867" s="58">
        <v>-30654</v>
      </c>
      <c r="T867" s="58">
        <v>692650</v>
      </c>
    </row>
    <row r="868" spans="1:20">
      <c r="A868" s="54">
        <v>99521</v>
      </c>
      <c r="B868" s="55" t="s">
        <v>2243</v>
      </c>
      <c r="C868" s="106">
        <v>4.2700000000000002E-4</v>
      </c>
      <c r="D868" s="106">
        <v>4.0180000000000001E-4</v>
      </c>
      <c r="E868" s="56">
        <v>652338</v>
      </c>
      <c r="F868" s="56"/>
      <c r="G868" s="57">
        <v>37581</v>
      </c>
      <c r="H868" s="107">
        <v>158389</v>
      </c>
      <c r="I868" s="57">
        <v>93163</v>
      </c>
      <c r="J868" s="56">
        <v>2015</v>
      </c>
      <c r="K868" s="107">
        <f t="shared" si="26"/>
        <v>291148</v>
      </c>
      <c r="L868" s="56"/>
      <c r="M868" s="57">
        <v>18466</v>
      </c>
      <c r="N868" s="57">
        <v>0</v>
      </c>
      <c r="O868" s="56">
        <v>15563</v>
      </c>
      <c r="P868" s="107">
        <f t="shared" si="27"/>
        <v>34029</v>
      </c>
      <c r="Q868" s="56"/>
      <c r="R868" s="57">
        <v>219838</v>
      </c>
      <c r="S868" s="58">
        <v>-5081</v>
      </c>
      <c r="T868" s="58">
        <v>214757</v>
      </c>
    </row>
    <row r="869" spans="1:20">
      <c r="A869" s="54">
        <v>99527</v>
      </c>
      <c r="B869" s="55" t="s">
        <v>2244</v>
      </c>
      <c r="C869" s="106">
        <v>1.19E-5</v>
      </c>
      <c r="D869" s="106">
        <v>1.2099999999999999E-5</v>
      </c>
      <c r="E869" s="56">
        <v>18180</v>
      </c>
      <c r="F869" s="56"/>
      <c r="G869" s="57">
        <v>1047</v>
      </c>
      <c r="H869" s="107">
        <v>4414</v>
      </c>
      <c r="I869" s="57">
        <v>2596</v>
      </c>
      <c r="J869" s="56">
        <v>1124</v>
      </c>
      <c r="K869" s="107">
        <f t="shared" si="26"/>
        <v>9181</v>
      </c>
      <c r="L869" s="56"/>
      <c r="M869" s="57">
        <v>515</v>
      </c>
      <c r="N869" s="57">
        <v>0</v>
      </c>
      <c r="O869" s="56">
        <v>0</v>
      </c>
      <c r="P869" s="107">
        <f t="shared" si="27"/>
        <v>515</v>
      </c>
      <c r="Q869" s="56"/>
      <c r="R869" s="57">
        <v>6127</v>
      </c>
      <c r="S869" s="58">
        <v>591</v>
      </c>
      <c r="T869" s="58">
        <v>6718</v>
      </c>
    </row>
    <row r="870" spans="1:20">
      <c r="A870" s="54">
        <v>99531</v>
      </c>
      <c r="B870" s="55" t="s">
        <v>2245</v>
      </c>
      <c r="C870" s="106">
        <v>9.3499999999999996E-5</v>
      </c>
      <c r="D870" s="106">
        <v>8.7600000000000002E-5</v>
      </c>
      <c r="E870" s="56">
        <v>142842</v>
      </c>
      <c r="F870" s="56"/>
      <c r="G870" s="57">
        <v>8229</v>
      </c>
      <c r="H870" s="107">
        <v>34683</v>
      </c>
      <c r="I870" s="57">
        <v>20400</v>
      </c>
      <c r="J870" s="56">
        <v>55453</v>
      </c>
      <c r="K870" s="107">
        <f t="shared" si="26"/>
        <v>118765</v>
      </c>
      <c r="L870" s="56"/>
      <c r="M870" s="57">
        <v>4043</v>
      </c>
      <c r="N870" s="57">
        <v>0</v>
      </c>
      <c r="O870" s="56">
        <v>0</v>
      </c>
      <c r="P870" s="107">
        <f t="shared" si="27"/>
        <v>4043</v>
      </c>
      <c r="Q870" s="56"/>
      <c r="R870" s="57">
        <v>48138</v>
      </c>
      <c r="S870" s="58">
        <v>18721</v>
      </c>
      <c r="T870" s="58">
        <v>66859</v>
      </c>
    </row>
    <row r="871" spans="1:20">
      <c r="A871" s="54">
        <v>99601</v>
      </c>
      <c r="B871" s="55" t="s">
        <v>2246</v>
      </c>
      <c r="C871" s="106">
        <v>5.7812000000000002E-3</v>
      </c>
      <c r="D871" s="106">
        <v>5.2824999999999999E-3</v>
      </c>
      <c r="E871" s="56">
        <v>8832072</v>
      </c>
      <c r="F871" s="56"/>
      <c r="G871" s="57">
        <v>508809</v>
      </c>
      <c r="H871" s="107">
        <v>2144438</v>
      </c>
      <c r="I871" s="57">
        <v>1261342</v>
      </c>
      <c r="J871" s="56">
        <v>289372</v>
      </c>
      <c r="K871" s="107">
        <f t="shared" si="26"/>
        <v>4203961</v>
      </c>
      <c r="L871" s="56"/>
      <c r="M871" s="57">
        <v>250008</v>
      </c>
      <c r="N871" s="57">
        <v>0</v>
      </c>
      <c r="O871" s="56">
        <v>73071</v>
      </c>
      <c r="P871" s="107">
        <f t="shared" si="27"/>
        <v>323079</v>
      </c>
      <c r="Q871" s="56"/>
      <c r="R871" s="57">
        <v>2976416</v>
      </c>
      <c r="S871" s="58">
        <v>55175</v>
      </c>
      <c r="T871" s="58">
        <f>3031592-1</f>
        <v>3031591</v>
      </c>
    </row>
    <row r="872" spans="1:20">
      <c r="A872" s="54">
        <v>99602</v>
      </c>
      <c r="B872" s="55" t="s">
        <v>2247</v>
      </c>
      <c r="C872" s="106">
        <v>6.19E-5</v>
      </c>
      <c r="D872" s="106">
        <v>5.1700000000000003E-5</v>
      </c>
      <c r="E872" s="56">
        <v>94566</v>
      </c>
      <c r="F872" s="56"/>
      <c r="G872" s="57">
        <v>5448</v>
      </c>
      <c r="H872" s="107">
        <v>22961</v>
      </c>
      <c r="I872" s="57">
        <v>13505</v>
      </c>
      <c r="J872" s="56">
        <v>10306</v>
      </c>
      <c r="K872" s="107">
        <f t="shared" si="26"/>
        <v>52220</v>
      </c>
      <c r="L872" s="56"/>
      <c r="M872" s="57">
        <v>2677</v>
      </c>
      <c r="N872" s="57">
        <v>0</v>
      </c>
      <c r="O872" s="56">
        <v>2067</v>
      </c>
      <c r="P872" s="107">
        <f t="shared" si="27"/>
        <v>4744</v>
      </c>
      <c r="Q872" s="56"/>
      <c r="R872" s="57">
        <v>31869</v>
      </c>
      <c r="S872" s="58">
        <v>1298</v>
      </c>
      <c r="T872" s="58">
        <v>33167</v>
      </c>
    </row>
    <row r="873" spans="1:20">
      <c r="A873" s="54">
        <v>99603</v>
      </c>
      <c r="B873" s="55" t="s">
        <v>2248</v>
      </c>
      <c r="C873" s="106">
        <v>1.615E-4</v>
      </c>
      <c r="D873" s="106">
        <v>1.4219999999999999E-4</v>
      </c>
      <c r="E873" s="56">
        <v>246727</v>
      </c>
      <c r="F873" s="56"/>
      <c r="G873" s="57">
        <v>14214</v>
      </c>
      <c r="H873" s="107">
        <v>59905</v>
      </c>
      <c r="I873" s="57">
        <v>35236</v>
      </c>
      <c r="J873" s="56">
        <v>95435</v>
      </c>
      <c r="K873" s="107">
        <f t="shared" si="26"/>
        <v>204790</v>
      </c>
      <c r="L873" s="56"/>
      <c r="M873" s="57">
        <v>6984</v>
      </c>
      <c r="N873" s="57">
        <v>0</v>
      </c>
      <c r="O873" s="56">
        <v>0</v>
      </c>
      <c r="P873" s="107">
        <f t="shared" si="27"/>
        <v>6984</v>
      </c>
      <c r="Q873" s="56"/>
      <c r="R873" s="57">
        <v>83147</v>
      </c>
      <c r="S873" s="58">
        <v>37380</v>
      </c>
      <c r="T873" s="58">
        <v>120527</v>
      </c>
    </row>
    <row r="874" spans="1:20">
      <c r="A874" s="54">
        <v>99604</v>
      </c>
      <c r="B874" s="55" t="s">
        <v>2249</v>
      </c>
      <c r="C874" s="106">
        <v>1.009E-4</v>
      </c>
      <c r="D874" s="106">
        <v>9.6899999999999997E-5</v>
      </c>
      <c r="E874" s="56">
        <v>154147</v>
      </c>
      <c r="F874" s="56"/>
      <c r="G874" s="57">
        <v>8880</v>
      </c>
      <c r="H874" s="107">
        <v>37427</v>
      </c>
      <c r="I874" s="57">
        <v>22014</v>
      </c>
      <c r="J874" s="56">
        <v>20530</v>
      </c>
      <c r="K874" s="107">
        <f t="shared" si="26"/>
        <v>88851</v>
      </c>
      <c r="L874" s="56"/>
      <c r="M874" s="57">
        <v>4363</v>
      </c>
      <c r="N874" s="57">
        <v>0</v>
      </c>
      <c r="O874" s="56">
        <v>0</v>
      </c>
      <c r="P874" s="107">
        <f t="shared" si="27"/>
        <v>4363</v>
      </c>
      <c r="Q874" s="56"/>
      <c r="R874" s="57">
        <v>51948</v>
      </c>
      <c r="S874" s="58">
        <v>9479</v>
      </c>
      <c r="T874" s="58">
        <v>61427</v>
      </c>
    </row>
    <row r="875" spans="1:20">
      <c r="A875" s="54">
        <v>99609</v>
      </c>
      <c r="B875" s="55" t="s">
        <v>2250</v>
      </c>
      <c r="C875" s="106">
        <v>1.52E-5</v>
      </c>
      <c r="D875" s="106">
        <v>2.0999999999999999E-5</v>
      </c>
      <c r="E875" s="56">
        <v>23221</v>
      </c>
      <c r="F875" s="56"/>
      <c r="G875" s="57">
        <v>1338</v>
      </c>
      <c r="H875" s="107">
        <v>5638</v>
      </c>
      <c r="I875" s="57">
        <v>3316</v>
      </c>
      <c r="J875" s="56">
        <v>3555</v>
      </c>
      <c r="K875" s="107">
        <f t="shared" si="26"/>
        <v>13847</v>
      </c>
      <c r="L875" s="56"/>
      <c r="M875" s="57">
        <v>657</v>
      </c>
      <c r="N875" s="57">
        <v>0</v>
      </c>
      <c r="O875" s="56">
        <v>1523</v>
      </c>
      <c r="P875" s="107">
        <f t="shared" si="27"/>
        <v>2180</v>
      </c>
      <c r="Q875" s="56"/>
      <c r="R875" s="57">
        <v>7826</v>
      </c>
      <c r="S875" s="58">
        <v>1693</v>
      </c>
      <c r="T875" s="58">
        <v>9519</v>
      </c>
    </row>
    <row r="876" spans="1:20">
      <c r="A876" s="54">
        <v>99610</v>
      </c>
      <c r="B876" s="55" t="s">
        <v>2251</v>
      </c>
      <c r="C876" s="106">
        <v>1.9440000000000001E-4</v>
      </c>
      <c r="D876" s="106">
        <v>1.9440000000000001E-4</v>
      </c>
      <c r="E876" s="56">
        <v>296989</v>
      </c>
      <c r="F876" s="56"/>
      <c r="G876" s="57">
        <v>17109</v>
      </c>
      <c r="H876" s="107">
        <v>72109</v>
      </c>
      <c r="I876" s="57">
        <v>42414</v>
      </c>
      <c r="J876" s="56">
        <v>2712</v>
      </c>
      <c r="K876" s="107">
        <f t="shared" si="26"/>
        <v>134344</v>
      </c>
      <c r="L876" s="56"/>
      <c r="M876" s="57">
        <v>8407</v>
      </c>
      <c r="N876" s="57">
        <v>0</v>
      </c>
      <c r="O876" s="56">
        <v>4164</v>
      </c>
      <c r="P876" s="107">
        <f t="shared" si="27"/>
        <v>12571</v>
      </c>
      <c r="Q876" s="56"/>
      <c r="R876" s="57">
        <v>100086</v>
      </c>
      <c r="S876" s="58">
        <v>576</v>
      </c>
      <c r="T876" s="58">
        <v>100662</v>
      </c>
    </row>
    <row r="877" spans="1:20">
      <c r="A877" s="54">
        <v>99611</v>
      </c>
      <c r="B877" s="55" t="s">
        <v>2252</v>
      </c>
      <c r="C877" s="106">
        <v>3.1959000000000002E-3</v>
      </c>
      <c r="D877" s="106">
        <v>3.1495999999999998E-3</v>
      </c>
      <c r="E877" s="56">
        <v>4882450</v>
      </c>
      <c r="F877" s="56"/>
      <c r="G877" s="57">
        <v>281274</v>
      </c>
      <c r="H877" s="107">
        <v>1185465</v>
      </c>
      <c r="I877" s="57">
        <v>697281</v>
      </c>
      <c r="J877" s="56">
        <v>36523</v>
      </c>
      <c r="K877" s="107">
        <f t="shared" si="26"/>
        <v>2200543</v>
      </c>
      <c r="L877" s="56"/>
      <c r="M877" s="57">
        <v>138207</v>
      </c>
      <c r="N877" s="57">
        <v>0</v>
      </c>
      <c r="O877" s="56">
        <v>197702</v>
      </c>
      <c r="P877" s="107">
        <f t="shared" si="27"/>
        <v>335909</v>
      </c>
      <c r="Q877" s="56"/>
      <c r="R877" s="57">
        <v>1645390</v>
      </c>
      <c r="S877" s="58">
        <v>-88518</v>
      </c>
      <c r="T877" s="58">
        <v>1556872</v>
      </c>
    </row>
    <row r="878" spans="1:20">
      <c r="A878" s="54">
        <v>99613</v>
      </c>
      <c r="B878" s="55" t="s">
        <v>2253</v>
      </c>
      <c r="C878" s="106">
        <v>3.2909999999999998E-4</v>
      </c>
      <c r="D878" s="106">
        <v>3.369E-4</v>
      </c>
      <c r="E878" s="56">
        <v>502774</v>
      </c>
      <c r="F878" s="56"/>
      <c r="G878" s="57">
        <v>28964</v>
      </c>
      <c r="H878" s="107">
        <v>122074</v>
      </c>
      <c r="I878" s="57">
        <v>71803</v>
      </c>
      <c r="J878" s="56">
        <v>283917</v>
      </c>
      <c r="K878" s="107">
        <f t="shared" si="26"/>
        <v>506758</v>
      </c>
      <c r="L878" s="56"/>
      <c r="M878" s="57">
        <v>14232</v>
      </c>
      <c r="N878" s="57">
        <v>0</v>
      </c>
      <c r="O878" s="56">
        <v>0</v>
      </c>
      <c r="P878" s="107">
        <f t="shared" si="27"/>
        <v>14232</v>
      </c>
      <c r="Q878" s="56"/>
      <c r="R878" s="57">
        <v>169435</v>
      </c>
      <c r="S878" s="58">
        <v>96572</v>
      </c>
      <c r="T878" s="58">
        <v>266007</v>
      </c>
    </row>
    <row r="879" spans="1:20">
      <c r="A879" s="54">
        <v>99621</v>
      </c>
      <c r="B879" s="55" t="s">
        <v>2254</v>
      </c>
      <c r="C879" s="106">
        <v>3.7060000000000001E-4</v>
      </c>
      <c r="D879" s="106">
        <v>3.2850000000000002E-4</v>
      </c>
      <c r="E879" s="56">
        <v>566174</v>
      </c>
      <c r="F879" s="56"/>
      <c r="G879" s="57">
        <v>32617</v>
      </c>
      <c r="H879" s="107">
        <v>137468</v>
      </c>
      <c r="I879" s="57">
        <v>80858</v>
      </c>
      <c r="J879" s="56">
        <v>42182</v>
      </c>
      <c r="K879" s="107">
        <f t="shared" si="26"/>
        <v>293125</v>
      </c>
      <c r="L879" s="56"/>
      <c r="M879" s="57">
        <v>16027</v>
      </c>
      <c r="N879" s="57">
        <v>0</v>
      </c>
      <c r="O879" s="56">
        <v>4670</v>
      </c>
      <c r="P879" s="107">
        <f t="shared" si="27"/>
        <v>20697</v>
      </c>
      <c r="Q879" s="56"/>
      <c r="R879" s="57">
        <v>190801</v>
      </c>
      <c r="S879" s="58">
        <v>12829</v>
      </c>
      <c r="T879" s="58">
        <v>203630</v>
      </c>
    </row>
    <row r="880" spans="1:20">
      <c r="A880" s="54">
        <v>99623</v>
      </c>
      <c r="B880" s="55" t="s">
        <v>2255</v>
      </c>
      <c r="C880" s="106">
        <v>2.6400000000000001E-5</v>
      </c>
      <c r="D880" s="106">
        <v>2.9200000000000002E-5</v>
      </c>
      <c r="E880" s="56">
        <v>40332</v>
      </c>
      <c r="F880" s="56"/>
      <c r="G880" s="57">
        <v>2323</v>
      </c>
      <c r="H880" s="107">
        <v>9793</v>
      </c>
      <c r="I880" s="57">
        <v>5760</v>
      </c>
      <c r="J880" s="56">
        <v>2450</v>
      </c>
      <c r="K880" s="107">
        <f t="shared" si="26"/>
        <v>20326</v>
      </c>
      <c r="L880" s="56"/>
      <c r="M880" s="57">
        <v>1142</v>
      </c>
      <c r="N880" s="57">
        <v>0</v>
      </c>
      <c r="O880" s="56">
        <v>2848</v>
      </c>
      <c r="P880" s="107">
        <f t="shared" si="27"/>
        <v>3990</v>
      </c>
      <c r="Q880" s="56"/>
      <c r="R880" s="57">
        <v>13592</v>
      </c>
      <c r="S880" s="58">
        <v>317</v>
      </c>
      <c r="T880" s="58">
        <f>13908+1</f>
        <v>13909</v>
      </c>
    </row>
    <row r="881" spans="1:20">
      <c r="A881" s="54">
        <v>99631</v>
      </c>
      <c r="B881" s="55" t="s">
        <v>2256</v>
      </c>
      <c r="C881" s="106">
        <v>1.102E-4</v>
      </c>
      <c r="D881" s="106">
        <v>1.0340000000000001E-4</v>
      </c>
      <c r="E881" s="56">
        <v>168355</v>
      </c>
      <c r="F881" s="56"/>
      <c r="G881" s="57">
        <v>9699</v>
      </c>
      <c r="H881" s="107">
        <v>40877</v>
      </c>
      <c r="I881" s="57">
        <v>24043</v>
      </c>
      <c r="J881" s="56">
        <v>1071</v>
      </c>
      <c r="K881" s="107">
        <f t="shared" si="26"/>
        <v>75690</v>
      </c>
      <c r="L881" s="56"/>
      <c r="M881" s="57">
        <v>4766</v>
      </c>
      <c r="N881" s="57">
        <v>0</v>
      </c>
      <c r="O881" s="56">
        <v>5159</v>
      </c>
      <c r="P881" s="107">
        <f t="shared" si="27"/>
        <v>9925</v>
      </c>
      <c r="Q881" s="56"/>
      <c r="R881" s="57">
        <v>56736</v>
      </c>
      <c r="S881" s="58">
        <v>-3954</v>
      </c>
      <c r="T881" s="58">
        <f>52781+1</f>
        <v>52782</v>
      </c>
    </row>
    <row r="882" spans="1:20">
      <c r="A882" s="54">
        <v>99651</v>
      </c>
      <c r="B882" s="55" t="s">
        <v>2257</v>
      </c>
      <c r="C882" s="106">
        <v>6.7199999999999994E-5</v>
      </c>
      <c r="D882" s="106">
        <v>6.7100000000000005E-5</v>
      </c>
      <c r="E882" s="56">
        <v>102663</v>
      </c>
      <c r="F882" s="56"/>
      <c r="G882" s="57">
        <v>5914</v>
      </c>
      <c r="H882" s="107">
        <v>24927</v>
      </c>
      <c r="I882" s="57">
        <v>14662</v>
      </c>
      <c r="J882" s="56">
        <v>5944</v>
      </c>
      <c r="K882" s="107">
        <f t="shared" si="26"/>
        <v>51447</v>
      </c>
      <c r="L882" s="56"/>
      <c r="M882" s="57">
        <v>2906</v>
      </c>
      <c r="N882" s="57">
        <v>0</v>
      </c>
      <c r="O882" s="56">
        <v>1841</v>
      </c>
      <c r="P882" s="107">
        <f t="shared" si="27"/>
        <v>4747</v>
      </c>
      <c r="Q882" s="56"/>
      <c r="R882" s="57">
        <v>34598</v>
      </c>
      <c r="S882" s="58">
        <v>1312</v>
      </c>
      <c r="T882" s="58">
        <v>35910</v>
      </c>
    </row>
    <row r="883" spans="1:20">
      <c r="A883" s="54">
        <v>99661</v>
      </c>
      <c r="B883" s="55" t="s">
        <v>2258</v>
      </c>
      <c r="C883" s="106">
        <v>3.26E-5</v>
      </c>
      <c r="D883" s="106">
        <v>3.5500000000000002E-5</v>
      </c>
      <c r="E883" s="56">
        <v>49804</v>
      </c>
      <c r="F883" s="56"/>
      <c r="G883" s="57">
        <v>2869</v>
      </c>
      <c r="H883" s="107">
        <v>12092</v>
      </c>
      <c r="I883" s="57">
        <v>7113</v>
      </c>
      <c r="J883" s="56">
        <v>34726</v>
      </c>
      <c r="K883" s="107">
        <f t="shared" si="26"/>
        <v>56800</v>
      </c>
      <c r="L883" s="56"/>
      <c r="M883" s="57">
        <v>1410</v>
      </c>
      <c r="N883" s="57">
        <v>0</v>
      </c>
      <c r="O883" s="56">
        <v>0</v>
      </c>
      <c r="P883" s="107">
        <f t="shared" si="27"/>
        <v>1410</v>
      </c>
      <c r="Q883" s="56"/>
      <c r="R883" s="57">
        <v>16784</v>
      </c>
      <c r="S883" s="58">
        <v>12838</v>
      </c>
      <c r="T883" s="58">
        <v>29622</v>
      </c>
    </row>
    <row r="884" spans="1:20">
      <c r="A884" s="54">
        <v>99701</v>
      </c>
      <c r="B884" s="55" t="s">
        <v>2259</v>
      </c>
      <c r="C884" s="106">
        <v>2.9190000000000002E-3</v>
      </c>
      <c r="D884" s="106">
        <v>2.8774E-3</v>
      </c>
      <c r="E884" s="56">
        <v>4459423</v>
      </c>
      <c r="F884" s="56"/>
      <c r="G884" s="57">
        <v>256904</v>
      </c>
      <c r="H884" s="107">
        <v>1082754</v>
      </c>
      <c r="I884" s="57">
        <v>636867</v>
      </c>
      <c r="J884" s="56">
        <v>21162</v>
      </c>
      <c r="K884" s="107">
        <f t="shared" si="26"/>
        <v>1997687</v>
      </c>
      <c r="L884" s="56"/>
      <c r="M884" s="57">
        <v>126232</v>
      </c>
      <c r="N884" s="57">
        <v>0</v>
      </c>
      <c r="O884" s="56">
        <v>17651</v>
      </c>
      <c r="P884" s="107">
        <f t="shared" si="27"/>
        <v>143883</v>
      </c>
      <c r="Q884" s="56"/>
      <c r="R884" s="57">
        <v>1502830</v>
      </c>
      <c r="S884" s="58">
        <v>-1976</v>
      </c>
      <c r="T884" s="58">
        <f>1500853+1</f>
        <v>1500854</v>
      </c>
    </row>
    <row r="885" spans="1:20">
      <c r="A885" s="54">
        <v>99705</v>
      </c>
      <c r="B885" s="55" t="s">
        <v>2260</v>
      </c>
      <c r="C885" s="106">
        <v>1.7229999999999999E-4</v>
      </c>
      <c r="D885" s="106">
        <v>1.7259999999999999E-4</v>
      </c>
      <c r="E885" s="56">
        <v>263227</v>
      </c>
      <c r="F885" s="56"/>
      <c r="G885" s="57">
        <v>15164</v>
      </c>
      <c r="H885" s="107">
        <v>63911</v>
      </c>
      <c r="I885" s="57">
        <v>37592</v>
      </c>
      <c r="J885" s="56">
        <v>10978</v>
      </c>
      <c r="K885" s="107">
        <f t="shared" si="26"/>
        <v>127645</v>
      </c>
      <c r="L885" s="56"/>
      <c r="M885" s="57">
        <v>7451</v>
      </c>
      <c r="N885" s="57">
        <v>0</v>
      </c>
      <c r="O885" s="56">
        <v>544</v>
      </c>
      <c r="P885" s="107">
        <f t="shared" si="27"/>
        <v>7995</v>
      </c>
      <c r="Q885" s="56"/>
      <c r="R885" s="57">
        <v>88708</v>
      </c>
      <c r="S885" s="58">
        <v>5913</v>
      </c>
      <c r="T885" s="58">
        <v>94621</v>
      </c>
    </row>
    <row r="886" spans="1:20">
      <c r="A886" s="54">
        <v>99711</v>
      </c>
      <c r="B886" s="55" t="s">
        <v>2261</v>
      </c>
      <c r="C886" s="106">
        <v>4.5459999999999999E-4</v>
      </c>
      <c r="D886" s="106">
        <v>4.3540000000000001E-4</v>
      </c>
      <c r="E886" s="56">
        <v>694503</v>
      </c>
      <c r="F886" s="56"/>
      <c r="G886" s="57">
        <v>40010</v>
      </c>
      <c r="H886" s="107">
        <v>168626</v>
      </c>
      <c r="I886" s="57">
        <v>99185</v>
      </c>
      <c r="J886" s="56">
        <v>14449</v>
      </c>
      <c r="K886" s="107">
        <f t="shared" si="26"/>
        <v>322270</v>
      </c>
      <c r="L886" s="56"/>
      <c r="M886" s="57">
        <v>19659</v>
      </c>
      <c r="N886" s="57">
        <v>0</v>
      </c>
      <c r="O886" s="56">
        <v>10625</v>
      </c>
      <c r="P886" s="107">
        <f t="shared" si="27"/>
        <v>30284</v>
      </c>
      <c r="Q886" s="56"/>
      <c r="R886" s="57">
        <v>234048</v>
      </c>
      <c r="S886" s="58">
        <v>-1042</v>
      </c>
      <c r="T886" s="58">
        <v>233006</v>
      </c>
    </row>
    <row r="887" spans="1:20">
      <c r="A887" s="54">
        <v>99717</v>
      </c>
      <c r="B887" s="55" t="s">
        <v>2262</v>
      </c>
      <c r="C887" s="106">
        <v>2.19E-5</v>
      </c>
      <c r="D887" s="106">
        <v>2.3200000000000001E-5</v>
      </c>
      <c r="E887" s="56">
        <v>33457</v>
      </c>
      <c r="F887" s="56"/>
      <c r="G887" s="57">
        <v>1927</v>
      </c>
      <c r="H887" s="107">
        <v>8123</v>
      </c>
      <c r="I887" s="57">
        <v>4778</v>
      </c>
      <c r="J887" s="56">
        <v>0</v>
      </c>
      <c r="K887" s="107">
        <f t="shared" si="26"/>
        <v>14828</v>
      </c>
      <c r="L887" s="56"/>
      <c r="M887" s="57">
        <v>947</v>
      </c>
      <c r="N887" s="57">
        <v>0</v>
      </c>
      <c r="O887" s="56">
        <v>3936</v>
      </c>
      <c r="P887" s="107">
        <f t="shared" si="27"/>
        <v>4883</v>
      </c>
      <c r="Q887" s="56"/>
      <c r="R887" s="57">
        <v>11275</v>
      </c>
      <c r="S887" s="58">
        <v>-1270</v>
      </c>
      <c r="T887" s="58">
        <v>10005</v>
      </c>
    </row>
    <row r="888" spans="1:20">
      <c r="A888" s="54">
        <v>99721</v>
      </c>
      <c r="B888" s="55" t="s">
        <v>2263</v>
      </c>
      <c r="C888" s="106">
        <v>5.7779999999999995E-4</v>
      </c>
      <c r="D888" s="106">
        <v>6.2449999999999995E-4</v>
      </c>
      <c r="E888" s="56">
        <v>882718</v>
      </c>
      <c r="F888" s="56"/>
      <c r="G888" s="57">
        <v>50853</v>
      </c>
      <c r="H888" s="107">
        <v>214325</v>
      </c>
      <c r="I888" s="57">
        <v>126064</v>
      </c>
      <c r="J888" s="56">
        <v>0</v>
      </c>
      <c r="K888" s="107">
        <f t="shared" si="26"/>
        <v>391242</v>
      </c>
      <c r="L888" s="56"/>
      <c r="M888" s="57">
        <v>24987</v>
      </c>
      <c r="N888" s="57">
        <v>0</v>
      </c>
      <c r="O888" s="56">
        <v>48789</v>
      </c>
      <c r="P888" s="107">
        <f t="shared" si="27"/>
        <v>73776</v>
      </c>
      <c r="Q888" s="56"/>
      <c r="R888" s="57">
        <v>297477</v>
      </c>
      <c r="S888" s="58">
        <v>-14223</v>
      </c>
      <c r="T888" s="58">
        <v>283254</v>
      </c>
    </row>
    <row r="889" spans="1:20">
      <c r="A889" s="54">
        <v>99727</v>
      </c>
      <c r="B889" s="55" t="s">
        <v>2264</v>
      </c>
      <c r="C889" s="106">
        <v>2.3900000000000002E-5</v>
      </c>
      <c r="D889" s="106">
        <v>2.5299999999999998E-5</v>
      </c>
      <c r="E889" s="56">
        <v>36513</v>
      </c>
      <c r="F889" s="56"/>
      <c r="G889" s="57">
        <v>2103</v>
      </c>
      <c r="H889" s="107">
        <v>8865</v>
      </c>
      <c r="I889" s="57">
        <v>5215</v>
      </c>
      <c r="J889" s="56">
        <v>59484</v>
      </c>
      <c r="K889" s="107">
        <f t="shared" si="26"/>
        <v>75667</v>
      </c>
      <c r="L889" s="56"/>
      <c r="M889" s="57">
        <v>1034</v>
      </c>
      <c r="N889" s="57">
        <v>0</v>
      </c>
      <c r="O889" s="56">
        <v>0</v>
      </c>
      <c r="P889" s="107">
        <f t="shared" si="27"/>
        <v>1034</v>
      </c>
      <c r="Q889" s="56"/>
      <c r="R889" s="57">
        <v>12305</v>
      </c>
      <c r="S889" s="58">
        <v>20983</v>
      </c>
      <c r="T889" s="58">
        <v>33288</v>
      </c>
    </row>
    <row r="890" spans="1:20">
      <c r="A890" s="54">
        <v>99801</v>
      </c>
      <c r="B890" s="55" t="s">
        <v>2265</v>
      </c>
      <c r="C890" s="106">
        <v>5.1866000000000004E-3</v>
      </c>
      <c r="D890" s="106">
        <v>5.1954999999999996E-3</v>
      </c>
      <c r="E890" s="56">
        <v>7923688</v>
      </c>
      <c r="F890" s="56"/>
      <c r="G890" s="57">
        <v>456478</v>
      </c>
      <c r="H890" s="107">
        <v>1923881</v>
      </c>
      <c r="I890" s="57">
        <v>1131612</v>
      </c>
      <c r="J890" s="56">
        <v>17042</v>
      </c>
      <c r="K890" s="107">
        <f t="shared" si="26"/>
        <v>3529013</v>
      </c>
      <c r="L890" s="56"/>
      <c r="M890" s="57">
        <v>224295</v>
      </c>
      <c r="N890" s="57">
        <v>0</v>
      </c>
      <c r="O890" s="56">
        <v>150042</v>
      </c>
      <c r="P890" s="107">
        <f t="shared" si="27"/>
        <v>374337</v>
      </c>
      <c r="Q890" s="56"/>
      <c r="R890" s="57">
        <v>2670290</v>
      </c>
      <c r="S890" s="58">
        <v>-29556</v>
      </c>
      <c r="T890" s="58">
        <f>2640733+1</f>
        <v>2640734</v>
      </c>
    </row>
    <row r="891" spans="1:20">
      <c r="A891" s="54">
        <v>99802</v>
      </c>
      <c r="B891" s="55" t="s">
        <v>2266</v>
      </c>
      <c r="C891" s="106">
        <v>6.0000000000000002E-6</v>
      </c>
      <c r="D891" s="106">
        <v>6.4999999999999996E-6</v>
      </c>
      <c r="E891" s="56">
        <v>9166</v>
      </c>
      <c r="F891" s="56"/>
      <c r="G891" s="57">
        <v>528</v>
      </c>
      <c r="H891" s="107">
        <v>2226</v>
      </c>
      <c r="I891" s="57">
        <v>1309</v>
      </c>
      <c r="J891" s="56">
        <v>1378</v>
      </c>
      <c r="K891" s="107">
        <f t="shared" si="26"/>
        <v>5441</v>
      </c>
      <c r="L891" s="56"/>
      <c r="M891" s="57">
        <v>259</v>
      </c>
      <c r="N891" s="57">
        <v>0</v>
      </c>
      <c r="O891" s="56">
        <v>53</v>
      </c>
      <c r="P891" s="107">
        <f t="shared" si="27"/>
        <v>312</v>
      </c>
      <c r="Q891" s="56"/>
      <c r="R891" s="57">
        <v>3089</v>
      </c>
      <c r="S891" s="58">
        <v>334</v>
      </c>
      <c r="T891" s="58">
        <v>3423</v>
      </c>
    </row>
    <row r="892" spans="1:20">
      <c r="A892" s="54">
        <v>99804</v>
      </c>
      <c r="B892" s="55" t="s">
        <v>2267</v>
      </c>
      <c r="C892" s="106">
        <v>9.0500000000000004E-5</v>
      </c>
      <c r="D892" s="106">
        <v>8.6600000000000004E-5</v>
      </c>
      <c r="E892" s="56">
        <v>138259</v>
      </c>
      <c r="F892" s="56"/>
      <c r="G892" s="57">
        <v>7965</v>
      </c>
      <c r="H892" s="107">
        <v>33569</v>
      </c>
      <c r="I892" s="57">
        <v>19745</v>
      </c>
      <c r="J892" s="56">
        <v>13689</v>
      </c>
      <c r="K892" s="107">
        <f t="shared" si="26"/>
        <v>74968</v>
      </c>
      <c r="L892" s="56"/>
      <c r="M892" s="57">
        <v>3914</v>
      </c>
      <c r="N892" s="57">
        <v>0</v>
      </c>
      <c r="O892" s="56">
        <v>0</v>
      </c>
      <c r="P892" s="107">
        <f t="shared" si="27"/>
        <v>3914</v>
      </c>
      <c r="Q892" s="56"/>
      <c r="R892" s="57">
        <v>46593</v>
      </c>
      <c r="S892" s="58">
        <v>4917</v>
      </c>
      <c r="T892" s="58">
        <v>51510</v>
      </c>
    </row>
    <row r="893" spans="1:20">
      <c r="A893" s="54">
        <v>99811</v>
      </c>
      <c r="B893" s="55" t="s">
        <v>2268</v>
      </c>
      <c r="C893" s="106">
        <v>6.7026999999999998E-3</v>
      </c>
      <c r="D893" s="106">
        <v>6.8415000000000004E-3</v>
      </c>
      <c r="E893" s="56">
        <v>10239869</v>
      </c>
      <c r="F893" s="56"/>
      <c r="G893" s="57">
        <v>589911</v>
      </c>
      <c r="H893" s="107">
        <v>2486253</v>
      </c>
      <c r="I893" s="57">
        <v>1462395</v>
      </c>
      <c r="J893" s="56">
        <v>0</v>
      </c>
      <c r="K893" s="107">
        <f t="shared" si="26"/>
        <v>4538559</v>
      </c>
      <c r="L893" s="56"/>
      <c r="M893" s="57">
        <v>289858</v>
      </c>
      <c r="N893" s="57">
        <v>0</v>
      </c>
      <c r="O893" s="56">
        <v>598680</v>
      </c>
      <c r="P893" s="107">
        <f t="shared" si="27"/>
        <v>888538</v>
      </c>
      <c r="Q893" s="56"/>
      <c r="R893" s="57">
        <v>3450845</v>
      </c>
      <c r="S893" s="58">
        <v>-236953</v>
      </c>
      <c r="T893" s="58">
        <f>3213891+1</f>
        <v>3213892</v>
      </c>
    </row>
    <row r="894" spans="1:20">
      <c r="A894" s="54">
        <v>99812</v>
      </c>
      <c r="B894" s="55" t="s">
        <v>2269</v>
      </c>
      <c r="C894" s="106">
        <v>2.2099999999999998E-5</v>
      </c>
      <c r="D894" s="106">
        <v>2.5599999999999999E-5</v>
      </c>
      <c r="E894" s="56">
        <v>33763</v>
      </c>
      <c r="F894" s="56"/>
      <c r="G894" s="57">
        <v>1945</v>
      </c>
      <c r="H894" s="107">
        <v>8198</v>
      </c>
      <c r="I894" s="57">
        <v>4822</v>
      </c>
      <c r="J894" s="56">
        <v>11652</v>
      </c>
      <c r="K894" s="107">
        <f t="shared" si="26"/>
        <v>26617</v>
      </c>
      <c r="L894" s="56"/>
      <c r="M894" s="57">
        <v>956</v>
      </c>
      <c r="N894" s="57">
        <v>0</v>
      </c>
      <c r="O894" s="56">
        <v>0</v>
      </c>
      <c r="P894" s="107">
        <f t="shared" si="27"/>
        <v>956</v>
      </c>
      <c r="Q894" s="56"/>
      <c r="R894" s="57">
        <v>11378</v>
      </c>
      <c r="S894" s="58">
        <v>4237</v>
      </c>
      <c r="T894" s="58">
        <v>15615</v>
      </c>
    </row>
    <row r="895" spans="1:20">
      <c r="A895" s="54">
        <v>99818</v>
      </c>
      <c r="B895" s="55" t="s">
        <v>2270</v>
      </c>
      <c r="C895" s="106">
        <v>3.1600000000000002E-5</v>
      </c>
      <c r="D895" s="106">
        <v>3.7700000000000002E-5</v>
      </c>
      <c r="E895" s="56">
        <v>48276</v>
      </c>
      <c r="F895" s="56"/>
      <c r="G895" s="57">
        <v>2781</v>
      </c>
      <c r="H895" s="107">
        <v>11722</v>
      </c>
      <c r="I895" s="57">
        <v>6894</v>
      </c>
      <c r="J895" s="56">
        <v>3054</v>
      </c>
      <c r="K895" s="107">
        <f t="shared" si="26"/>
        <v>24451</v>
      </c>
      <c r="L895" s="56"/>
      <c r="M895" s="57">
        <v>1367</v>
      </c>
      <c r="N895" s="57">
        <v>0</v>
      </c>
      <c r="O895" s="56">
        <v>6414</v>
      </c>
      <c r="P895" s="107">
        <f t="shared" si="27"/>
        <v>7781</v>
      </c>
      <c r="Q895" s="56"/>
      <c r="R895" s="57">
        <v>16269</v>
      </c>
      <c r="S895" s="58">
        <v>695</v>
      </c>
      <c r="T895" s="58">
        <v>16964</v>
      </c>
    </row>
    <row r="896" spans="1:20">
      <c r="A896" s="54">
        <v>99821</v>
      </c>
      <c r="B896" s="55" t="s">
        <v>2271</v>
      </c>
      <c r="C896" s="106">
        <v>9.1100000000000005E-5</v>
      </c>
      <c r="D896" s="106">
        <v>8.2899999999999996E-5</v>
      </c>
      <c r="E896" s="56">
        <v>139176</v>
      </c>
      <c r="F896" s="56"/>
      <c r="G896" s="57">
        <v>8018</v>
      </c>
      <c r="H896" s="107">
        <v>33792</v>
      </c>
      <c r="I896" s="57">
        <v>19876</v>
      </c>
      <c r="J896" s="56">
        <v>21459</v>
      </c>
      <c r="K896" s="107">
        <f t="shared" si="26"/>
        <v>83145</v>
      </c>
      <c r="L896" s="56"/>
      <c r="M896" s="57">
        <v>3940</v>
      </c>
      <c r="N896" s="57">
        <v>0</v>
      </c>
      <c r="O896" s="56">
        <v>555</v>
      </c>
      <c r="P896" s="107">
        <f t="shared" si="27"/>
        <v>4495</v>
      </c>
      <c r="Q896" s="56"/>
      <c r="R896" s="57">
        <v>46902</v>
      </c>
      <c r="S896" s="58">
        <v>9955</v>
      </c>
      <c r="T896" s="58">
        <v>56857</v>
      </c>
    </row>
    <row r="897" spans="1:20">
      <c r="A897" s="54">
        <v>99831</v>
      </c>
      <c r="B897" s="55" t="s">
        <v>2272</v>
      </c>
      <c r="C897" s="106">
        <v>6.3299999999999994E-5</v>
      </c>
      <c r="D897" s="106">
        <v>5.5899999999999997E-5</v>
      </c>
      <c r="E897" s="56">
        <v>96705</v>
      </c>
      <c r="F897" s="56"/>
      <c r="G897" s="57">
        <v>5571</v>
      </c>
      <c r="H897" s="107">
        <v>23480</v>
      </c>
      <c r="I897" s="57">
        <v>13811</v>
      </c>
      <c r="J897" s="56">
        <v>7030</v>
      </c>
      <c r="K897" s="107">
        <f t="shared" si="26"/>
        <v>49892</v>
      </c>
      <c r="L897" s="56"/>
      <c r="M897" s="57">
        <v>2737</v>
      </c>
      <c r="N897" s="57">
        <v>0</v>
      </c>
      <c r="O897" s="56">
        <v>564</v>
      </c>
      <c r="P897" s="107">
        <f t="shared" si="27"/>
        <v>3301</v>
      </c>
      <c r="Q897" s="56"/>
      <c r="R897" s="57">
        <v>32590</v>
      </c>
      <c r="S897" s="58">
        <v>1906</v>
      </c>
      <c r="T897" s="58">
        <f>34495+1</f>
        <v>34496</v>
      </c>
    </row>
    <row r="898" spans="1:20">
      <c r="A898" s="54">
        <v>99841</v>
      </c>
      <c r="B898" s="55" t="s">
        <v>2273</v>
      </c>
      <c r="C898" s="106">
        <v>4.3399999999999998E-5</v>
      </c>
      <c r="D898" s="106">
        <v>4.6E-5</v>
      </c>
      <c r="E898" s="56">
        <v>66303</v>
      </c>
      <c r="F898" s="56"/>
      <c r="G898" s="57">
        <v>3820</v>
      </c>
      <c r="H898" s="107">
        <v>16098</v>
      </c>
      <c r="I898" s="57">
        <v>9469</v>
      </c>
      <c r="J898" s="56">
        <v>1271</v>
      </c>
      <c r="K898" s="107">
        <f t="shared" si="26"/>
        <v>30658</v>
      </c>
      <c r="L898" s="56"/>
      <c r="M898" s="57">
        <v>1877</v>
      </c>
      <c r="N898" s="57">
        <v>0</v>
      </c>
      <c r="O898" s="56">
        <v>4060</v>
      </c>
      <c r="P898" s="107">
        <f t="shared" si="27"/>
        <v>5937</v>
      </c>
      <c r="Q898" s="56"/>
      <c r="R898" s="57">
        <v>22344</v>
      </c>
      <c r="S898" s="58">
        <v>-1214</v>
      </c>
      <c r="T898" s="58">
        <v>21130</v>
      </c>
    </row>
    <row r="899" spans="1:20">
      <c r="A899" s="54">
        <v>99851</v>
      </c>
      <c r="B899" s="55" t="s">
        <v>2274</v>
      </c>
      <c r="C899" s="106">
        <v>2.23E-5</v>
      </c>
      <c r="D899" s="106">
        <v>2.1999999999999999E-5</v>
      </c>
      <c r="E899" s="56">
        <v>34068</v>
      </c>
      <c r="F899" s="56"/>
      <c r="G899" s="57">
        <v>1963</v>
      </c>
      <c r="H899" s="107">
        <v>8272</v>
      </c>
      <c r="I899" s="57">
        <v>4865</v>
      </c>
      <c r="J899" s="56">
        <v>142</v>
      </c>
      <c r="K899" s="107">
        <f t="shared" si="26"/>
        <v>15242</v>
      </c>
      <c r="L899" s="56"/>
      <c r="M899" s="57">
        <v>964</v>
      </c>
      <c r="N899" s="57">
        <v>0</v>
      </c>
      <c r="O899" s="56">
        <v>3191</v>
      </c>
      <c r="P899" s="107">
        <f t="shared" si="27"/>
        <v>4155</v>
      </c>
      <c r="Q899" s="56"/>
      <c r="R899" s="57">
        <v>11481</v>
      </c>
      <c r="S899" s="58">
        <v>-847</v>
      </c>
      <c r="T899" s="58">
        <v>10634</v>
      </c>
    </row>
    <row r="900" spans="1:20">
      <c r="A900" s="54">
        <v>99901</v>
      </c>
      <c r="B900" s="55" t="s">
        <v>2275</v>
      </c>
      <c r="C900" s="106">
        <v>1.6707E-3</v>
      </c>
      <c r="D900" s="106">
        <v>1.6371999999999999E-3</v>
      </c>
      <c r="E900" s="56">
        <v>2552367</v>
      </c>
      <c r="F900" s="56"/>
      <c r="G900" s="57">
        <v>147040</v>
      </c>
      <c r="H900" s="107">
        <v>619718</v>
      </c>
      <c r="I900" s="57">
        <v>364513</v>
      </c>
      <c r="J900" s="56">
        <v>63407</v>
      </c>
      <c r="K900" s="107">
        <f t="shared" si="26"/>
        <v>1194678</v>
      </c>
      <c r="L900" s="56"/>
      <c r="M900" s="57">
        <v>72249</v>
      </c>
      <c r="N900" s="57">
        <v>0</v>
      </c>
      <c r="O900" s="56">
        <v>12021</v>
      </c>
      <c r="P900" s="107">
        <f t="shared" si="27"/>
        <v>84270</v>
      </c>
      <c r="Q900" s="56"/>
      <c r="R900" s="57">
        <v>860150</v>
      </c>
      <c r="S900" s="58">
        <v>13114</v>
      </c>
      <c r="T900" s="58">
        <v>873264</v>
      </c>
    </row>
    <row r="901" spans="1:20">
      <c r="A901" s="54">
        <v>99911</v>
      </c>
      <c r="B901" s="55" t="s">
        <v>2276</v>
      </c>
      <c r="C901" s="106">
        <v>2.5980000000000003E-4</v>
      </c>
      <c r="D901" s="106">
        <v>2.5520000000000002E-4</v>
      </c>
      <c r="E901" s="56">
        <v>396902</v>
      </c>
      <c r="F901" s="56"/>
      <c r="G901" s="57">
        <v>22865</v>
      </c>
      <c r="H901" s="107">
        <v>96368</v>
      </c>
      <c r="I901" s="57">
        <v>56683</v>
      </c>
      <c r="J901" s="56">
        <v>7168</v>
      </c>
      <c r="K901" s="107">
        <f t="shared" si="26"/>
        <v>183084</v>
      </c>
      <c r="L901" s="56"/>
      <c r="M901" s="57">
        <v>11235</v>
      </c>
      <c r="N901" s="57">
        <v>0</v>
      </c>
      <c r="O901" s="56">
        <v>12661</v>
      </c>
      <c r="P901" s="107">
        <f t="shared" si="27"/>
        <v>23896</v>
      </c>
      <c r="Q901" s="56"/>
      <c r="R901" s="57">
        <v>133756</v>
      </c>
      <c r="S901" s="58">
        <v>-5521</v>
      </c>
      <c r="T901" s="58">
        <v>128235</v>
      </c>
    </row>
    <row r="902" spans="1:20">
      <c r="A902" s="54">
        <v>99921</v>
      </c>
      <c r="B902" s="55" t="s">
        <v>2277</v>
      </c>
      <c r="C902" s="106">
        <v>1.506E-4</v>
      </c>
      <c r="D902" s="106">
        <v>1.5129999999999999E-4</v>
      </c>
      <c r="E902" s="56">
        <v>230075</v>
      </c>
      <c r="F902" s="56"/>
      <c r="G902" s="57">
        <v>13254</v>
      </c>
      <c r="H902" s="107">
        <v>55863</v>
      </c>
      <c r="I902" s="57">
        <v>32858</v>
      </c>
      <c r="J902" s="56">
        <v>3258</v>
      </c>
      <c r="K902" s="107">
        <f t="shared" si="26"/>
        <v>105233</v>
      </c>
      <c r="L902" s="56"/>
      <c r="M902" s="57">
        <v>6513</v>
      </c>
      <c r="N902" s="57">
        <v>0</v>
      </c>
      <c r="O902" s="56">
        <v>7306</v>
      </c>
      <c r="P902" s="107">
        <f t="shared" si="27"/>
        <v>13819</v>
      </c>
      <c r="Q902" s="56"/>
      <c r="R902" s="57">
        <v>77536</v>
      </c>
      <c r="S902" s="58">
        <v>-3057</v>
      </c>
      <c r="T902" s="58">
        <v>74479</v>
      </c>
    </row>
    <row r="903" spans="1:20">
      <c r="A903" s="54">
        <v>99931</v>
      </c>
      <c r="B903" s="55" t="s">
        <v>2278</v>
      </c>
      <c r="C903" s="106">
        <v>1.5800000000000001E-5</v>
      </c>
      <c r="D903" s="106">
        <v>2.51E-5</v>
      </c>
      <c r="E903" s="56">
        <v>24138</v>
      </c>
      <c r="F903" s="56"/>
      <c r="G903" s="57">
        <v>1391</v>
      </c>
      <c r="H903" s="107">
        <v>5860</v>
      </c>
      <c r="I903" s="57">
        <v>3447</v>
      </c>
      <c r="J903" s="56">
        <v>0</v>
      </c>
      <c r="K903" s="107">
        <f t="shared" ref="K903:K906" si="28">G903+H903+I903+J903</f>
        <v>10698</v>
      </c>
      <c r="L903" s="56"/>
      <c r="M903" s="57">
        <v>683</v>
      </c>
      <c r="N903" s="57">
        <v>0</v>
      </c>
      <c r="O903" s="56">
        <v>8477</v>
      </c>
      <c r="P903" s="107">
        <f t="shared" ref="P903:P906" si="29">M903+N903+O903</f>
        <v>9160</v>
      </c>
      <c r="Q903" s="56"/>
      <c r="R903" s="57">
        <v>8135</v>
      </c>
      <c r="S903" s="58">
        <v>-3271</v>
      </c>
      <c r="T903" s="58">
        <v>4864</v>
      </c>
    </row>
    <row r="904" spans="1:20">
      <c r="A904" s="54">
        <v>99941</v>
      </c>
      <c r="B904" s="55" t="s">
        <v>2279</v>
      </c>
      <c r="C904" s="106">
        <v>7.5400000000000003E-5</v>
      </c>
      <c r="D904" s="106">
        <v>7.8200000000000003E-5</v>
      </c>
      <c r="E904" s="56">
        <v>115190</v>
      </c>
      <c r="F904" s="56"/>
      <c r="G904" s="57">
        <v>6636</v>
      </c>
      <c r="H904" s="107">
        <v>27969</v>
      </c>
      <c r="I904" s="57">
        <v>16451</v>
      </c>
      <c r="J904" s="56">
        <v>0</v>
      </c>
      <c r="K904" s="107">
        <f t="shared" si="28"/>
        <v>51056</v>
      </c>
      <c r="L904" s="56"/>
      <c r="M904" s="57">
        <v>3261</v>
      </c>
      <c r="N904" s="57">
        <v>0</v>
      </c>
      <c r="O904" s="56">
        <v>11647</v>
      </c>
      <c r="P904" s="107">
        <f t="shared" si="29"/>
        <v>14908</v>
      </c>
      <c r="Q904" s="56"/>
      <c r="R904" s="57">
        <v>38819</v>
      </c>
      <c r="S904" s="58">
        <v>-4535</v>
      </c>
      <c r="T904" s="58">
        <f>34285-1</f>
        <v>34284</v>
      </c>
    </row>
    <row r="905" spans="1:20">
      <c r="A905" s="54">
        <v>99991</v>
      </c>
      <c r="B905" s="55" t="s">
        <v>2280</v>
      </c>
      <c r="C905" s="106">
        <v>5.3450000000000004E-4</v>
      </c>
      <c r="D905" s="106">
        <v>5.6990000000000003E-4</v>
      </c>
      <c r="E905" s="56">
        <v>816568</v>
      </c>
      <c r="F905" s="56"/>
      <c r="G905" s="57">
        <v>47042</v>
      </c>
      <c r="H905" s="107">
        <v>198264</v>
      </c>
      <c r="I905" s="57">
        <v>116617</v>
      </c>
      <c r="J905" s="56">
        <v>28891</v>
      </c>
      <c r="K905" s="107">
        <f t="shared" si="28"/>
        <v>390814</v>
      </c>
      <c r="L905" s="56"/>
      <c r="M905" s="57">
        <v>23114</v>
      </c>
      <c r="N905" s="57">
        <v>0</v>
      </c>
      <c r="O905" s="56">
        <v>28214</v>
      </c>
      <c r="P905" s="107">
        <f t="shared" si="29"/>
        <v>51328</v>
      </c>
      <c r="Q905" s="56"/>
      <c r="R905" s="57">
        <v>275184</v>
      </c>
      <c r="S905" s="58">
        <v>12361</v>
      </c>
      <c r="T905" s="58">
        <v>287545</v>
      </c>
    </row>
    <row r="906" spans="1:20">
      <c r="A906" s="54">
        <v>99999</v>
      </c>
      <c r="B906" s="55" t="s">
        <v>2281</v>
      </c>
      <c r="C906" s="106">
        <v>8.7509999999999997E-4</v>
      </c>
      <c r="D906" s="106">
        <v>1.0101000000000001E-3</v>
      </c>
      <c r="E906" s="56">
        <v>1336910</v>
      </c>
      <c r="F906" s="56"/>
      <c r="G906" s="57">
        <v>77018</v>
      </c>
      <c r="H906" s="107">
        <v>324603</v>
      </c>
      <c r="I906" s="57">
        <v>190929</v>
      </c>
      <c r="J906" s="56">
        <v>77711</v>
      </c>
      <c r="K906" s="107">
        <f t="shared" si="28"/>
        <v>670261</v>
      </c>
      <c r="L906" s="56"/>
      <c r="M906" s="57">
        <v>37844</v>
      </c>
      <c r="N906" s="57">
        <v>0</v>
      </c>
      <c r="O906" s="56">
        <v>26259</v>
      </c>
      <c r="P906" s="107">
        <f t="shared" si="29"/>
        <v>64103</v>
      </c>
      <c r="Q906" s="56"/>
      <c r="R906" s="57">
        <v>450540</v>
      </c>
      <c r="S906" s="58">
        <v>10651</v>
      </c>
      <c r="T906" s="58">
        <v>461191</v>
      </c>
    </row>
    <row r="907" spans="1:20">
      <c r="A907" s="54"/>
      <c r="B907" s="55"/>
      <c r="C907" s="106"/>
      <c r="D907" s="106"/>
    </row>
    <row r="908" spans="1:20" s="115" customFormat="1">
      <c r="A908" s="110"/>
      <c r="B908" s="63"/>
      <c r="C908" s="111">
        <v>1</v>
      </c>
      <c r="D908" s="111">
        <v>1</v>
      </c>
      <c r="E908" s="112">
        <f>SUM(E7:E906)</f>
        <v>1527723006</v>
      </c>
      <c r="F908" s="112"/>
      <c r="G908" s="113">
        <f t="shared" ref="G908:K908" si="30">SUM(G7:G906)</f>
        <v>88010998</v>
      </c>
      <c r="H908" s="114">
        <v>370932998</v>
      </c>
      <c r="I908" s="113">
        <f t="shared" si="30"/>
        <v>218179990</v>
      </c>
      <c r="J908" s="113">
        <f t="shared" si="30"/>
        <v>44399345</v>
      </c>
      <c r="K908" s="114">
        <f t="shared" si="30"/>
        <v>721523331</v>
      </c>
      <c r="L908" s="113"/>
      <c r="M908" s="113">
        <f>SUM(M7:M906)</f>
        <v>43245007</v>
      </c>
      <c r="N908" s="113">
        <f>SUM(N7:N906)</f>
        <v>0</v>
      </c>
      <c r="O908" s="113">
        <f>SUM(O7:O906)</f>
        <v>44399369</v>
      </c>
      <c r="P908" s="114">
        <f>SUM(P7:P906)</f>
        <v>87644376</v>
      </c>
      <c r="Q908" s="113"/>
      <c r="R908" s="113">
        <f>SUM(R7:R906)</f>
        <v>514844016</v>
      </c>
      <c r="S908" s="113">
        <f>SUM(S7:S906)</f>
        <v>36</v>
      </c>
      <c r="T908" s="113">
        <f>SUM(T7:T906)</f>
        <v>514844052</v>
      </c>
    </row>
    <row r="909" spans="1:20" s="115" customFormat="1">
      <c r="A909" s="110"/>
      <c r="B909" s="63"/>
      <c r="C909" s="111"/>
      <c r="D909" s="111"/>
      <c r="E909" s="112"/>
      <c r="F909" s="112"/>
      <c r="G909" s="113"/>
      <c r="H909" s="114"/>
      <c r="I909" s="113"/>
      <c r="J909" s="113"/>
      <c r="K909" s="114"/>
      <c r="L909" s="113"/>
      <c r="M909" s="113"/>
      <c r="N909" s="113"/>
      <c r="O909" s="113"/>
      <c r="P909" s="114"/>
      <c r="Q909" s="113"/>
      <c r="R909" s="113"/>
      <c r="S909" s="113"/>
      <c r="T909" s="113"/>
    </row>
    <row r="910" spans="1:20" s="115" customFormat="1">
      <c r="A910" s="110"/>
      <c r="B910" s="63"/>
      <c r="C910" s="111"/>
      <c r="D910" s="111"/>
      <c r="E910" s="112"/>
      <c r="F910" s="112"/>
      <c r="G910" s="113"/>
      <c r="H910" s="114"/>
      <c r="I910" s="113"/>
      <c r="J910" s="113"/>
      <c r="K910" s="114"/>
      <c r="L910" s="113"/>
      <c r="M910" s="113"/>
      <c r="N910" s="113"/>
      <c r="O910" s="113"/>
      <c r="P910" s="114"/>
      <c r="Q910" s="113"/>
      <c r="R910" s="113"/>
      <c r="S910" s="113"/>
      <c r="T910" s="113"/>
    </row>
    <row r="911" spans="1:20">
      <c r="B911" s="4" t="s">
        <v>1355</v>
      </c>
      <c r="C911" s="8" t="s">
        <v>1356</v>
      </c>
    </row>
    <row r="912" spans="1:20">
      <c r="B912" s="167" t="s">
        <v>1161</v>
      </c>
      <c r="C912" s="54">
        <v>96331</v>
      </c>
    </row>
    <row r="913" spans="2:3">
      <c r="B913" s="167" t="s">
        <v>1111</v>
      </c>
      <c r="C913" s="54">
        <v>94611</v>
      </c>
    </row>
    <row r="914" spans="2:3">
      <c r="B914" s="167" t="s">
        <v>331</v>
      </c>
      <c r="C914" s="54">
        <v>93402</v>
      </c>
    </row>
    <row r="915" spans="2:3">
      <c r="B915" s="167" t="s">
        <v>942</v>
      </c>
      <c r="C915" s="54">
        <v>90151</v>
      </c>
    </row>
    <row r="916" spans="2:3">
      <c r="B916" s="167" t="s">
        <v>2351</v>
      </c>
      <c r="C916" s="54">
        <v>94109</v>
      </c>
    </row>
    <row r="917" spans="2:3">
      <c r="B917" s="167" t="s">
        <v>36</v>
      </c>
      <c r="C917" s="54">
        <v>90101</v>
      </c>
    </row>
    <row r="918" spans="2:3">
      <c r="B918" s="167" t="s">
        <v>2300</v>
      </c>
      <c r="C918" s="54">
        <v>90117</v>
      </c>
    </row>
    <row r="919" spans="2:3">
      <c r="B919" s="167" t="s">
        <v>1333</v>
      </c>
      <c r="C919" s="54">
        <v>98411</v>
      </c>
    </row>
    <row r="920" spans="2:3">
      <c r="B920" s="167" t="s">
        <v>2482</v>
      </c>
      <c r="C920" s="54">
        <v>98417</v>
      </c>
    </row>
    <row r="921" spans="2:3">
      <c r="B921" s="167" t="s">
        <v>632</v>
      </c>
      <c r="C921" s="54">
        <v>97008</v>
      </c>
    </row>
    <row r="922" spans="2:3">
      <c r="B922" s="167" t="s">
        <v>633</v>
      </c>
      <c r="C922" s="54">
        <v>97010</v>
      </c>
    </row>
    <row r="923" spans="2:3">
      <c r="B923" s="167" t="s">
        <v>2301</v>
      </c>
      <c r="C923" s="54">
        <v>90096</v>
      </c>
    </row>
    <row r="924" spans="2:3">
      <c r="B924" s="167" t="s">
        <v>83</v>
      </c>
      <c r="C924" s="54">
        <v>90805</v>
      </c>
    </row>
    <row r="925" spans="2:3">
      <c r="B925" s="167" t="s">
        <v>2352</v>
      </c>
      <c r="C925" s="54">
        <v>92109</v>
      </c>
    </row>
    <row r="926" spans="2:3">
      <c r="B926" s="167" t="s">
        <v>44</v>
      </c>
      <c r="C926" s="54">
        <v>90201</v>
      </c>
    </row>
    <row r="927" spans="2:3">
      <c r="B927" s="167" t="s">
        <v>2353</v>
      </c>
      <c r="C927" s="54">
        <v>90206</v>
      </c>
    </row>
    <row r="928" spans="2:3">
      <c r="B928" s="167" t="s">
        <v>2354</v>
      </c>
      <c r="C928" s="54">
        <v>90203</v>
      </c>
    </row>
    <row r="929" spans="2:3">
      <c r="B929" s="167" t="s">
        <v>2355</v>
      </c>
      <c r="C929" s="54">
        <v>90205</v>
      </c>
    </row>
    <row r="930" spans="2:3">
      <c r="B930" s="167" t="s">
        <v>49</v>
      </c>
      <c r="C930" s="54">
        <v>90301</v>
      </c>
    </row>
    <row r="931" spans="2:3">
      <c r="B931" s="167" t="s">
        <v>2356</v>
      </c>
      <c r="C931" s="54">
        <v>93209</v>
      </c>
    </row>
    <row r="932" spans="2:3">
      <c r="B932" s="167" t="s">
        <v>1027</v>
      </c>
      <c r="C932" s="54">
        <v>92021</v>
      </c>
    </row>
    <row r="933" spans="2:3">
      <c r="B933" s="167" t="s">
        <v>1104</v>
      </c>
      <c r="C933" s="54">
        <v>94351</v>
      </c>
    </row>
    <row r="934" spans="2:3">
      <c r="B934" s="167" t="s">
        <v>2583</v>
      </c>
      <c r="C934" s="54">
        <v>94347</v>
      </c>
    </row>
    <row r="935" spans="2:3">
      <c r="B935" s="167" t="s">
        <v>52</v>
      </c>
      <c r="C935" s="54">
        <v>90401</v>
      </c>
    </row>
    <row r="936" spans="2:3">
      <c r="B936" s="167" t="s">
        <v>961</v>
      </c>
      <c r="C936" s="54">
        <v>90451</v>
      </c>
    </row>
    <row r="937" spans="2:3">
      <c r="B937" s="167" t="s">
        <v>1260</v>
      </c>
      <c r="C937" s="54">
        <v>99271</v>
      </c>
    </row>
    <row r="938" spans="2:3">
      <c r="B938" s="167" t="s">
        <v>2357</v>
      </c>
      <c r="C938" s="54">
        <v>90099</v>
      </c>
    </row>
    <row r="939" spans="2:3">
      <c r="B939" s="167" t="s">
        <v>872</v>
      </c>
      <c r="C939" s="54">
        <v>99705</v>
      </c>
    </row>
    <row r="940" spans="2:3">
      <c r="B940" s="167" t="s">
        <v>1324</v>
      </c>
      <c r="C940" s="54">
        <v>97651</v>
      </c>
    </row>
    <row r="941" spans="2:3">
      <c r="B941" s="167" t="s">
        <v>1118</v>
      </c>
      <c r="C941" s="54">
        <v>95106</v>
      </c>
    </row>
    <row r="942" spans="2:3">
      <c r="B942" s="167" t="s">
        <v>61</v>
      </c>
      <c r="C942" s="54">
        <v>90501</v>
      </c>
    </row>
    <row r="943" spans="2:3">
      <c r="B943" s="167" t="s">
        <v>1322</v>
      </c>
      <c r="C943" s="54">
        <v>97611</v>
      </c>
    </row>
    <row r="944" spans="2:3">
      <c r="B944" s="167" t="s">
        <v>2483</v>
      </c>
      <c r="C944" s="54">
        <v>97607</v>
      </c>
    </row>
    <row r="945" spans="2:3">
      <c r="B945" s="167" t="s">
        <v>2358</v>
      </c>
      <c r="C945" s="54">
        <v>97613</v>
      </c>
    </row>
    <row r="946" spans="2:3">
      <c r="B946" s="167" t="s">
        <v>1289</v>
      </c>
      <c r="C946" s="54">
        <v>91121</v>
      </c>
    </row>
    <row r="947" spans="2:3">
      <c r="B947" s="167" t="s">
        <v>2484</v>
      </c>
      <c r="C947" s="54">
        <v>91127</v>
      </c>
    </row>
    <row r="948" spans="2:3">
      <c r="B948" s="167" t="s">
        <v>135</v>
      </c>
      <c r="C948" s="54">
        <v>91128</v>
      </c>
    </row>
    <row r="949" spans="2:3">
      <c r="B949" s="167" t="s">
        <v>1015</v>
      </c>
      <c r="C949" s="54">
        <v>91681</v>
      </c>
    </row>
    <row r="950" spans="2:3">
      <c r="B950" s="167" t="s">
        <v>974</v>
      </c>
      <c r="C950" s="54">
        <v>90811</v>
      </c>
    </row>
    <row r="951" spans="2:3">
      <c r="B951" s="167" t="s">
        <v>970</v>
      </c>
      <c r="C951" s="54">
        <v>90721</v>
      </c>
    </row>
    <row r="952" spans="2:3">
      <c r="B952" s="167" t="s">
        <v>1232</v>
      </c>
      <c r="C952" s="54">
        <v>98271</v>
      </c>
    </row>
    <row r="953" spans="2:3">
      <c r="B953" s="167" t="s">
        <v>65</v>
      </c>
      <c r="C953" s="54">
        <v>90601</v>
      </c>
    </row>
    <row r="954" spans="2:3">
      <c r="B954" s="167" t="s">
        <v>2359</v>
      </c>
      <c r="C954" s="54">
        <v>90602</v>
      </c>
    </row>
    <row r="955" spans="2:3">
      <c r="B955" s="167" t="s">
        <v>2360</v>
      </c>
      <c r="C955" s="54">
        <v>90605</v>
      </c>
    </row>
    <row r="956" spans="2:3">
      <c r="B956" s="167" t="s">
        <v>1198</v>
      </c>
      <c r="C956" s="54">
        <v>97461</v>
      </c>
    </row>
    <row r="957" spans="2:3">
      <c r="B957" s="167" t="s">
        <v>665</v>
      </c>
      <c r="C957" s="54">
        <v>97463</v>
      </c>
    </row>
    <row r="958" spans="2:3">
      <c r="B958" s="167" t="s">
        <v>2361</v>
      </c>
      <c r="C958" s="54">
        <v>90705</v>
      </c>
    </row>
    <row r="959" spans="2:3">
      <c r="B959" s="167" t="s">
        <v>1237</v>
      </c>
      <c r="C959" s="54">
        <v>98451</v>
      </c>
    </row>
    <row r="960" spans="2:3">
      <c r="B960" s="167" t="s">
        <v>1169</v>
      </c>
      <c r="C960" s="54">
        <v>96451</v>
      </c>
    </row>
    <row r="961" spans="2:3">
      <c r="B961" s="167" t="s">
        <v>1151</v>
      </c>
      <c r="C961" s="54">
        <v>96121</v>
      </c>
    </row>
    <row r="962" spans="2:3">
      <c r="B962" s="167" t="s">
        <v>943</v>
      </c>
      <c r="C962" s="54">
        <v>91091</v>
      </c>
    </row>
    <row r="963" spans="2:3">
      <c r="B963" s="167" t="s">
        <v>965</v>
      </c>
      <c r="C963" s="54">
        <v>90611</v>
      </c>
    </row>
    <row r="964" spans="2:3">
      <c r="B964" s="167" t="s">
        <v>627</v>
      </c>
      <c r="C964" s="54">
        <v>96918</v>
      </c>
    </row>
    <row r="965" spans="2:3">
      <c r="B965" s="167" t="s">
        <v>1189</v>
      </c>
      <c r="C965" s="54">
        <v>96911</v>
      </c>
    </row>
    <row r="966" spans="2:3">
      <c r="B966" s="167" t="s">
        <v>824</v>
      </c>
      <c r="C966" s="54">
        <v>99208</v>
      </c>
    </row>
    <row r="967" spans="2:3">
      <c r="B967" s="167" t="s">
        <v>1010</v>
      </c>
      <c r="C967" s="54">
        <v>91631</v>
      </c>
    </row>
    <row r="968" spans="2:3">
      <c r="B968" s="167" t="s">
        <v>73</v>
      </c>
      <c r="C968" s="54">
        <v>90701</v>
      </c>
    </row>
    <row r="969" spans="2:3">
      <c r="B969" s="167" t="s">
        <v>2485</v>
      </c>
      <c r="C969" s="54">
        <v>90704</v>
      </c>
    </row>
    <row r="970" spans="2:3">
      <c r="B970" s="167" t="s">
        <v>2362</v>
      </c>
      <c r="C970" s="54">
        <v>91633</v>
      </c>
    </row>
    <row r="971" spans="2:3">
      <c r="B971" s="167" t="s">
        <v>967</v>
      </c>
      <c r="C971" s="54">
        <v>90631</v>
      </c>
    </row>
    <row r="972" spans="2:3">
      <c r="B972" s="167" t="s">
        <v>971</v>
      </c>
      <c r="C972" s="54">
        <v>90731</v>
      </c>
    </row>
    <row r="973" spans="2:3">
      <c r="B973" s="167" t="s">
        <v>1303</v>
      </c>
      <c r="C973" s="54">
        <v>93621</v>
      </c>
    </row>
    <row r="974" spans="2:3">
      <c r="B974" s="167" t="s">
        <v>357</v>
      </c>
      <c r="C974" s="54">
        <v>93623</v>
      </c>
    </row>
    <row r="975" spans="2:3">
      <c r="B975" s="167" t="s">
        <v>984</v>
      </c>
      <c r="C975" s="54">
        <v>91020</v>
      </c>
    </row>
    <row r="976" spans="2:3">
      <c r="B976" s="167" t="s">
        <v>1123</v>
      </c>
      <c r="C976" s="54">
        <v>95141</v>
      </c>
    </row>
    <row r="977" spans="2:3">
      <c r="B977" s="167" t="s">
        <v>475</v>
      </c>
      <c r="C977" s="54">
        <v>95103</v>
      </c>
    </row>
    <row r="978" spans="2:3">
      <c r="B978" s="167" t="s">
        <v>1056</v>
      </c>
      <c r="C978" s="54">
        <v>93021</v>
      </c>
    </row>
    <row r="979" spans="2:3">
      <c r="B979" s="167" t="s">
        <v>81</v>
      </c>
      <c r="C979" s="54">
        <v>90801</v>
      </c>
    </row>
    <row r="980" spans="2:3">
      <c r="B980" s="167" t="s">
        <v>2486</v>
      </c>
      <c r="C980" s="54">
        <v>90804</v>
      </c>
    </row>
    <row r="981" spans="2:3">
      <c r="B981" s="167" t="s">
        <v>84</v>
      </c>
      <c r="C981" s="54">
        <v>90808</v>
      </c>
    </row>
    <row r="982" spans="2:3">
      <c r="B982" s="167" t="s">
        <v>1305</v>
      </c>
      <c r="C982" s="54">
        <v>93671</v>
      </c>
    </row>
    <row r="983" spans="2:3">
      <c r="B983" s="167" t="s">
        <v>1348</v>
      </c>
      <c r="C983" s="54">
        <v>93677</v>
      </c>
    </row>
    <row r="984" spans="2:3">
      <c r="B984" s="167" t="s">
        <v>1196</v>
      </c>
      <c r="C984" s="54">
        <v>97441</v>
      </c>
    </row>
    <row r="985" spans="2:3">
      <c r="B985" s="167" t="s">
        <v>1058</v>
      </c>
      <c r="C985" s="54">
        <v>93111</v>
      </c>
    </row>
    <row r="986" spans="2:3">
      <c r="B986" s="167" t="s">
        <v>991</v>
      </c>
      <c r="C986" s="54">
        <v>91111</v>
      </c>
    </row>
    <row r="987" spans="2:3">
      <c r="B987" s="167" t="s">
        <v>1154</v>
      </c>
      <c r="C987" s="54">
        <v>96231</v>
      </c>
    </row>
    <row r="988" spans="2:3">
      <c r="B988" s="167" t="s">
        <v>1277</v>
      </c>
      <c r="C988" s="54">
        <v>99831</v>
      </c>
    </row>
    <row r="989" spans="2:3">
      <c r="B989" s="167" t="s">
        <v>993</v>
      </c>
      <c r="C989" s="54">
        <v>91151</v>
      </c>
    </row>
    <row r="990" spans="2:3">
      <c r="B990" s="167" t="s">
        <v>2487</v>
      </c>
      <c r="C990" s="54">
        <v>91154</v>
      </c>
    </row>
    <row r="991" spans="2:3">
      <c r="B991" s="167" t="s">
        <v>89</v>
      </c>
      <c r="C991" s="54">
        <v>90901</v>
      </c>
    </row>
    <row r="992" spans="2:3">
      <c r="B992" s="167" t="s">
        <v>980</v>
      </c>
      <c r="C992" s="54">
        <v>90941</v>
      </c>
    </row>
    <row r="993" spans="2:3">
      <c r="B993" s="167" t="s">
        <v>1269</v>
      </c>
      <c r="C993" s="54">
        <v>99521</v>
      </c>
    </row>
    <row r="994" spans="2:3">
      <c r="B994" s="167" t="s">
        <v>2488</v>
      </c>
      <c r="C994" s="54">
        <v>99527</v>
      </c>
    </row>
    <row r="995" spans="2:3">
      <c r="B995" s="167" t="s">
        <v>853</v>
      </c>
      <c r="C995" s="54">
        <v>99508</v>
      </c>
    </row>
    <row r="996" spans="2:3">
      <c r="B996" s="167" t="s">
        <v>442</v>
      </c>
      <c r="C996" s="54">
        <v>94532</v>
      </c>
    </row>
    <row r="997" spans="2:3">
      <c r="B997" s="167" t="s">
        <v>2611</v>
      </c>
      <c r="C997" s="54">
        <v>91071</v>
      </c>
    </row>
    <row r="998" spans="2:3">
      <c r="B998" s="167" t="s">
        <v>2490</v>
      </c>
      <c r="C998" s="54">
        <v>91077</v>
      </c>
    </row>
    <row r="999" spans="2:3">
      <c r="B999" s="167" t="s">
        <v>1029</v>
      </c>
      <c r="C999" s="54">
        <v>92331</v>
      </c>
    </row>
    <row r="1000" spans="2:3">
      <c r="B1000" s="167" t="s">
        <v>1343</v>
      </c>
      <c r="C1000" s="54">
        <v>92414</v>
      </c>
    </row>
    <row r="1001" spans="2:3">
      <c r="B1001" s="167" t="s">
        <v>1268</v>
      </c>
      <c r="C1001" s="54">
        <v>99511</v>
      </c>
    </row>
    <row r="1002" spans="2:3">
      <c r="B1002" s="167" t="s">
        <v>1283</v>
      </c>
      <c r="C1002" s="54">
        <v>99941</v>
      </c>
    </row>
    <row r="1003" spans="2:3">
      <c r="B1003" s="167" t="s">
        <v>579</v>
      </c>
      <c r="C1003" s="54">
        <v>96405</v>
      </c>
    </row>
    <row r="1004" spans="2:3">
      <c r="B1004" s="167" t="s">
        <v>1335</v>
      </c>
      <c r="C1004" s="54">
        <v>98811</v>
      </c>
    </row>
    <row r="1005" spans="2:3">
      <c r="B1005" s="167" t="s">
        <v>2489</v>
      </c>
      <c r="C1005" s="54">
        <v>98817</v>
      </c>
    </row>
    <row r="1006" spans="2:3">
      <c r="B1006" s="167" t="s">
        <v>1039</v>
      </c>
      <c r="C1006" s="54">
        <v>92561</v>
      </c>
    </row>
    <row r="1007" spans="2:3">
      <c r="B1007" s="167" t="s">
        <v>738</v>
      </c>
      <c r="C1007" s="54">
        <v>98102</v>
      </c>
    </row>
    <row r="1008" spans="2:3">
      <c r="B1008" s="167" t="s">
        <v>1130</v>
      </c>
      <c r="C1008" s="54">
        <v>95321</v>
      </c>
    </row>
    <row r="1009" spans="2:3">
      <c r="B1009" s="167" t="s">
        <v>1021</v>
      </c>
      <c r="C1009" s="54">
        <v>91861</v>
      </c>
    </row>
    <row r="1010" spans="2:3">
      <c r="B1010" s="167" t="s">
        <v>1032</v>
      </c>
      <c r="C1010" s="54">
        <v>92421</v>
      </c>
    </row>
    <row r="1011" spans="2:3">
      <c r="B1011" s="167" t="s">
        <v>2363</v>
      </c>
      <c r="C1011" s="54">
        <v>91006</v>
      </c>
    </row>
    <row r="1012" spans="2:3">
      <c r="B1012" s="167" t="s">
        <v>2364</v>
      </c>
      <c r="C1012" s="54">
        <v>91003</v>
      </c>
    </row>
    <row r="1013" spans="2:3">
      <c r="B1013" s="167" t="s">
        <v>96</v>
      </c>
      <c r="C1013" s="54">
        <v>91001</v>
      </c>
    </row>
    <row r="1014" spans="2:3">
      <c r="B1014" s="167" t="s">
        <v>2491</v>
      </c>
      <c r="C1014" s="54">
        <v>91004</v>
      </c>
    </row>
    <row r="1015" spans="2:3">
      <c r="B1015" s="167" t="s">
        <v>2365</v>
      </c>
      <c r="C1015" s="54">
        <v>91009</v>
      </c>
    </row>
    <row r="1016" spans="2:3">
      <c r="B1016" s="167" t="s">
        <v>2366</v>
      </c>
      <c r="C1016" s="54">
        <v>91042</v>
      </c>
    </row>
    <row r="1017" spans="2:3">
      <c r="B1017" s="167" t="s">
        <v>1244</v>
      </c>
      <c r="C1017" s="54">
        <v>98711</v>
      </c>
    </row>
    <row r="1018" spans="2:3">
      <c r="B1018" s="167" t="s">
        <v>2492</v>
      </c>
      <c r="C1018" s="54">
        <v>98717</v>
      </c>
    </row>
    <row r="1019" spans="2:3">
      <c r="B1019" s="167" t="s">
        <v>124</v>
      </c>
      <c r="C1019" s="54">
        <v>91101</v>
      </c>
    </row>
    <row r="1020" spans="2:3">
      <c r="B1020" s="167" t="s">
        <v>1077</v>
      </c>
      <c r="C1020" s="54">
        <v>93531</v>
      </c>
    </row>
    <row r="1021" spans="2:3">
      <c r="B1021" s="167" t="s">
        <v>2481</v>
      </c>
      <c r="C1021" s="54">
        <v>93537</v>
      </c>
    </row>
    <row r="1022" spans="2:3">
      <c r="B1022" s="167" t="s">
        <v>1191</v>
      </c>
      <c r="C1022" s="54">
        <v>97111</v>
      </c>
    </row>
    <row r="1023" spans="2:3">
      <c r="B1023" s="167" t="s">
        <v>2367</v>
      </c>
      <c r="C1023" s="54">
        <v>91206</v>
      </c>
    </row>
    <row r="1024" spans="2:3">
      <c r="B1024" s="167" t="s">
        <v>2368</v>
      </c>
      <c r="C1024" s="54">
        <v>91203</v>
      </c>
    </row>
    <row r="1025" spans="2:3">
      <c r="B1025" s="167" t="s">
        <v>143</v>
      </c>
      <c r="C1025" s="54">
        <v>91201</v>
      </c>
    </row>
    <row r="1026" spans="2:3">
      <c r="B1026" s="167" t="s">
        <v>2369</v>
      </c>
      <c r="C1026" s="54">
        <v>91208</v>
      </c>
    </row>
    <row r="1027" spans="2:3">
      <c r="B1027" s="167" t="s">
        <v>2370</v>
      </c>
      <c r="C1027" s="54">
        <v>91202</v>
      </c>
    </row>
    <row r="1028" spans="2:3">
      <c r="B1028" s="167" t="s">
        <v>1284</v>
      </c>
      <c r="C1028" s="54">
        <v>90111</v>
      </c>
    </row>
    <row r="1029" spans="2:3">
      <c r="B1029" s="167" t="s">
        <v>952</v>
      </c>
      <c r="C1029" s="54">
        <v>90011</v>
      </c>
    </row>
    <row r="1030" spans="2:3">
      <c r="B1030" s="167" t="s">
        <v>1087</v>
      </c>
      <c r="C1030" s="54">
        <v>93931</v>
      </c>
    </row>
    <row r="1031" spans="2:3">
      <c r="B1031" s="167" t="s">
        <v>2371</v>
      </c>
      <c r="C1031" s="59">
        <v>91306</v>
      </c>
    </row>
    <row r="1032" spans="2:3">
      <c r="B1032" s="167" t="s">
        <v>157</v>
      </c>
      <c r="C1032" s="54">
        <v>91301</v>
      </c>
    </row>
    <row r="1033" spans="2:3">
      <c r="B1033" s="167" t="s">
        <v>2372</v>
      </c>
      <c r="C1033" s="59">
        <v>91308</v>
      </c>
    </row>
    <row r="1034" spans="2:3">
      <c r="B1034" s="167" t="s">
        <v>2457</v>
      </c>
      <c r="C1034" s="54">
        <v>91461</v>
      </c>
    </row>
    <row r="1035" spans="2:3">
      <c r="B1035" s="167" t="s">
        <v>982</v>
      </c>
      <c r="C1035" s="54">
        <v>91010</v>
      </c>
    </row>
    <row r="1036" spans="2:3">
      <c r="B1036" s="167" t="s">
        <v>2493</v>
      </c>
      <c r="C1036" s="54">
        <v>91007</v>
      </c>
    </row>
    <row r="1037" spans="2:3">
      <c r="B1037" s="167" t="s">
        <v>167</v>
      </c>
      <c r="C1037" s="54">
        <v>91401</v>
      </c>
    </row>
    <row r="1038" spans="2:3">
      <c r="B1038" s="167" t="s">
        <v>1064</v>
      </c>
      <c r="C1038" s="54">
        <v>93171</v>
      </c>
    </row>
    <row r="1039" spans="2:3">
      <c r="B1039" s="167" t="s">
        <v>177</v>
      </c>
      <c r="C1039" s="54">
        <v>91501</v>
      </c>
    </row>
    <row r="1040" spans="2:3">
      <c r="B1040" s="167" t="s">
        <v>2494</v>
      </c>
      <c r="C1040" s="54">
        <v>91504</v>
      </c>
    </row>
    <row r="1041" spans="2:3">
      <c r="B1041" s="167" t="s">
        <v>1159</v>
      </c>
      <c r="C1041" s="54">
        <v>96312</v>
      </c>
    </row>
    <row r="1042" spans="2:3">
      <c r="B1042" s="167" t="s">
        <v>1155</v>
      </c>
      <c r="C1042" s="54">
        <v>96241</v>
      </c>
    </row>
    <row r="1043" spans="2:3">
      <c r="B1043" s="167" t="s">
        <v>1107</v>
      </c>
      <c r="C1043" s="54">
        <v>94431</v>
      </c>
    </row>
    <row r="1044" spans="2:3">
      <c r="B1044" s="167" t="s">
        <v>2495</v>
      </c>
      <c r="C1044" s="54">
        <v>94437</v>
      </c>
    </row>
    <row r="1045" spans="2:3">
      <c r="B1045" s="167" t="s">
        <v>1014</v>
      </c>
      <c r="C1045" s="54">
        <v>91671</v>
      </c>
    </row>
    <row r="1046" spans="2:3">
      <c r="B1046" s="167" t="s">
        <v>101</v>
      </c>
      <c r="C1046" s="54">
        <v>91008</v>
      </c>
    </row>
    <row r="1047" spans="2:3">
      <c r="B1047" s="167" t="s">
        <v>593</v>
      </c>
      <c r="C1047" s="54">
        <v>96512</v>
      </c>
    </row>
    <row r="1048" spans="2:3">
      <c r="B1048" s="167" t="s">
        <v>590</v>
      </c>
      <c r="C1048" s="54">
        <v>96507</v>
      </c>
    </row>
    <row r="1049" spans="2:3">
      <c r="B1049" s="167" t="s">
        <v>1172</v>
      </c>
      <c r="C1049" s="54">
        <v>96521</v>
      </c>
    </row>
    <row r="1050" spans="2:3">
      <c r="B1050" s="167" t="s">
        <v>986</v>
      </c>
      <c r="C1050" s="54">
        <v>91024</v>
      </c>
    </row>
    <row r="1051" spans="2:3">
      <c r="B1051" s="167" t="s">
        <v>1187</v>
      </c>
      <c r="C1051" s="54">
        <v>96821</v>
      </c>
    </row>
    <row r="1052" spans="2:3">
      <c r="B1052" s="167" t="s">
        <v>179</v>
      </c>
      <c r="C1052" s="54">
        <v>91601</v>
      </c>
    </row>
    <row r="1053" spans="2:3">
      <c r="B1053" s="167" t="s">
        <v>2496</v>
      </c>
      <c r="C1053" s="54">
        <v>91604</v>
      </c>
    </row>
    <row r="1054" spans="2:3">
      <c r="B1054" s="167" t="s">
        <v>1164</v>
      </c>
      <c r="C1054" s="54">
        <v>96391</v>
      </c>
    </row>
    <row r="1055" spans="2:3">
      <c r="B1055" s="167" t="s">
        <v>1255</v>
      </c>
      <c r="C1055" s="54">
        <v>99221</v>
      </c>
    </row>
    <row r="1056" spans="2:3">
      <c r="B1056" s="167" t="s">
        <v>988</v>
      </c>
      <c r="C1056" s="54">
        <v>91051</v>
      </c>
    </row>
    <row r="1057" spans="2:3">
      <c r="B1057" s="167" t="s">
        <v>2373</v>
      </c>
      <c r="C1057" s="54">
        <v>91706</v>
      </c>
    </row>
    <row r="1058" spans="2:3">
      <c r="B1058" s="167" t="s">
        <v>192</v>
      </c>
      <c r="C1058" s="54">
        <v>91701</v>
      </c>
    </row>
    <row r="1059" spans="2:3">
      <c r="B1059" s="167" t="s">
        <v>2497</v>
      </c>
      <c r="C1059" s="54">
        <v>91704</v>
      </c>
    </row>
    <row r="1060" spans="2:3">
      <c r="B1060" s="167" t="s">
        <v>1023</v>
      </c>
      <c r="C1060" s="54">
        <v>91881</v>
      </c>
    </row>
    <row r="1061" spans="2:3">
      <c r="B1061" s="167" t="s">
        <v>195</v>
      </c>
      <c r="C1061" s="54">
        <v>91801</v>
      </c>
    </row>
    <row r="1062" spans="2:3">
      <c r="B1062" s="167" t="s">
        <v>2498</v>
      </c>
      <c r="C1062" s="54">
        <v>91804</v>
      </c>
    </row>
    <row r="1063" spans="2:3">
      <c r="B1063" s="167" t="s">
        <v>1016</v>
      </c>
      <c r="C1063" s="54">
        <v>91691</v>
      </c>
    </row>
    <row r="1064" spans="2:3">
      <c r="B1064" s="167" t="s">
        <v>2374</v>
      </c>
      <c r="C1064" s="54">
        <v>99222</v>
      </c>
    </row>
    <row r="1065" spans="2:3">
      <c r="B1065" s="167" t="s">
        <v>2306</v>
      </c>
      <c r="C1065" s="54">
        <v>93408</v>
      </c>
    </row>
    <row r="1066" spans="2:3">
      <c r="B1066" s="167" t="s">
        <v>541</v>
      </c>
      <c r="C1066" s="54">
        <v>96009</v>
      </c>
    </row>
    <row r="1067" spans="2:3">
      <c r="B1067" s="167" t="s">
        <v>1034</v>
      </c>
      <c r="C1067" s="54">
        <v>92441</v>
      </c>
    </row>
    <row r="1068" spans="2:3">
      <c r="B1068" s="167" t="s">
        <v>1186</v>
      </c>
      <c r="C1068" s="54">
        <v>96811</v>
      </c>
    </row>
    <row r="1069" spans="2:3">
      <c r="B1069" s="167" t="s">
        <v>1316</v>
      </c>
      <c r="C1069" s="54">
        <v>96011</v>
      </c>
    </row>
    <row r="1070" spans="2:3">
      <c r="B1070" s="167" t="s">
        <v>2375</v>
      </c>
      <c r="C1070" s="54">
        <v>96018</v>
      </c>
    </row>
    <row r="1071" spans="2:3">
      <c r="B1071" s="167" t="s">
        <v>2376</v>
      </c>
      <c r="C1071" s="54">
        <v>96003</v>
      </c>
    </row>
    <row r="1072" spans="2:3">
      <c r="B1072" s="167" t="s">
        <v>2377</v>
      </c>
      <c r="C1072" s="54">
        <v>96005</v>
      </c>
    </row>
    <row r="1073" spans="2:3">
      <c r="B1073" s="167" t="s">
        <v>2307</v>
      </c>
      <c r="C1073" s="54">
        <v>96012</v>
      </c>
    </row>
    <row r="1074" spans="2:3">
      <c r="B1074" s="167" t="s">
        <v>2378</v>
      </c>
      <c r="C1074" s="54">
        <v>91903</v>
      </c>
    </row>
    <row r="1075" spans="2:3">
      <c r="B1075" s="167" t="s">
        <v>209</v>
      </c>
      <c r="C1075" s="54">
        <v>91901</v>
      </c>
    </row>
    <row r="1076" spans="2:3">
      <c r="B1076" s="167" t="s">
        <v>2499</v>
      </c>
      <c r="C1076" s="54">
        <v>91904</v>
      </c>
    </row>
    <row r="1077" spans="2:3">
      <c r="B1077" s="167" t="s">
        <v>216</v>
      </c>
      <c r="C1077" s="54">
        <v>92001</v>
      </c>
    </row>
    <row r="1078" spans="2:3">
      <c r="B1078" s="167" t="s">
        <v>1304</v>
      </c>
      <c r="C1078" s="54">
        <v>93641</v>
      </c>
    </row>
    <row r="1079" spans="2:3">
      <c r="B1079" s="167" t="s">
        <v>2500</v>
      </c>
      <c r="C1079" s="54">
        <v>93647</v>
      </c>
    </row>
    <row r="1080" spans="2:3">
      <c r="B1080" s="167" t="s">
        <v>1217</v>
      </c>
      <c r="C1080" s="54">
        <v>98041</v>
      </c>
    </row>
    <row r="1081" spans="2:3">
      <c r="B1081" s="167" t="s">
        <v>2379</v>
      </c>
      <c r="C1081" s="54">
        <v>96612</v>
      </c>
    </row>
    <row r="1082" spans="2:3">
      <c r="B1082" s="167" t="s">
        <v>973</v>
      </c>
      <c r="C1082" s="54">
        <v>90751</v>
      </c>
    </row>
    <row r="1083" spans="2:3">
      <c r="B1083" s="167" t="s">
        <v>221</v>
      </c>
      <c r="C1083" s="54">
        <v>92101</v>
      </c>
    </row>
    <row r="1084" spans="2:3">
      <c r="B1084" s="167" t="s">
        <v>2380</v>
      </c>
      <c r="C1084" s="54">
        <v>92104</v>
      </c>
    </row>
    <row r="1085" spans="2:3">
      <c r="B1085" s="167" t="s">
        <v>1018</v>
      </c>
      <c r="C1085" s="54">
        <v>91821</v>
      </c>
    </row>
    <row r="1086" spans="2:3">
      <c r="B1086" s="167" t="s">
        <v>979</v>
      </c>
      <c r="C1086" s="54">
        <v>90931</v>
      </c>
    </row>
    <row r="1087" spans="2:3">
      <c r="B1087" s="167" t="s">
        <v>226</v>
      </c>
      <c r="C1087" s="54">
        <v>92201</v>
      </c>
    </row>
    <row r="1088" spans="2:3">
      <c r="B1088" s="167" t="s">
        <v>1122</v>
      </c>
      <c r="C1088" s="54">
        <v>95131</v>
      </c>
    </row>
    <row r="1089" spans="2:3">
      <c r="B1089" s="167" t="s">
        <v>1346</v>
      </c>
      <c r="C1089" s="54">
        <v>93441</v>
      </c>
    </row>
    <row r="1090" spans="2:3">
      <c r="B1090" s="167" t="s">
        <v>338</v>
      </c>
      <c r="C1090" s="54">
        <v>93442</v>
      </c>
    </row>
    <row r="1091" spans="2:3">
      <c r="B1091" s="167" t="s">
        <v>1222</v>
      </c>
      <c r="C1091" s="54">
        <v>98091</v>
      </c>
    </row>
    <row r="1092" spans="2:3">
      <c r="B1092" s="167" t="s">
        <v>227</v>
      </c>
      <c r="C1092" s="54">
        <v>92301</v>
      </c>
    </row>
    <row r="1093" spans="2:3">
      <c r="B1093" s="167" t="s">
        <v>2381</v>
      </c>
      <c r="C1093" s="54">
        <v>92302</v>
      </c>
    </row>
    <row r="1094" spans="2:3">
      <c r="B1094" s="167" t="s">
        <v>1331</v>
      </c>
      <c r="C1094" s="54">
        <v>98211</v>
      </c>
    </row>
    <row r="1095" spans="2:3">
      <c r="B1095" s="167" t="s">
        <v>2501</v>
      </c>
      <c r="C1095" s="54">
        <v>98218</v>
      </c>
    </row>
    <row r="1096" spans="2:3">
      <c r="B1096" s="167" t="s">
        <v>2382</v>
      </c>
      <c r="C1096" s="54">
        <v>92506</v>
      </c>
    </row>
    <row r="1097" spans="2:3">
      <c r="B1097" s="167" t="s">
        <v>2383</v>
      </c>
      <c r="C1097" s="54">
        <v>92508</v>
      </c>
    </row>
    <row r="1098" spans="2:3">
      <c r="B1098" s="167" t="s">
        <v>1103</v>
      </c>
      <c r="C1098" s="54">
        <v>94341</v>
      </c>
    </row>
    <row r="1099" spans="2:3">
      <c r="B1099" s="167" t="s">
        <v>1114</v>
      </c>
      <c r="C1099" s="54">
        <v>94641</v>
      </c>
    </row>
    <row r="1100" spans="2:3">
      <c r="B1100" s="167" t="s">
        <v>976</v>
      </c>
      <c r="C1100" s="54">
        <v>90813</v>
      </c>
    </row>
    <row r="1101" spans="2:3">
      <c r="B1101" s="167" t="s">
        <v>403</v>
      </c>
      <c r="C1101" s="54">
        <v>94168</v>
      </c>
    </row>
    <row r="1102" spans="2:3">
      <c r="B1102" s="167" t="s">
        <v>1245</v>
      </c>
      <c r="C1102" s="54">
        <v>98911</v>
      </c>
    </row>
    <row r="1103" spans="2:3">
      <c r="B1103" s="167" t="s">
        <v>1201</v>
      </c>
      <c r="C1103" s="54">
        <v>97521</v>
      </c>
    </row>
    <row r="1104" spans="2:3">
      <c r="B1104" s="167" t="s">
        <v>236</v>
      </c>
      <c r="C1104" s="54">
        <v>92401</v>
      </c>
    </row>
    <row r="1105" spans="2:3">
      <c r="B1105" s="167" t="s">
        <v>1291</v>
      </c>
      <c r="C1105" s="54">
        <v>91311</v>
      </c>
    </row>
    <row r="1106" spans="2:3">
      <c r="B1106" s="167" t="s">
        <v>2502</v>
      </c>
      <c r="C1106" s="54">
        <v>91317</v>
      </c>
    </row>
    <row r="1107" spans="2:3">
      <c r="B1107" s="167" t="s">
        <v>1000</v>
      </c>
      <c r="C1107" s="54">
        <v>91261</v>
      </c>
    </row>
    <row r="1108" spans="2:3">
      <c r="B1108" s="167" t="s">
        <v>1020</v>
      </c>
      <c r="C1108" s="54">
        <v>91851</v>
      </c>
    </row>
    <row r="1109" spans="2:3">
      <c r="B1109" s="167" t="s">
        <v>2384</v>
      </c>
      <c r="C1109" s="54">
        <v>97408</v>
      </c>
    </row>
    <row r="1110" spans="2:3">
      <c r="B1110" s="167" t="s">
        <v>1177</v>
      </c>
      <c r="C1110" s="54">
        <v>96641</v>
      </c>
    </row>
    <row r="1111" spans="2:3">
      <c r="B1111" s="167" t="s">
        <v>1057</v>
      </c>
      <c r="C1111" s="54">
        <v>93031</v>
      </c>
    </row>
    <row r="1112" spans="2:3">
      <c r="B1112" s="167" t="s">
        <v>2503</v>
      </c>
      <c r="C1112" s="54">
        <v>93027</v>
      </c>
    </row>
    <row r="1113" spans="2:3">
      <c r="B1113" s="167" t="s">
        <v>1146</v>
      </c>
      <c r="C1113" s="54">
        <v>96051</v>
      </c>
    </row>
    <row r="1114" spans="2:3">
      <c r="B1114" s="167" t="s">
        <v>2385</v>
      </c>
      <c r="C1114" s="54">
        <v>94501</v>
      </c>
    </row>
    <row r="1115" spans="2:3">
      <c r="B1115" s="167" t="s">
        <v>1040</v>
      </c>
      <c r="C1115" s="54">
        <v>92571</v>
      </c>
    </row>
    <row r="1116" spans="2:3">
      <c r="B1116" s="167" t="s">
        <v>1081</v>
      </c>
      <c r="C1116" s="54">
        <v>93631</v>
      </c>
    </row>
    <row r="1117" spans="2:3">
      <c r="B1117" s="167" t="s">
        <v>2504</v>
      </c>
      <c r="C1117" s="54">
        <v>92504</v>
      </c>
    </row>
    <row r="1118" spans="2:3">
      <c r="B1118" s="167" t="s">
        <v>247</v>
      </c>
      <c r="C1118" s="54">
        <v>92501</v>
      </c>
    </row>
    <row r="1119" spans="2:3">
      <c r="B1119" s="167" t="s">
        <v>250</v>
      </c>
      <c r="C1119" s="54">
        <v>92505</v>
      </c>
    </row>
    <row r="1120" spans="2:3">
      <c r="B1120" s="167" t="s">
        <v>1307</v>
      </c>
      <c r="C1120" s="54">
        <v>93921</v>
      </c>
    </row>
    <row r="1121" spans="2:3">
      <c r="B1121" s="167" t="s">
        <v>1267</v>
      </c>
      <c r="C1121" s="54">
        <v>99431</v>
      </c>
    </row>
    <row r="1122" spans="2:3">
      <c r="B1122" s="167" t="s">
        <v>2505</v>
      </c>
      <c r="C1122" s="54">
        <v>92604</v>
      </c>
    </row>
    <row r="1123" spans="2:3">
      <c r="B1123" s="167" t="s">
        <v>261</v>
      </c>
      <c r="C1123" s="54">
        <v>92601</v>
      </c>
    </row>
    <row r="1124" spans="2:3">
      <c r="B1124" s="167" t="s">
        <v>264</v>
      </c>
      <c r="C1124" s="54">
        <v>92608</v>
      </c>
    </row>
    <row r="1125" spans="2:3">
      <c r="B1125" s="167" t="s">
        <v>2506</v>
      </c>
      <c r="C1125" s="54">
        <v>92704</v>
      </c>
    </row>
    <row r="1126" spans="2:3">
      <c r="B1126" s="167" t="s">
        <v>275</v>
      </c>
      <c r="C1126" s="54">
        <v>92701</v>
      </c>
    </row>
    <row r="1127" spans="2:3">
      <c r="B1127" s="167" t="s">
        <v>1082</v>
      </c>
      <c r="C1127" s="54">
        <v>93651</v>
      </c>
    </row>
    <row r="1128" spans="2:3">
      <c r="B1128" s="167" t="s">
        <v>277</v>
      </c>
      <c r="C1128" s="54">
        <v>92801</v>
      </c>
    </row>
    <row r="1129" spans="2:3">
      <c r="B1129" s="167" t="s">
        <v>2507</v>
      </c>
      <c r="C1129" s="54">
        <v>92804</v>
      </c>
    </row>
    <row r="1130" spans="2:3">
      <c r="B1130" s="167" t="s">
        <v>278</v>
      </c>
      <c r="C1130" s="54">
        <v>92802</v>
      </c>
    </row>
    <row r="1131" spans="2:3">
      <c r="B1131" s="167" t="s">
        <v>1149</v>
      </c>
      <c r="C1131" s="54">
        <v>96081</v>
      </c>
    </row>
    <row r="1132" spans="2:3">
      <c r="B1132" s="167" t="s">
        <v>286</v>
      </c>
      <c r="C1132" s="54">
        <v>92901</v>
      </c>
    </row>
    <row r="1133" spans="2:3">
      <c r="B1133" s="167" t="s">
        <v>293</v>
      </c>
      <c r="C1133" s="54">
        <v>93001</v>
      </c>
    </row>
    <row r="1134" spans="2:3">
      <c r="B1134" s="167" t="s">
        <v>2386</v>
      </c>
      <c r="C1134" s="54">
        <v>93009</v>
      </c>
    </row>
    <row r="1135" spans="2:3">
      <c r="B1135" s="167" t="s">
        <v>1054</v>
      </c>
      <c r="C1135" s="54">
        <v>92921</v>
      </c>
    </row>
    <row r="1136" spans="2:3">
      <c r="B1136" s="167" t="s">
        <v>1242</v>
      </c>
      <c r="C1136" s="54">
        <v>98621</v>
      </c>
    </row>
    <row r="1137" spans="2:3">
      <c r="B1137" s="167" t="s">
        <v>2508</v>
      </c>
      <c r="C1137" s="54">
        <v>98627</v>
      </c>
    </row>
    <row r="1138" spans="2:3">
      <c r="B1138" s="167" t="s">
        <v>998</v>
      </c>
      <c r="C1138" s="54">
        <v>91221</v>
      </c>
    </row>
    <row r="1139" spans="2:3">
      <c r="B1139" s="167" t="s">
        <v>1053</v>
      </c>
      <c r="C1139" s="54">
        <v>92861</v>
      </c>
    </row>
    <row r="1140" spans="2:3">
      <c r="B1140" s="167" t="s">
        <v>1100</v>
      </c>
      <c r="C1140" s="54">
        <v>94311</v>
      </c>
    </row>
    <row r="1141" spans="2:3">
      <c r="B1141" s="167" t="s">
        <v>2509</v>
      </c>
      <c r="C1141" s="54">
        <v>94317</v>
      </c>
    </row>
    <row r="1142" spans="2:3">
      <c r="B1142" s="167" t="s">
        <v>418</v>
      </c>
      <c r="C1142" s="54">
        <v>94313</v>
      </c>
    </row>
    <row r="1143" spans="2:3">
      <c r="B1143" s="167" t="s">
        <v>299</v>
      </c>
      <c r="C1143" s="54">
        <v>93101</v>
      </c>
    </row>
    <row r="1144" spans="2:3">
      <c r="B1144" s="167" t="s">
        <v>1345</v>
      </c>
      <c r="C1144" s="54">
        <v>93103</v>
      </c>
    </row>
    <row r="1145" spans="2:3">
      <c r="B1145" s="167" t="s">
        <v>1300</v>
      </c>
      <c r="C1145" s="54">
        <v>93211</v>
      </c>
    </row>
    <row r="1146" spans="2:3">
      <c r="B1146" s="167" t="s">
        <v>2387</v>
      </c>
      <c r="C1146" s="54">
        <v>93212</v>
      </c>
    </row>
    <row r="1147" spans="2:3">
      <c r="B1147" s="167" t="s">
        <v>312</v>
      </c>
      <c r="C1147" s="54">
        <v>93201</v>
      </c>
    </row>
    <row r="1148" spans="2:3">
      <c r="B1148" s="167" t="s">
        <v>2510</v>
      </c>
      <c r="C1148" s="54">
        <v>93204</v>
      </c>
    </row>
    <row r="1149" spans="2:3">
      <c r="B1149" s="167" t="s">
        <v>2388</v>
      </c>
      <c r="C1149" s="54">
        <v>99212</v>
      </c>
    </row>
    <row r="1150" spans="2:3">
      <c r="B1150" s="167" t="s">
        <v>631</v>
      </c>
      <c r="C1150" s="54">
        <v>97005</v>
      </c>
    </row>
    <row r="1151" spans="2:3">
      <c r="B1151" s="167" t="s">
        <v>1282</v>
      </c>
      <c r="C1151" s="54">
        <v>99931</v>
      </c>
    </row>
    <row r="1152" spans="2:3">
      <c r="B1152" s="167" t="s">
        <v>1215</v>
      </c>
      <c r="C1152" s="54">
        <v>98021</v>
      </c>
    </row>
    <row r="1153" spans="2:3">
      <c r="B1153" s="167" t="s">
        <v>729</v>
      </c>
      <c r="C1153" s="54">
        <v>98023</v>
      </c>
    </row>
    <row r="1154" spans="2:3">
      <c r="B1154" s="167" t="s">
        <v>26</v>
      </c>
      <c r="C1154" s="54">
        <v>70505</v>
      </c>
    </row>
    <row r="1155" spans="2:3">
      <c r="B1155" s="167" t="s">
        <v>2389</v>
      </c>
      <c r="C1155" s="54">
        <v>99603</v>
      </c>
    </row>
    <row r="1156" spans="2:3">
      <c r="B1156" s="167" t="s">
        <v>2390</v>
      </c>
      <c r="C1156" s="54">
        <v>99610</v>
      </c>
    </row>
    <row r="1157" spans="2:3">
      <c r="B1157" s="167" t="s">
        <v>1047</v>
      </c>
      <c r="C1157" s="54">
        <v>92681</v>
      </c>
    </row>
    <row r="1158" spans="2:3">
      <c r="B1158" s="167" t="s">
        <v>2310</v>
      </c>
      <c r="C1158" s="54">
        <v>93108</v>
      </c>
    </row>
    <row r="1159" spans="2:3">
      <c r="B1159" s="167" t="s">
        <v>1329</v>
      </c>
      <c r="C1159" s="54">
        <v>97951</v>
      </c>
    </row>
    <row r="1160" spans="2:3">
      <c r="B1160" s="167" t="s">
        <v>2511</v>
      </c>
      <c r="C1160" s="54">
        <v>97957</v>
      </c>
    </row>
    <row r="1161" spans="2:3">
      <c r="B1161" s="167" t="s">
        <v>1028</v>
      </c>
      <c r="C1161" s="54">
        <v>92111</v>
      </c>
    </row>
    <row r="1162" spans="2:3">
      <c r="B1162" s="167" t="s">
        <v>319</v>
      </c>
      <c r="C1162" s="54">
        <v>93301</v>
      </c>
    </row>
    <row r="1163" spans="2:3">
      <c r="B1163" s="167" t="s">
        <v>2512</v>
      </c>
      <c r="C1163" s="54">
        <v>93304</v>
      </c>
    </row>
    <row r="1164" spans="2:3">
      <c r="B1164" s="167" t="s">
        <v>2391</v>
      </c>
      <c r="C1164" s="54">
        <v>93305</v>
      </c>
    </row>
    <row r="1165" spans="2:3">
      <c r="B1165" s="167" t="s">
        <v>2392</v>
      </c>
      <c r="C1165" s="54">
        <v>99210</v>
      </c>
    </row>
    <row r="1166" spans="2:3">
      <c r="B1166" s="167" t="s">
        <v>634</v>
      </c>
      <c r="C1166" s="54">
        <v>97011</v>
      </c>
    </row>
    <row r="1167" spans="2:3">
      <c r="B1167" s="167" t="s">
        <v>2393</v>
      </c>
      <c r="C1167" s="54">
        <v>97013</v>
      </c>
    </row>
    <row r="1168" spans="2:3">
      <c r="B1168" s="167" t="s">
        <v>2394</v>
      </c>
      <c r="C1168" s="54">
        <v>97012</v>
      </c>
    </row>
    <row r="1169" spans="2:3">
      <c r="B1169" s="167" t="s">
        <v>2395</v>
      </c>
      <c r="C1169" s="54">
        <v>97018</v>
      </c>
    </row>
    <row r="1170" spans="2:3">
      <c r="B1170" s="167" t="s">
        <v>977</v>
      </c>
      <c r="C1170" s="54">
        <v>90911</v>
      </c>
    </row>
    <row r="1171" spans="2:3">
      <c r="B1171" s="167" t="s">
        <v>2513</v>
      </c>
      <c r="C1171" s="54">
        <v>90917</v>
      </c>
    </row>
    <row r="1172" spans="2:3">
      <c r="B1172" s="167" t="s">
        <v>968</v>
      </c>
      <c r="C1172" s="54">
        <v>90641</v>
      </c>
    </row>
    <row r="1173" spans="2:3">
      <c r="B1173" s="167" t="s">
        <v>1243</v>
      </c>
      <c r="C1173" s="54">
        <v>98641</v>
      </c>
    </row>
    <row r="1174" spans="2:3">
      <c r="B1174" s="167" t="s">
        <v>1226</v>
      </c>
      <c r="C1174" s="54">
        <v>98161</v>
      </c>
    </row>
    <row r="1175" spans="2:3">
      <c r="B1175" s="167" t="s">
        <v>1205</v>
      </c>
      <c r="C1175" s="54">
        <v>97731</v>
      </c>
    </row>
    <row r="1176" spans="2:3">
      <c r="B1176" s="167" t="s">
        <v>1279</v>
      </c>
      <c r="C1176" s="54">
        <v>99851</v>
      </c>
    </row>
    <row r="1177" spans="2:3">
      <c r="B1177" s="167" t="s">
        <v>2458</v>
      </c>
      <c r="C1177" s="54">
        <v>90131</v>
      </c>
    </row>
    <row r="1178" spans="2:3">
      <c r="B1178" s="167" t="s">
        <v>1012</v>
      </c>
      <c r="C1178" s="54">
        <v>91651</v>
      </c>
    </row>
    <row r="1179" spans="2:3">
      <c r="B1179" s="167" t="s">
        <v>1095</v>
      </c>
      <c r="C1179" s="54">
        <v>94211</v>
      </c>
    </row>
    <row r="1180" spans="2:3">
      <c r="B1180" s="167" t="s">
        <v>1102</v>
      </c>
      <c r="C1180" s="54">
        <v>94331</v>
      </c>
    </row>
    <row r="1181" spans="2:3">
      <c r="B1181" s="167" t="s">
        <v>1033</v>
      </c>
      <c r="C1181" s="54">
        <v>92431</v>
      </c>
    </row>
    <row r="1182" spans="2:3">
      <c r="B1182" s="167" t="s">
        <v>1206</v>
      </c>
      <c r="C1182" s="54">
        <v>97821</v>
      </c>
    </row>
    <row r="1183" spans="2:3">
      <c r="B1183" s="167" t="s">
        <v>701</v>
      </c>
      <c r="C1183" s="54">
        <v>97823</v>
      </c>
    </row>
    <row r="1184" spans="2:3">
      <c r="B1184" s="167" t="s">
        <v>1061</v>
      </c>
      <c r="C1184" s="54">
        <v>93141</v>
      </c>
    </row>
    <row r="1185" spans="2:3">
      <c r="B1185" s="167" t="s">
        <v>1221</v>
      </c>
      <c r="C1185" s="54">
        <v>98081</v>
      </c>
    </row>
    <row r="1186" spans="2:3">
      <c r="B1186" s="167" t="s">
        <v>1046</v>
      </c>
      <c r="C1186" s="54">
        <v>92671</v>
      </c>
    </row>
    <row r="1187" spans="2:3">
      <c r="B1187" s="167" t="s">
        <v>1321</v>
      </c>
      <c r="C1187" s="54">
        <v>97421</v>
      </c>
    </row>
    <row r="1188" spans="2:3">
      <c r="B1188" s="167" t="s">
        <v>660</v>
      </c>
      <c r="C1188" s="54">
        <v>97423</v>
      </c>
    </row>
    <row r="1189" spans="2:3">
      <c r="B1189" s="167" t="s">
        <v>1297</v>
      </c>
      <c r="C1189" s="54">
        <v>92611</v>
      </c>
    </row>
    <row r="1190" spans="2:3">
      <c r="B1190" s="167" t="s">
        <v>2396</v>
      </c>
      <c r="C1190" s="54">
        <v>92613</v>
      </c>
    </row>
    <row r="1191" spans="2:3">
      <c r="B1191" s="167" t="s">
        <v>2397</v>
      </c>
      <c r="C1191" s="54">
        <v>92502</v>
      </c>
    </row>
    <row r="1192" spans="2:3">
      <c r="B1192" s="167" t="s">
        <v>944</v>
      </c>
      <c r="C1192" s="54">
        <v>94531</v>
      </c>
    </row>
    <row r="1193" spans="2:3">
      <c r="B1193" s="167" t="s">
        <v>1109</v>
      </c>
      <c r="C1193" s="54">
        <v>94541</v>
      </c>
    </row>
    <row r="1194" spans="2:3">
      <c r="B1194" s="167" t="s">
        <v>2514</v>
      </c>
      <c r="C1194" s="54">
        <v>94547</v>
      </c>
    </row>
    <row r="1195" spans="2:3">
      <c r="B1195" s="167" t="s">
        <v>470</v>
      </c>
      <c r="C1195" s="54">
        <v>95005</v>
      </c>
    </row>
    <row r="1196" spans="2:3">
      <c r="B1196" s="167" t="s">
        <v>742</v>
      </c>
      <c r="C1196" s="54">
        <v>98111</v>
      </c>
    </row>
    <row r="1197" spans="2:3">
      <c r="B1197" s="167" t="s">
        <v>2515</v>
      </c>
      <c r="C1197" s="54">
        <v>98107</v>
      </c>
    </row>
    <row r="1198" spans="2:3">
      <c r="B1198" s="167" t="s">
        <v>743</v>
      </c>
      <c r="C1198" s="54">
        <v>98113</v>
      </c>
    </row>
    <row r="1199" spans="2:3">
      <c r="B1199" s="167" t="s">
        <v>2398</v>
      </c>
      <c r="C1199" s="54">
        <v>99602</v>
      </c>
    </row>
    <row r="1200" spans="2:3">
      <c r="B1200" s="167" t="s">
        <v>330</v>
      </c>
      <c r="C1200" s="54">
        <v>93401</v>
      </c>
    </row>
    <row r="1201" spans="2:3">
      <c r="B1201" s="167" t="s">
        <v>2399</v>
      </c>
      <c r="C1201" s="54">
        <v>97491</v>
      </c>
    </row>
    <row r="1202" spans="2:3">
      <c r="B1202" s="167" t="s">
        <v>1124</v>
      </c>
      <c r="C1202" s="54">
        <v>95151</v>
      </c>
    </row>
    <row r="1203" spans="2:3">
      <c r="B1203" s="167" t="s">
        <v>575</v>
      </c>
      <c r="C1203" s="54">
        <v>96381</v>
      </c>
    </row>
    <row r="1204" spans="2:3">
      <c r="B1204" s="167" t="s">
        <v>1133</v>
      </c>
      <c r="C1204" s="54">
        <v>95611</v>
      </c>
    </row>
    <row r="1205" spans="2:3">
      <c r="B1205" s="167" t="s">
        <v>342</v>
      </c>
      <c r="C1205" s="54">
        <v>93501</v>
      </c>
    </row>
    <row r="1206" spans="2:3">
      <c r="B1206" s="167" t="s">
        <v>1075</v>
      </c>
      <c r="C1206" s="54">
        <v>93511</v>
      </c>
    </row>
    <row r="1207" spans="2:3">
      <c r="B1207" s="167" t="s">
        <v>2516</v>
      </c>
      <c r="C1207" s="54">
        <v>93517</v>
      </c>
    </row>
    <row r="1208" spans="2:3">
      <c r="B1208" s="167" t="s">
        <v>1272</v>
      </c>
      <c r="C1208" s="54">
        <v>99631</v>
      </c>
    </row>
    <row r="1209" spans="2:3">
      <c r="B1209" s="167" t="s">
        <v>1259</v>
      </c>
      <c r="C1209" s="54">
        <v>99261</v>
      </c>
    </row>
    <row r="1210" spans="2:3">
      <c r="B1210" s="167" t="s">
        <v>1229</v>
      </c>
      <c r="C1210" s="54">
        <v>98241</v>
      </c>
    </row>
    <row r="1211" spans="2:3">
      <c r="B1211" s="167" t="s">
        <v>1258</v>
      </c>
      <c r="C1211" s="54">
        <v>99251</v>
      </c>
    </row>
    <row r="1212" spans="2:3">
      <c r="B1212" s="167" t="s">
        <v>2400</v>
      </c>
      <c r="C1212" s="54">
        <v>99252</v>
      </c>
    </row>
    <row r="1213" spans="2:3">
      <c r="B1213" s="167" t="s">
        <v>1176</v>
      </c>
      <c r="C1213" s="54">
        <v>96631</v>
      </c>
    </row>
    <row r="1214" spans="2:3">
      <c r="B1214" s="167" t="s">
        <v>1178</v>
      </c>
      <c r="C1214" s="54">
        <v>96651</v>
      </c>
    </row>
    <row r="1215" spans="2:3">
      <c r="B1215" s="167" t="s">
        <v>350</v>
      </c>
      <c r="C1215" s="54">
        <v>93601</v>
      </c>
    </row>
    <row r="1216" spans="2:3">
      <c r="B1216" s="167" t="s">
        <v>2401</v>
      </c>
      <c r="C1216" s="54">
        <v>93618</v>
      </c>
    </row>
    <row r="1217" spans="2:3">
      <c r="B1217" s="167" t="s">
        <v>1302</v>
      </c>
      <c r="C1217" s="54">
        <v>93611</v>
      </c>
    </row>
    <row r="1218" spans="2:3">
      <c r="B1218" s="167" t="s">
        <v>2517</v>
      </c>
      <c r="C1218" s="54">
        <v>93617</v>
      </c>
    </row>
    <row r="1219" spans="2:3">
      <c r="B1219" s="167" t="s">
        <v>367</v>
      </c>
      <c r="C1219" s="54">
        <v>93701</v>
      </c>
    </row>
    <row r="1220" spans="2:3">
      <c r="B1220" s="167" t="s">
        <v>2518</v>
      </c>
      <c r="C1220" s="54">
        <v>93704</v>
      </c>
    </row>
    <row r="1221" spans="2:3">
      <c r="B1221" s="167" t="s">
        <v>1234</v>
      </c>
      <c r="C1221" s="54">
        <v>98331</v>
      </c>
    </row>
    <row r="1222" spans="2:3">
      <c r="B1222" s="167" t="s">
        <v>1092</v>
      </c>
      <c r="C1222" s="54">
        <v>94151</v>
      </c>
    </row>
    <row r="1223" spans="2:3">
      <c r="B1223" s="167" t="s">
        <v>2519</v>
      </c>
      <c r="C1223" s="54">
        <v>94157</v>
      </c>
    </row>
    <row r="1224" spans="2:3">
      <c r="B1224" s="167" t="s">
        <v>999</v>
      </c>
      <c r="C1224" s="54">
        <v>91241</v>
      </c>
    </row>
    <row r="1225" spans="2:3">
      <c r="B1225" s="167" t="s">
        <v>504</v>
      </c>
      <c r="C1225" s="54">
        <v>95412</v>
      </c>
    </row>
    <row r="1226" spans="2:3">
      <c r="B1226" s="167" t="s">
        <v>1339</v>
      </c>
      <c r="C1226" s="54">
        <v>99611</v>
      </c>
    </row>
    <row r="1227" spans="2:3">
      <c r="B1227" s="167" t="s">
        <v>212</v>
      </c>
      <c r="C1227" s="54">
        <v>91908</v>
      </c>
    </row>
    <row r="1228" spans="2:3">
      <c r="B1228" s="167" t="s">
        <v>1285</v>
      </c>
      <c r="C1228" s="54">
        <v>90121</v>
      </c>
    </row>
    <row r="1229" spans="2:3">
      <c r="B1229" s="167" t="s">
        <v>2402</v>
      </c>
      <c r="C1229" s="54">
        <v>93803</v>
      </c>
    </row>
    <row r="1230" spans="2:3">
      <c r="B1230" s="167" t="s">
        <v>369</v>
      </c>
      <c r="C1230" s="54">
        <v>93801</v>
      </c>
    </row>
    <row r="1231" spans="2:3">
      <c r="B1231" s="167" t="s">
        <v>2403</v>
      </c>
      <c r="C1231" s="54">
        <v>93806</v>
      </c>
    </row>
    <row r="1232" spans="2:3">
      <c r="B1232" s="167" t="s">
        <v>1004</v>
      </c>
      <c r="C1232" s="54">
        <v>91411</v>
      </c>
    </row>
    <row r="1233" spans="2:3">
      <c r="B1233" s="167" t="s">
        <v>2520</v>
      </c>
      <c r="C1233" s="54">
        <v>91417</v>
      </c>
    </row>
    <row r="1234" spans="2:3">
      <c r="B1234" s="167" t="s">
        <v>1219</v>
      </c>
      <c r="C1234" s="54">
        <v>98061</v>
      </c>
    </row>
    <row r="1235" spans="2:3">
      <c r="B1235" s="167" t="s">
        <v>2521</v>
      </c>
      <c r="C1235" s="54">
        <v>93904</v>
      </c>
    </row>
    <row r="1236" spans="2:3">
      <c r="B1236" s="167" t="s">
        <v>372</v>
      </c>
      <c r="C1236" s="54">
        <v>93901</v>
      </c>
    </row>
    <row r="1237" spans="2:3">
      <c r="B1237" s="167" t="s">
        <v>374</v>
      </c>
      <c r="C1237" s="54">
        <v>93906</v>
      </c>
    </row>
    <row r="1238" spans="2:3">
      <c r="B1238" s="167" t="s">
        <v>2404</v>
      </c>
      <c r="C1238" s="54">
        <v>93908</v>
      </c>
    </row>
    <row r="1239" spans="2:3">
      <c r="B1239" s="167" t="s">
        <v>2405</v>
      </c>
      <c r="C1239" s="54">
        <v>94908</v>
      </c>
    </row>
    <row r="1240" spans="2:3">
      <c r="B1240" s="167" t="s">
        <v>955</v>
      </c>
      <c r="C1240" s="54">
        <v>90161</v>
      </c>
    </row>
    <row r="1241" spans="2:3">
      <c r="B1241" s="167" t="s">
        <v>382</v>
      </c>
      <c r="C1241" s="54">
        <v>94001</v>
      </c>
    </row>
    <row r="1242" spans="2:3">
      <c r="B1242" s="167" t="s">
        <v>2522</v>
      </c>
      <c r="C1242" s="54">
        <v>94004</v>
      </c>
    </row>
    <row r="1243" spans="2:3">
      <c r="B1243" s="167" t="s">
        <v>1308</v>
      </c>
      <c r="C1243" s="54">
        <v>94111</v>
      </c>
    </row>
    <row r="1244" spans="2:3">
      <c r="B1244" s="167" t="s">
        <v>2523</v>
      </c>
      <c r="C1244" s="54">
        <v>94117</v>
      </c>
    </row>
    <row r="1245" spans="2:3">
      <c r="B1245" s="167" t="s">
        <v>1320</v>
      </c>
      <c r="C1245" s="54">
        <v>97411</v>
      </c>
    </row>
    <row r="1246" spans="2:3">
      <c r="B1246" s="167" t="s">
        <v>658</v>
      </c>
      <c r="C1246" s="54">
        <v>97413</v>
      </c>
    </row>
    <row r="1247" spans="2:3">
      <c r="B1247" s="167" t="s">
        <v>657</v>
      </c>
      <c r="C1247" s="54">
        <v>97412</v>
      </c>
    </row>
    <row r="1248" spans="2:3">
      <c r="B1248" s="167" t="s">
        <v>1195</v>
      </c>
      <c r="C1248" s="54">
        <v>97431</v>
      </c>
    </row>
    <row r="1249" spans="2:3">
      <c r="B1249" s="167" t="s">
        <v>1199</v>
      </c>
      <c r="C1249" s="54">
        <v>97471</v>
      </c>
    </row>
    <row r="1250" spans="2:3">
      <c r="B1250" s="167" t="s">
        <v>1031</v>
      </c>
      <c r="C1250" s="54">
        <v>92351</v>
      </c>
    </row>
    <row r="1251" spans="2:3">
      <c r="B1251" s="167" t="s">
        <v>1349</v>
      </c>
      <c r="C1251" s="54">
        <v>94101</v>
      </c>
    </row>
    <row r="1252" spans="2:3">
      <c r="B1252" s="167" t="s">
        <v>2406</v>
      </c>
      <c r="C1252" s="54">
        <v>94118</v>
      </c>
    </row>
    <row r="1253" spans="2:3">
      <c r="B1253" s="167" t="s">
        <v>390</v>
      </c>
      <c r="C1253" s="54">
        <v>94102</v>
      </c>
    </row>
    <row r="1254" spans="2:3">
      <c r="B1254" s="167" t="s">
        <v>406</v>
      </c>
      <c r="C1254" s="54">
        <v>94201</v>
      </c>
    </row>
    <row r="1255" spans="2:3">
      <c r="B1255" s="167" t="s">
        <v>2524</v>
      </c>
      <c r="C1255" s="54">
        <v>94204</v>
      </c>
    </row>
    <row r="1256" spans="2:3">
      <c r="B1256" s="167" t="s">
        <v>408</v>
      </c>
      <c r="C1256" s="54">
        <v>94205</v>
      </c>
    </row>
    <row r="1257" spans="2:3">
      <c r="B1257" s="167" t="s">
        <v>1138</v>
      </c>
      <c r="C1257" s="54">
        <v>95831</v>
      </c>
    </row>
    <row r="1258" spans="2:3">
      <c r="B1258" s="167" t="s">
        <v>1327</v>
      </c>
      <c r="C1258" s="54">
        <v>97721</v>
      </c>
    </row>
    <row r="1259" spans="2:3">
      <c r="B1259" s="167" t="s">
        <v>2525</v>
      </c>
      <c r="C1259" s="54">
        <v>97717</v>
      </c>
    </row>
    <row r="1260" spans="2:3">
      <c r="B1260" s="167" t="s">
        <v>416</v>
      </c>
      <c r="C1260" s="54">
        <v>94301</v>
      </c>
    </row>
    <row r="1261" spans="2:3">
      <c r="B1261" s="167" t="s">
        <v>1007</v>
      </c>
      <c r="C1261" s="54">
        <v>91441</v>
      </c>
    </row>
    <row r="1262" spans="2:3">
      <c r="B1262" s="167" t="s">
        <v>1296</v>
      </c>
      <c r="C1262" s="54">
        <v>92531</v>
      </c>
    </row>
    <row r="1263" spans="2:3">
      <c r="B1263" s="167" t="s">
        <v>954</v>
      </c>
      <c r="C1263" s="54">
        <v>90141</v>
      </c>
    </row>
    <row r="1264" spans="2:3">
      <c r="B1264" s="167" t="s">
        <v>425</v>
      </c>
      <c r="C1264" s="54">
        <v>94401</v>
      </c>
    </row>
    <row r="1265" spans="2:3">
      <c r="B1265" s="167" t="s">
        <v>2407</v>
      </c>
      <c r="C1265" s="54">
        <v>94403</v>
      </c>
    </row>
    <row r="1266" spans="2:3">
      <c r="B1266" s="167" t="s">
        <v>426</v>
      </c>
      <c r="C1266" s="54">
        <v>94402</v>
      </c>
    </row>
    <row r="1267" spans="2:3">
      <c r="B1267" s="167" t="s">
        <v>1337</v>
      </c>
      <c r="C1267" s="54">
        <v>99111</v>
      </c>
    </row>
    <row r="1268" spans="2:3">
      <c r="B1268" s="167" t="s">
        <v>1309</v>
      </c>
      <c r="C1268" s="54">
        <v>94511</v>
      </c>
    </row>
    <row r="1269" spans="2:3">
      <c r="B1269" s="167" t="s">
        <v>2526</v>
      </c>
      <c r="C1269" s="54">
        <v>94517</v>
      </c>
    </row>
    <row r="1270" spans="2:3">
      <c r="B1270" s="167" t="s">
        <v>437</v>
      </c>
      <c r="C1270" s="54">
        <v>94512</v>
      </c>
    </row>
    <row r="1271" spans="2:3">
      <c r="B1271" s="167" t="s">
        <v>1193</v>
      </c>
      <c r="C1271" s="54">
        <v>97211</v>
      </c>
    </row>
    <row r="1272" spans="2:3">
      <c r="B1272" s="167" t="s">
        <v>2584</v>
      </c>
      <c r="C1272" s="54">
        <v>97217</v>
      </c>
    </row>
    <row r="1273" spans="2:3">
      <c r="B1273" s="167" t="s">
        <v>446</v>
      </c>
      <c r="C1273" s="54">
        <v>94601</v>
      </c>
    </row>
    <row r="1274" spans="2:3">
      <c r="B1274" s="167" t="s">
        <v>2527</v>
      </c>
      <c r="C1274" s="54">
        <v>94604</v>
      </c>
    </row>
    <row r="1275" spans="2:3">
      <c r="B1275" s="167" t="s">
        <v>448</v>
      </c>
      <c r="C1275" s="54">
        <v>94606</v>
      </c>
    </row>
    <row r="1276" spans="2:3">
      <c r="B1276" s="167" t="s">
        <v>2408</v>
      </c>
      <c r="C1276" s="54">
        <v>97213</v>
      </c>
    </row>
    <row r="1277" spans="2:3">
      <c r="B1277" s="167" t="s">
        <v>1293</v>
      </c>
      <c r="C1277" s="54">
        <v>91811</v>
      </c>
    </row>
    <row r="1278" spans="2:3">
      <c r="B1278" s="167" t="s">
        <v>2409</v>
      </c>
      <c r="C1278" s="54">
        <v>91812</v>
      </c>
    </row>
    <row r="1279" spans="2:3">
      <c r="B1279" s="167" t="s">
        <v>2410</v>
      </c>
      <c r="C1279" s="54">
        <v>91813</v>
      </c>
    </row>
    <row r="1280" spans="2:3">
      <c r="B1280" s="167" t="s">
        <v>2528</v>
      </c>
      <c r="C1280" s="54">
        <v>90617</v>
      </c>
    </row>
    <row r="1281" spans="2:3">
      <c r="B1281" s="167" t="s">
        <v>2529</v>
      </c>
      <c r="C1281" s="54">
        <v>94127</v>
      </c>
    </row>
    <row r="1282" spans="2:3">
      <c r="B1282" s="167" t="s">
        <v>1134</v>
      </c>
      <c r="C1282" s="54">
        <v>95621</v>
      </c>
    </row>
    <row r="1283" spans="2:3">
      <c r="B1283" s="167" t="s">
        <v>2530</v>
      </c>
      <c r="C1283" s="54">
        <v>95617</v>
      </c>
    </row>
    <row r="1284" spans="2:3">
      <c r="B1284" s="167" t="s">
        <v>2612</v>
      </c>
      <c r="C1284" s="54">
        <v>94121</v>
      </c>
    </row>
    <row r="1285" spans="2:3">
      <c r="B1285" s="167" t="s">
        <v>2459</v>
      </c>
      <c r="C1285" s="54">
        <v>91251</v>
      </c>
    </row>
    <row r="1286" spans="2:3">
      <c r="B1286" s="167" t="s">
        <v>1188</v>
      </c>
      <c r="C1286" s="54">
        <v>96831</v>
      </c>
    </row>
    <row r="1287" spans="2:3">
      <c r="B1287" s="167" t="s">
        <v>1098</v>
      </c>
      <c r="C1287" s="54">
        <v>94251</v>
      </c>
    </row>
    <row r="1288" spans="2:3">
      <c r="B1288" s="167" t="s">
        <v>453</v>
      </c>
      <c r="C1288" s="54">
        <v>94701</v>
      </c>
    </row>
    <row r="1289" spans="2:3">
      <c r="B1289" s="167" t="s">
        <v>2531</v>
      </c>
      <c r="C1289" s="54">
        <v>94704</v>
      </c>
    </row>
    <row r="1290" spans="2:3">
      <c r="B1290" s="167" t="s">
        <v>983</v>
      </c>
      <c r="C1290" s="54">
        <v>91014</v>
      </c>
    </row>
    <row r="1291" spans="2:3">
      <c r="B1291" s="167" t="s">
        <v>1183</v>
      </c>
      <c r="C1291" s="54">
        <v>96731</v>
      </c>
    </row>
    <row r="1292" spans="2:3">
      <c r="B1292" s="167" t="s">
        <v>615</v>
      </c>
      <c r="C1292" s="54">
        <v>96733</v>
      </c>
    </row>
    <row r="1293" spans="2:3">
      <c r="B1293" s="167" t="s">
        <v>1252</v>
      </c>
      <c r="C1293" s="54">
        <v>99202</v>
      </c>
    </row>
    <row r="1294" spans="2:3">
      <c r="B1294" s="167" t="s">
        <v>1088</v>
      </c>
      <c r="C1294" s="54">
        <v>94011</v>
      </c>
    </row>
    <row r="1295" spans="2:3">
      <c r="B1295" s="167" t="s">
        <v>1042</v>
      </c>
      <c r="C1295" s="54">
        <v>92631</v>
      </c>
    </row>
    <row r="1296" spans="2:3">
      <c r="B1296" s="167" t="s">
        <v>521</v>
      </c>
      <c r="C1296" s="54">
        <v>95733</v>
      </c>
    </row>
    <row r="1297" spans="2:3">
      <c r="B1297" s="167" t="s">
        <v>2411</v>
      </c>
      <c r="C1297" s="54">
        <v>95413</v>
      </c>
    </row>
    <row r="1298" spans="2:3">
      <c r="B1298" s="167" t="s">
        <v>2412</v>
      </c>
      <c r="C1298" s="54">
        <v>98013</v>
      </c>
    </row>
    <row r="1299" spans="2:3">
      <c r="B1299" s="167" t="s">
        <v>2413</v>
      </c>
      <c r="C1299" s="54">
        <v>99613</v>
      </c>
    </row>
    <row r="1300" spans="2:3">
      <c r="B1300" s="167" t="s">
        <v>1006</v>
      </c>
      <c r="C1300" s="54">
        <v>91431</v>
      </c>
    </row>
    <row r="1301" spans="2:3">
      <c r="B1301" s="167" t="s">
        <v>1145</v>
      </c>
      <c r="C1301" s="54">
        <v>96041</v>
      </c>
    </row>
    <row r="1302" spans="2:3">
      <c r="B1302" s="167" t="s">
        <v>456</v>
      </c>
      <c r="C1302" s="54">
        <v>94801</v>
      </c>
    </row>
    <row r="1303" spans="2:3">
      <c r="B1303" s="167" t="s">
        <v>2532</v>
      </c>
      <c r="C1303" s="54">
        <v>94804</v>
      </c>
    </row>
    <row r="1304" spans="2:3">
      <c r="B1304" s="167" t="s">
        <v>1013</v>
      </c>
      <c r="C1304" s="54">
        <v>91661</v>
      </c>
    </row>
    <row r="1305" spans="2:3">
      <c r="B1305" s="167" t="s">
        <v>1249</v>
      </c>
      <c r="C1305" s="54">
        <v>99051</v>
      </c>
    </row>
    <row r="1306" spans="2:3">
      <c r="B1306" s="167" t="s">
        <v>2313</v>
      </c>
      <c r="C1306" s="54">
        <v>99014</v>
      </c>
    </row>
    <row r="1307" spans="2:3">
      <c r="B1307" s="167" t="s">
        <v>459</v>
      </c>
      <c r="C1307" s="54">
        <v>94901</v>
      </c>
    </row>
    <row r="1308" spans="2:3">
      <c r="B1308" s="167" t="s">
        <v>2414</v>
      </c>
      <c r="C1308" s="54">
        <v>98109</v>
      </c>
    </row>
    <row r="1309" spans="2:3">
      <c r="B1309" s="167" t="s">
        <v>2415</v>
      </c>
      <c r="C1309" s="54">
        <v>98205</v>
      </c>
    </row>
    <row r="1310" spans="2:3">
      <c r="B1310" s="167" t="s">
        <v>1179</v>
      </c>
      <c r="C1310" s="54">
        <v>96661</v>
      </c>
    </row>
    <row r="1311" spans="2:3">
      <c r="B1311" s="167" t="s">
        <v>468</v>
      </c>
      <c r="C1311" s="54">
        <v>95001</v>
      </c>
    </row>
    <row r="1312" spans="2:3">
      <c r="B1312" s="167" t="s">
        <v>2314</v>
      </c>
      <c r="C1312" s="54">
        <v>95017</v>
      </c>
    </row>
    <row r="1313" spans="2:3">
      <c r="B1313" s="167" t="s">
        <v>1318</v>
      </c>
      <c r="C1313" s="54">
        <v>96711</v>
      </c>
    </row>
    <row r="1314" spans="2:3">
      <c r="B1314" s="167" t="s">
        <v>1091</v>
      </c>
      <c r="C1314" s="54">
        <v>94131</v>
      </c>
    </row>
    <row r="1315" spans="2:3">
      <c r="B1315" s="167" t="s">
        <v>1139</v>
      </c>
      <c r="C1315" s="54">
        <v>95841</v>
      </c>
    </row>
    <row r="1316" spans="2:3">
      <c r="B1316" s="167" t="s">
        <v>963</v>
      </c>
      <c r="C1316" s="54">
        <v>90511</v>
      </c>
    </row>
    <row r="1317" spans="2:3">
      <c r="B1317" s="167" t="s">
        <v>474</v>
      </c>
      <c r="C1317" s="54">
        <v>95101</v>
      </c>
    </row>
    <row r="1318" spans="2:3">
      <c r="B1318" s="167" t="s">
        <v>2533</v>
      </c>
      <c r="C1318" s="54">
        <v>95104</v>
      </c>
    </row>
    <row r="1319" spans="2:3">
      <c r="B1319" s="167" t="s">
        <v>2315</v>
      </c>
      <c r="C1319" s="54">
        <v>95110</v>
      </c>
    </row>
    <row r="1320" spans="2:3">
      <c r="B1320" s="167" t="s">
        <v>491</v>
      </c>
      <c r="C1320" s="54">
        <v>95201</v>
      </c>
    </row>
    <row r="1321" spans="2:3">
      <c r="B1321" s="167" t="s">
        <v>2534</v>
      </c>
      <c r="C1321" s="54">
        <v>95204</v>
      </c>
    </row>
    <row r="1322" spans="2:3">
      <c r="B1322" s="167" t="s">
        <v>1281</v>
      </c>
      <c r="C1322" s="54">
        <v>99921</v>
      </c>
    </row>
    <row r="1323" spans="2:3">
      <c r="B1323" s="167" t="s">
        <v>427</v>
      </c>
      <c r="C1323" s="54">
        <v>94408</v>
      </c>
    </row>
    <row r="1324" spans="2:3">
      <c r="B1324" s="167" t="s">
        <v>1002</v>
      </c>
      <c r="C1324" s="54">
        <v>91331</v>
      </c>
    </row>
    <row r="1325" spans="2:3">
      <c r="B1325" s="167" t="s">
        <v>1059</v>
      </c>
      <c r="C1325" s="54">
        <v>93121</v>
      </c>
    </row>
    <row r="1326" spans="2:3">
      <c r="B1326" s="167" t="s">
        <v>2535</v>
      </c>
      <c r="C1326" s="54">
        <v>93127</v>
      </c>
    </row>
    <row r="1327" spans="2:3">
      <c r="B1327" s="167" t="s">
        <v>1126</v>
      </c>
      <c r="C1327" s="54">
        <v>95171</v>
      </c>
    </row>
    <row r="1328" spans="2:3">
      <c r="B1328" s="167" t="s">
        <v>1071</v>
      </c>
      <c r="C1328" s="54">
        <v>93421</v>
      </c>
    </row>
    <row r="1329" spans="2:3">
      <c r="B1329" s="167" t="s">
        <v>2416</v>
      </c>
      <c r="C1329" s="54">
        <v>99110</v>
      </c>
    </row>
    <row r="1330" spans="2:3">
      <c r="B1330" s="167" t="s">
        <v>2417</v>
      </c>
      <c r="C1330" s="54">
        <v>99109</v>
      </c>
    </row>
    <row r="1331" spans="2:3">
      <c r="B1331" s="167" t="s">
        <v>1049</v>
      </c>
      <c r="C1331" s="54">
        <v>92821</v>
      </c>
    </row>
    <row r="1332" spans="2:3">
      <c r="B1332" s="167" t="s">
        <v>1240</v>
      </c>
      <c r="C1332" s="54">
        <v>98521</v>
      </c>
    </row>
    <row r="1333" spans="2:3">
      <c r="B1333" s="167" t="s">
        <v>2536</v>
      </c>
      <c r="C1333" s="54">
        <v>92327</v>
      </c>
    </row>
    <row r="1334" spans="2:3">
      <c r="B1334" s="167" t="s">
        <v>2613</v>
      </c>
      <c r="C1334" s="54">
        <v>92321</v>
      </c>
    </row>
    <row r="1335" spans="2:3">
      <c r="B1335" s="167" t="s">
        <v>1313</v>
      </c>
      <c r="C1335" s="54">
        <v>95411</v>
      </c>
    </row>
    <row r="1336" spans="2:3">
      <c r="B1336" s="167" t="s">
        <v>2418</v>
      </c>
      <c r="C1336" s="54">
        <v>95415</v>
      </c>
    </row>
    <row r="1337" spans="2:3">
      <c r="B1337" s="167" t="s">
        <v>1052</v>
      </c>
      <c r="C1337" s="54">
        <v>92851</v>
      </c>
    </row>
    <row r="1338" spans="2:3">
      <c r="B1338" s="167" t="s">
        <v>1262</v>
      </c>
      <c r="C1338" s="54">
        <v>99291</v>
      </c>
    </row>
    <row r="1339" spans="2:3">
      <c r="B1339" s="167" t="s">
        <v>1173</v>
      </c>
      <c r="C1339" s="54">
        <v>96541</v>
      </c>
    </row>
    <row r="1340" spans="2:3">
      <c r="B1340" s="167" t="s">
        <v>1132</v>
      </c>
      <c r="C1340" s="54">
        <v>95431</v>
      </c>
    </row>
    <row r="1341" spans="2:3">
      <c r="B1341" s="167" t="s">
        <v>1224</v>
      </c>
      <c r="C1341" s="54">
        <v>98131</v>
      </c>
    </row>
    <row r="1342" spans="2:3">
      <c r="B1342" s="167" t="s">
        <v>2460</v>
      </c>
      <c r="C1342" s="54">
        <v>92461</v>
      </c>
    </row>
    <row r="1343" spans="2:3">
      <c r="B1343" s="167" t="s">
        <v>2537</v>
      </c>
      <c r="C1343" s="54">
        <v>92427</v>
      </c>
    </row>
    <row r="1344" spans="2:3">
      <c r="B1344" s="167" t="s">
        <v>1218</v>
      </c>
      <c r="C1344" s="54">
        <v>98051</v>
      </c>
    </row>
    <row r="1345" spans="2:3">
      <c r="B1345" s="167" t="s">
        <v>125</v>
      </c>
      <c r="C1345" s="54">
        <v>91102</v>
      </c>
    </row>
    <row r="1346" spans="2:3">
      <c r="B1346" s="167" t="s">
        <v>1108</v>
      </c>
      <c r="C1346" s="54">
        <v>94521</v>
      </c>
    </row>
    <row r="1347" spans="2:3">
      <c r="B1347" s="167" t="s">
        <v>2538</v>
      </c>
      <c r="C1347" s="54">
        <v>94527</v>
      </c>
    </row>
    <row r="1348" spans="2:3">
      <c r="B1348" s="167" t="s">
        <v>1332</v>
      </c>
      <c r="C1348" s="54">
        <v>98311</v>
      </c>
    </row>
    <row r="1349" spans="2:3">
      <c r="B1349" s="167" t="s">
        <v>2419</v>
      </c>
      <c r="C1349" s="54">
        <v>98313</v>
      </c>
    </row>
    <row r="1350" spans="2:3">
      <c r="B1350" s="167" t="s">
        <v>762</v>
      </c>
      <c r="C1350" s="54">
        <v>98308</v>
      </c>
    </row>
    <row r="1351" spans="2:3">
      <c r="B1351" s="167" t="s">
        <v>1030</v>
      </c>
      <c r="C1351" s="54">
        <v>92341</v>
      </c>
    </row>
    <row r="1352" spans="2:3">
      <c r="B1352" s="167" t="s">
        <v>496</v>
      </c>
      <c r="C1352" s="54">
        <v>95301</v>
      </c>
    </row>
    <row r="1353" spans="2:3">
      <c r="B1353" s="167" t="s">
        <v>981</v>
      </c>
      <c r="C1353" s="54">
        <v>91002</v>
      </c>
    </row>
    <row r="1354" spans="2:3">
      <c r="B1354" s="167" t="s">
        <v>1292</v>
      </c>
      <c r="C1354" s="54">
        <v>91451</v>
      </c>
    </row>
    <row r="1355" spans="2:3">
      <c r="B1355" s="167" t="s">
        <v>500</v>
      </c>
      <c r="C1355" s="54">
        <v>95401</v>
      </c>
    </row>
    <row r="1356" spans="2:3">
      <c r="B1356" s="167" t="s">
        <v>2539</v>
      </c>
      <c r="C1356" s="54">
        <v>95404</v>
      </c>
    </row>
    <row r="1357" spans="2:3">
      <c r="B1357" s="167" t="s">
        <v>171</v>
      </c>
      <c r="C1357" s="54">
        <v>91423</v>
      </c>
    </row>
    <row r="1358" spans="2:3">
      <c r="B1358" s="167" t="s">
        <v>2614</v>
      </c>
      <c r="C1358" s="54">
        <v>91457</v>
      </c>
    </row>
    <row r="1359" spans="2:3">
      <c r="B1359" s="167" t="s">
        <v>2461</v>
      </c>
      <c r="C1359" s="54">
        <v>90861</v>
      </c>
    </row>
    <row r="1360" spans="2:3">
      <c r="B1360" s="167" t="s">
        <v>1073</v>
      </c>
      <c r="C1360" s="54">
        <v>93451</v>
      </c>
    </row>
    <row r="1361" spans="2:3">
      <c r="B1361" s="167" t="s">
        <v>1299</v>
      </c>
      <c r="C1361" s="54">
        <v>92931</v>
      </c>
    </row>
    <row r="1362" spans="2:3">
      <c r="B1362" s="167" t="s">
        <v>2540</v>
      </c>
      <c r="C1362" s="54">
        <v>92917</v>
      </c>
    </row>
    <row r="1363" spans="2:3">
      <c r="B1363" s="167" t="s">
        <v>1203</v>
      </c>
      <c r="C1363" s="54">
        <v>97631</v>
      </c>
    </row>
    <row r="1364" spans="2:3">
      <c r="B1364" s="167" t="s">
        <v>2541</v>
      </c>
      <c r="C1364" s="54">
        <v>97637</v>
      </c>
    </row>
    <row r="1365" spans="2:3">
      <c r="B1365" s="167" t="s">
        <v>958</v>
      </c>
      <c r="C1365" s="54">
        <v>90421</v>
      </c>
    </row>
    <row r="1366" spans="2:3">
      <c r="B1366" s="167" t="s">
        <v>1101</v>
      </c>
      <c r="C1366" s="54">
        <v>94321</v>
      </c>
    </row>
    <row r="1367" spans="2:3">
      <c r="B1367" s="167" t="s">
        <v>509</v>
      </c>
      <c r="C1367" s="54">
        <v>95501</v>
      </c>
    </row>
    <row r="1368" spans="2:3">
      <c r="B1368" s="167" t="s">
        <v>2542</v>
      </c>
      <c r="C1368" s="54">
        <v>95504</v>
      </c>
    </row>
    <row r="1369" spans="2:3">
      <c r="B1369" s="167" t="s">
        <v>1314</v>
      </c>
      <c r="C1369" s="54">
        <v>95511</v>
      </c>
    </row>
    <row r="1370" spans="2:3">
      <c r="B1370" s="167" t="s">
        <v>2585</v>
      </c>
      <c r="C1370" s="54">
        <v>95517</v>
      </c>
    </row>
    <row r="1371" spans="2:3">
      <c r="B1371" s="167" t="s">
        <v>512</v>
      </c>
      <c r="C1371" s="54">
        <v>95513</v>
      </c>
    </row>
    <row r="1372" spans="2:3">
      <c r="B1372" s="167" t="s">
        <v>1044</v>
      </c>
      <c r="C1372" s="54">
        <v>92651</v>
      </c>
    </row>
    <row r="1373" spans="2:3">
      <c r="B1373" s="167" t="s">
        <v>1099</v>
      </c>
      <c r="C1373" s="54">
        <v>94261</v>
      </c>
    </row>
    <row r="1374" spans="2:3">
      <c r="B1374" s="167" t="s">
        <v>1334</v>
      </c>
      <c r="C1374" s="54">
        <v>98431</v>
      </c>
    </row>
    <row r="1375" spans="2:3">
      <c r="B1375" s="167" t="s">
        <v>2543</v>
      </c>
      <c r="C1375" s="54">
        <v>98404</v>
      </c>
    </row>
    <row r="1376" spans="2:3">
      <c r="B1376" s="167" t="s">
        <v>2609</v>
      </c>
      <c r="C1376" s="54">
        <v>91841</v>
      </c>
    </row>
    <row r="1377" spans="2:3">
      <c r="B1377" s="167" t="s">
        <v>1076</v>
      </c>
      <c r="C1377" s="54">
        <v>93521</v>
      </c>
    </row>
    <row r="1378" spans="2:3">
      <c r="B1378" s="167" t="s">
        <v>2544</v>
      </c>
      <c r="C1378" s="54">
        <v>93527</v>
      </c>
    </row>
    <row r="1379" spans="2:3">
      <c r="B1379" s="167" t="s">
        <v>1083</v>
      </c>
      <c r="C1379" s="54">
        <v>93661</v>
      </c>
    </row>
    <row r="1380" spans="2:3">
      <c r="B1380" s="167" t="s">
        <v>591</v>
      </c>
      <c r="C1380" s="54">
        <v>96508</v>
      </c>
    </row>
    <row r="1381" spans="2:3">
      <c r="B1381" s="167" t="s">
        <v>1278</v>
      </c>
      <c r="C1381" s="54">
        <v>99841</v>
      </c>
    </row>
    <row r="1382" spans="2:3">
      <c r="B1382" s="167" t="s">
        <v>694</v>
      </c>
      <c r="C1382" s="54">
        <v>97802</v>
      </c>
    </row>
    <row r="1383" spans="2:3">
      <c r="B1383" s="167" t="s">
        <v>1328</v>
      </c>
      <c r="C1383" s="54">
        <v>97811</v>
      </c>
    </row>
    <row r="1384" spans="2:3">
      <c r="B1384" s="167" t="s">
        <v>2545</v>
      </c>
      <c r="C1384" s="54">
        <v>97817</v>
      </c>
    </row>
    <row r="1385" spans="2:3">
      <c r="B1385" s="167" t="s">
        <v>2420</v>
      </c>
      <c r="C1385" s="54">
        <v>97818</v>
      </c>
    </row>
    <row r="1386" spans="2:3">
      <c r="B1386" s="167" t="s">
        <v>1069</v>
      </c>
      <c r="C1386" s="54">
        <v>93341</v>
      </c>
    </row>
    <row r="1387" spans="2:3">
      <c r="B1387" s="167" t="s">
        <v>514</v>
      </c>
      <c r="C1387" s="54">
        <v>95601</v>
      </c>
    </row>
    <row r="1388" spans="2:3">
      <c r="B1388" s="167" t="s">
        <v>1214</v>
      </c>
      <c r="C1388" s="54">
        <v>97941</v>
      </c>
    </row>
    <row r="1389" spans="2:3">
      <c r="B1389" s="167" t="s">
        <v>2546</v>
      </c>
      <c r="C1389" s="54">
        <v>97947</v>
      </c>
    </row>
    <row r="1390" spans="2:3">
      <c r="B1390" s="167" t="s">
        <v>518</v>
      </c>
      <c r="C1390" s="54">
        <v>95701</v>
      </c>
    </row>
    <row r="1391" spans="2:3">
      <c r="B1391" s="167" t="s">
        <v>719</v>
      </c>
      <c r="C1391" s="54">
        <v>97948</v>
      </c>
    </row>
    <row r="1392" spans="2:3">
      <c r="B1392" s="167" t="s">
        <v>1106</v>
      </c>
      <c r="C1392" s="54">
        <v>94421</v>
      </c>
    </row>
    <row r="1393" spans="2:3">
      <c r="B1393" s="167" t="s">
        <v>2547</v>
      </c>
      <c r="C1393" s="54">
        <v>94427</v>
      </c>
    </row>
    <row r="1394" spans="2:3">
      <c r="B1394" s="167" t="s">
        <v>2421</v>
      </c>
      <c r="C1394" s="54">
        <v>94428</v>
      </c>
    </row>
    <row r="1395" spans="2:3">
      <c r="B1395" s="167" t="s">
        <v>1066</v>
      </c>
      <c r="C1395" s="54">
        <v>93191</v>
      </c>
    </row>
    <row r="1396" spans="2:3">
      <c r="B1396" s="167" t="s">
        <v>1019</v>
      </c>
      <c r="C1396" s="54">
        <v>91831</v>
      </c>
    </row>
    <row r="1397" spans="2:3">
      <c r="B1397" s="167" t="s">
        <v>1050</v>
      </c>
      <c r="C1397" s="54">
        <v>92831</v>
      </c>
    </row>
    <row r="1398" spans="2:3">
      <c r="B1398" s="167" t="s">
        <v>1141</v>
      </c>
      <c r="C1398" s="54">
        <v>95911</v>
      </c>
    </row>
    <row r="1399" spans="2:3">
      <c r="B1399" s="167" t="s">
        <v>2548</v>
      </c>
      <c r="C1399" s="54">
        <v>95917</v>
      </c>
    </row>
    <row r="1400" spans="2:3">
      <c r="B1400" s="167" t="s">
        <v>1135</v>
      </c>
      <c r="C1400" s="54">
        <v>95711</v>
      </c>
    </row>
    <row r="1401" spans="2:3">
      <c r="B1401" s="167" t="s">
        <v>1136</v>
      </c>
      <c r="C1401" s="54">
        <v>95721</v>
      </c>
    </row>
    <row r="1402" spans="2:3">
      <c r="B1402" s="167" t="s">
        <v>1246</v>
      </c>
      <c r="C1402" s="54">
        <v>99021</v>
      </c>
    </row>
    <row r="1403" spans="2:3">
      <c r="B1403" s="167" t="s">
        <v>2422</v>
      </c>
      <c r="C1403" s="54">
        <v>95802</v>
      </c>
    </row>
    <row r="1404" spans="2:3">
      <c r="B1404" s="167" t="s">
        <v>522</v>
      </c>
      <c r="C1404" s="54">
        <v>95801</v>
      </c>
    </row>
    <row r="1405" spans="2:3">
      <c r="B1405" s="167" t="s">
        <v>2549</v>
      </c>
      <c r="C1405" s="54">
        <v>95804</v>
      </c>
    </row>
    <row r="1406" spans="2:3">
      <c r="B1406" s="167" t="s">
        <v>2423</v>
      </c>
      <c r="C1406" s="54">
        <v>90092</v>
      </c>
    </row>
    <row r="1407" spans="2:3">
      <c r="B1407" s="167" t="s">
        <v>948</v>
      </c>
      <c r="C1407" s="54">
        <v>99081</v>
      </c>
    </row>
    <row r="1408" spans="2:3">
      <c r="B1408" s="167" t="s">
        <v>1148</v>
      </c>
      <c r="C1408" s="54">
        <v>96071</v>
      </c>
    </row>
    <row r="1409" spans="2:3">
      <c r="B1409" s="167" t="s">
        <v>383</v>
      </c>
      <c r="C1409" s="54">
        <v>94002</v>
      </c>
    </row>
    <row r="1410" spans="2:3">
      <c r="B1410" s="167" t="s">
        <v>1207</v>
      </c>
      <c r="C1410" s="54">
        <v>97840</v>
      </c>
    </row>
    <row r="1411" spans="2:3">
      <c r="B1411" s="167" t="s">
        <v>2550</v>
      </c>
      <c r="C1411" s="54">
        <v>97847</v>
      </c>
    </row>
    <row r="1412" spans="2:3">
      <c r="B1412" s="167" t="s">
        <v>1212</v>
      </c>
      <c r="C1412" s="54">
        <v>97921</v>
      </c>
    </row>
    <row r="1413" spans="2:3">
      <c r="B1413" s="167" t="s">
        <v>1129</v>
      </c>
      <c r="C1413" s="54">
        <v>95221</v>
      </c>
    </row>
    <row r="1414" spans="2:3">
      <c r="B1414" s="167" t="s">
        <v>1080</v>
      </c>
      <c r="C1414" s="54">
        <v>93610</v>
      </c>
    </row>
    <row r="1415" spans="2:3">
      <c r="B1415" s="167" t="s">
        <v>2424</v>
      </c>
      <c r="C1415" s="54">
        <v>95901</v>
      </c>
    </row>
    <row r="1416" spans="2:3">
      <c r="B1416" s="167" t="s">
        <v>953</v>
      </c>
      <c r="C1416" s="54">
        <v>90114</v>
      </c>
    </row>
    <row r="1417" spans="2:3">
      <c r="B1417" s="167" t="s">
        <v>536</v>
      </c>
      <c r="C1417" s="54">
        <v>96001</v>
      </c>
    </row>
    <row r="1418" spans="2:3">
      <c r="B1418" s="167" t="s">
        <v>2551</v>
      </c>
      <c r="C1418" s="54">
        <v>96004</v>
      </c>
    </row>
    <row r="1419" spans="2:3">
      <c r="B1419" s="167" t="s">
        <v>2425</v>
      </c>
      <c r="C1419" s="54">
        <v>96008</v>
      </c>
    </row>
    <row r="1420" spans="2:3">
      <c r="B1420" s="167" t="s">
        <v>128</v>
      </c>
      <c r="C1420" s="54">
        <v>91108</v>
      </c>
    </row>
    <row r="1421" spans="2:3">
      <c r="B1421" s="167" t="s">
        <v>2426</v>
      </c>
      <c r="C1421" s="54">
        <v>94941</v>
      </c>
    </row>
    <row r="1422" spans="2:3">
      <c r="B1422" s="167" t="s">
        <v>1121</v>
      </c>
      <c r="C1422" s="54">
        <v>95122</v>
      </c>
    </row>
    <row r="1423" spans="2:3">
      <c r="B1423" s="167" t="s">
        <v>2427</v>
      </c>
      <c r="C1423" s="54">
        <v>92607</v>
      </c>
    </row>
    <row r="1424" spans="2:3">
      <c r="B1424" s="167" t="s">
        <v>1167</v>
      </c>
      <c r="C1424" s="54">
        <v>96431</v>
      </c>
    </row>
    <row r="1425" spans="2:3">
      <c r="B1425" s="167" t="s">
        <v>2318</v>
      </c>
      <c r="C1425" s="54">
        <v>90709</v>
      </c>
    </row>
    <row r="1426" spans="2:3">
      <c r="B1426" s="167" t="s">
        <v>1003</v>
      </c>
      <c r="C1426" s="54">
        <v>91341</v>
      </c>
    </row>
    <row r="1427" spans="2:3">
      <c r="B1427" s="167" t="s">
        <v>1344</v>
      </c>
      <c r="C1427" s="54">
        <v>92941</v>
      </c>
    </row>
    <row r="1428" spans="2:3">
      <c r="B1428" s="167" t="s">
        <v>1110</v>
      </c>
      <c r="C1428" s="54">
        <v>94551</v>
      </c>
    </row>
    <row r="1429" spans="2:3">
      <c r="B1429" s="167" t="s">
        <v>1350</v>
      </c>
      <c r="C1429" s="54">
        <v>99022</v>
      </c>
    </row>
    <row r="1430" spans="2:3">
      <c r="B1430" s="167" t="s">
        <v>1144</v>
      </c>
      <c r="C1430" s="54">
        <v>96031</v>
      </c>
    </row>
    <row r="1431" spans="2:3">
      <c r="B1431" s="167" t="s">
        <v>941</v>
      </c>
      <c r="C1431" s="54">
        <v>98414</v>
      </c>
    </row>
    <row r="1432" spans="2:3">
      <c r="B1432" s="167" t="s">
        <v>551</v>
      </c>
      <c r="C1432" s="54">
        <v>96101</v>
      </c>
    </row>
    <row r="1433" spans="2:3">
      <c r="B1433" s="167" t="s">
        <v>2428</v>
      </c>
      <c r="C1433" s="54">
        <v>96102</v>
      </c>
    </row>
    <row r="1434" spans="2:3">
      <c r="B1434" s="167" t="s">
        <v>1055</v>
      </c>
      <c r="C1434" s="54">
        <v>93011</v>
      </c>
    </row>
    <row r="1435" spans="2:3">
      <c r="B1435" s="167" t="s">
        <v>1336</v>
      </c>
      <c r="C1435" s="54">
        <v>99011</v>
      </c>
    </row>
    <row r="1436" spans="2:3">
      <c r="B1436" s="167" t="s">
        <v>2552</v>
      </c>
      <c r="C1436" s="54">
        <v>99017</v>
      </c>
    </row>
    <row r="1437" spans="2:3">
      <c r="B1437" s="167" t="s">
        <v>2615</v>
      </c>
      <c r="C1437" s="54">
        <v>99013</v>
      </c>
    </row>
    <row r="1438" spans="2:3">
      <c r="B1438" s="167" t="s">
        <v>555</v>
      </c>
      <c r="C1438" s="54">
        <v>96201</v>
      </c>
    </row>
    <row r="1439" spans="2:3">
      <c r="B1439" s="167" t="s">
        <v>2553</v>
      </c>
      <c r="C1439" s="54">
        <v>96204</v>
      </c>
    </row>
    <row r="1440" spans="2:3">
      <c r="B1440" s="167" t="s">
        <v>994</v>
      </c>
      <c r="C1440" s="54">
        <v>91161</v>
      </c>
    </row>
    <row r="1441" spans="2:3">
      <c r="B1441" s="167" t="s">
        <v>562</v>
      </c>
      <c r="C1441" s="54">
        <v>96301</v>
      </c>
    </row>
    <row r="1442" spans="2:3">
      <c r="B1442" s="167" t="s">
        <v>2554</v>
      </c>
      <c r="C1442" s="54">
        <v>96304</v>
      </c>
    </row>
    <row r="1443" spans="2:3">
      <c r="B1443" s="167" t="s">
        <v>566</v>
      </c>
      <c r="C1443" s="54">
        <v>96310</v>
      </c>
    </row>
    <row r="1444" spans="2:3">
      <c r="B1444" s="167" t="s">
        <v>2429</v>
      </c>
      <c r="C1444" s="54">
        <v>96305</v>
      </c>
    </row>
    <row r="1445" spans="2:3">
      <c r="B1445" s="167" t="s">
        <v>1311</v>
      </c>
      <c r="C1445" s="54">
        <v>94921</v>
      </c>
    </row>
    <row r="1446" spans="2:3">
      <c r="B1446" s="167" t="s">
        <v>2555</v>
      </c>
      <c r="C1446" s="54">
        <v>94927</v>
      </c>
    </row>
    <row r="1447" spans="2:3">
      <c r="B1447" s="167" t="s">
        <v>464</v>
      </c>
      <c r="C1447" s="54">
        <v>94923</v>
      </c>
    </row>
    <row r="1448" spans="2:3">
      <c r="B1448" s="167" t="s">
        <v>1008</v>
      </c>
      <c r="C1448" s="54">
        <v>91611</v>
      </c>
    </row>
    <row r="1449" spans="2:3">
      <c r="B1449" s="167" t="s">
        <v>1290</v>
      </c>
      <c r="C1449" s="54">
        <v>91231</v>
      </c>
    </row>
    <row r="1450" spans="2:3">
      <c r="B1450" s="167" t="s">
        <v>2556</v>
      </c>
      <c r="C1450" s="54">
        <v>91217</v>
      </c>
    </row>
    <row r="1451" spans="2:3">
      <c r="B1451" s="167" t="s">
        <v>153</v>
      </c>
      <c r="C1451" s="54">
        <v>91233</v>
      </c>
    </row>
    <row r="1452" spans="2:3">
      <c r="B1452" s="167" t="s">
        <v>1254</v>
      </c>
      <c r="C1452" s="54">
        <v>99206</v>
      </c>
    </row>
    <row r="1453" spans="2:3">
      <c r="B1453" s="167" t="s">
        <v>962</v>
      </c>
      <c r="C1453" s="54">
        <v>90461</v>
      </c>
    </row>
    <row r="1454" spans="2:3">
      <c r="B1454" s="167" t="s">
        <v>2430</v>
      </c>
      <c r="C1454" s="54">
        <v>98637</v>
      </c>
    </row>
    <row r="1455" spans="2:3">
      <c r="B1455" s="167" t="s">
        <v>1156</v>
      </c>
      <c r="C1455" s="54">
        <v>96251</v>
      </c>
    </row>
    <row r="1456" spans="2:3">
      <c r="B1456" s="167" t="s">
        <v>1271</v>
      </c>
      <c r="C1456" s="54">
        <v>99621</v>
      </c>
    </row>
    <row r="1457" spans="2:3">
      <c r="B1457" s="167" t="s">
        <v>1001</v>
      </c>
      <c r="C1457" s="54">
        <v>91321</v>
      </c>
    </row>
    <row r="1458" spans="2:3">
      <c r="B1458" s="167" t="s">
        <v>2616</v>
      </c>
      <c r="C1458" s="54">
        <v>98631</v>
      </c>
    </row>
    <row r="1459" spans="2:3">
      <c r="B1459" s="167" t="s">
        <v>2617</v>
      </c>
      <c r="C1459" s="54">
        <v>93691</v>
      </c>
    </row>
    <row r="1460" spans="2:3">
      <c r="B1460" s="167" t="s">
        <v>2431</v>
      </c>
      <c r="C1460" s="54">
        <v>99623</v>
      </c>
    </row>
    <row r="1461" spans="2:3">
      <c r="B1461" s="167" t="s">
        <v>2557</v>
      </c>
      <c r="C1461" s="54">
        <v>91327</v>
      </c>
    </row>
    <row r="1462" spans="2:3">
      <c r="B1462" s="167" t="s">
        <v>1112</v>
      </c>
      <c r="C1462" s="54">
        <v>94621</v>
      </c>
    </row>
    <row r="1463" spans="2:3">
      <c r="B1463" s="167" t="s">
        <v>1026</v>
      </c>
      <c r="C1463" s="54">
        <v>92011</v>
      </c>
    </row>
    <row r="1464" spans="2:3">
      <c r="B1464" s="167" t="s">
        <v>2558</v>
      </c>
      <c r="C1464" s="54">
        <v>92017</v>
      </c>
    </row>
    <row r="1465" spans="2:3">
      <c r="B1465" s="167" t="s">
        <v>2432</v>
      </c>
      <c r="C1465" s="54">
        <v>99991</v>
      </c>
    </row>
    <row r="1466" spans="2:3">
      <c r="B1466" s="167" t="s">
        <v>2433</v>
      </c>
      <c r="C1466" s="54">
        <v>99999</v>
      </c>
    </row>
    <row r="1467" spans="2:3">
      <c r="B1467" s="167" t="s">
        <v>1048</v>
      </c>
      <c r="C1467" s="54">
        <v>92811</v>
      </c>
    </row>
    <row r="1468" spans="2:3">
      <c r="B1468" s="167" t="s">
        <v>217</v>
      </c>
      <c r="C1468" s="54">
        <v>92005</v>
      </c>
    </row>
    <row r="1469" spans="2:3">
      <c r="B1469" s="167" t="s">
        <v>577</v>
      </c>
      <c r="C1469" s="54">
        <v>96401</v>
      </c>
    </row>
    <row r="1470" spans="2:3">
      <c r="B1470" s="167" t="s">
        <v>2559</v>
      </c>
      <c r="C1470" s="54">
        <v>96404</v>
      </c>
    </row>
    <row r="1471" spans="2:3">
      <c r="B1471" s="167" t="s">
        <v>1166</v>
      </c>
      <c r="C1471" s="54">
        <v>96421</v>
      </c>
    </row>
    <row r="1472" spans="2:3">
      <c r="B1472" s="167" t="s">
        <v>1341</v>
      </c>
      <c r="C1472" s="54">
        <v>91026</v>
      </c>
    </row>
    <row r="1473" spans="2:3">
      <c r="B1473" s="167" t="s">
        <v>502</v>
      </c>
      <c r="C1473" s="54">
        <v>95405</v>
      </c>
    </row>
    <row r="1474" spans="2:3">
      <c r="B1474" s="167" t="s">
        <v>2434</v>
      </c>
      <c r="C1474" s="54">
        <v>94005</v>
      </c>
    </row>
    <row r="1475" spans="2:3">
      <c r="B1475" s="167" t="s">
        <v>2435</v>
      </c>
      <c r="C1475" s="54">
        <v>95205</v>
      </c>
    </row>
    <row r="1476" spans="2:3">
      <c r="B1476" s="167" t="s">
        <v>252</v>
      </c>
      <c r="C1476" s="54">
        <v>92507</v>
      </c>
    </row>
    <row r="1477" spans="2:3">
      <c r="B1477" s="167" t="s">
        <v>2607</v>
      </c>
      <c r="C1477" s="54">
        <v>92113</v>
      </c>
    </row>
    <row r="1478" spans="2:3">
      <c r="B1478" s="167" t="s">
        <v>2436</v>
      </c>
      <c r="C1478" s="54">
        <v>96502</v>
      </c>
    </row>
    <row r="1479" spans="2:3">
      <c r="B1479" s="167" t="s">
        <v>586</v>
      </c>
      <c r="C1479" s="54">
        <v>96501</v>
      </c>
    </row>
    <row r="1480" spans="2:3">
      <c r="B1480" s="167" t="s">
        <v>2560</v>
      </c>
      <c r="C1480" s="54">
        <v>96504</v>
      </c>
    </row>
    <row r="1481" spans="2:3">
      <c r="B1481" s="167" t="s">
        <v>2608</v>
      </c>
      <c r="C1481" s="54">
        <v>97913</v>
      </c>
    </row>
    <row r="1482" spans="2:3">
      <c r="B1482" s="167" t="s">
        <v>2618</v>
      </c>
      <c r="C1482" s="54">
        <v>92511</v>
      </c>
    </row>
    <row r="1483" spans="2:3">
      <c r="B1483" s="167" t="s">
        <v>966</v>
      </c>
      <c r="C1483" s="54">
        <v>90621</v>
      </c>
    </row>
    <row r="1484" spans="2:3">
      <c r="B1484" s="167" t="s">
        <v>1009</v>
      </c>
      <c r="C1484" s="54">
        <v>91621</v>
      </c>
    </row>
    <row r="1485" spans="2:3">
      <c r="B1485" s="167" t="s">
        <v>1022</v>
      </c>
      <c r="C1485" s="54">
        <v>91871</v>
      </c>
    </row>
    <row r="1486" spans="2:3">
      <c r="B1486" s="167" t="s">
        <v>1228</v>
      </c>
      <c r="C1486" s="54">
        <v>98231</v>
      </c>
    </row>
    <row r="1487" spans="2:3">
      <c r="B1487" s="167" t="s">
        <v>1263</v>
      </c>
      <c r="C1487" s="54">
        <v>99311</v>
      </c>
    </row>
    <row r="1488" spans="2:3">
      <c r="B1488" s="167" t="s">
        <v>1185</v>
      </c>
      <c r="C1488" s="54">
        <v>96751</v>
      </c>
    </row>
    <row r="1489" spans="2:3">
      <c r="B1489" s="167" t="s">
        <v>1274</v>
      </c>
      <c r="C1489" s="54">
        <v>99711</v>
      </c>
    </row>
    <row r="1490" spans="2:3">
      <c r="B1490" s="167" t="s">
        <v>2586</v>
      </c>
      <c r="C1490" s="54">
        <v>99717</v>
      </c>
    </row>
    <row r="1491" spans="2:3">
      <c r="B1491" s="167" t="s">
        <v>598</v>
      </c>
      <c r="C1491" s="54">
        <v>96601</v>
      </c>
    </row>
    <row r="1492" spans="2:3">
      <c r="B1492" s="167" t="s">
        <v>2561</v>
      </c>
      <c r="C1492" s="54">
        <v>96604</v>
      </c>
    </row>
    <row r="1493" spans="2:3">
      <c r="B1493" s="167" t="s">
        <v>1288</v>
      </c>
      <c r="C1493" s="54">
        <v>91012</v>
      </c>
    </row>
    <row r="1494" spans="2:3">
      <c r="B1494" s="167" t="s">
        <v>50</v>
      </c>
      <c r="C1494" s="54">
        <v>90305</v>
      </c>
    </row>
    <row r="1495" spans="2:3">
      <c r="B1495" s="167" t="s">
        <v>1235</v>
      </c>
      <c r="C1495" s="54">
        <v>98421</v>
      </c>
    </row>
    <row r="1496" spans="2:3">
      <c r="B1496" s="167" t="s">
        <v>2562</v>
      </c>
      <c r="C1496" s="54">
        <v>98427</v>
      </c>
    </row>
    <row r="1497" spans="2:3">
      <c r="B1497" s="167" t="s">
        <v>1137</v>
      </c>
      <c r="C1497" s="54">
        <v>95821</v>
      </c>
    </row>
    <row r="1498" spans="2:3">
      <c r="B1498" s="167" t="s">
        <v>985</v>
      </c>
      <c r="C1498" s="54">
        <v>91021</v>
      </c>
    </row>
    <row r="1499" spans="2:3">
      <c r="B1499" s="167" t="s">
        <v>2563</v>
      </c>
      <c r="C1499" s="54">
        <v>91027</v>
      </c>
    </row>
    <row r="1500" spans="2:3">
      <c r="B1500" s="167" t="s">
        <v>1093</v>
      </c>
      <c r="C1500" s="54">
        <v>94161</v>
      </c>
    </row>
    <row r="1501" spans="2:3">
      <c r="B1501" s="167" t="s">
        <v>1236</v>
      </c>
      <c r="C1501" s="54">
        <v>98441</v>
      </c>
    </row>
    <row r="1502" spans="2:3">
      <c r="B1502" s="167" t="s">
        <v>989</v>
      </c>
      <c r="C1502" s="54">
        <v>91061</v>
      </c>
    </row>
    <row r="1503" spans="2:3">
      <c r="B1503" s="167" t="s">
        <v>2564</v>
      </c>
      <c r="C1503" s="54">
        <v>91067</v>
      </c>
    </row>
    <row r="1504" spans="2:3">
      <c r="B1504" s="167" t="s">
        <v>2437</v>
      </c>
      <c r="C1504" s="54">
        <v>94812</v>
      </c>
    </row>
    <row r="1505" spans="2:3">
      <c r="B1505" s="167" t="s">
        <v>1142</v>
      </c>
      <c r="C1505" s="54">
        <v>95921</v>
      </c>
    </row>
    <row r="1506" spans="2:3">
      <c r="B1506" s="167" t="s">
        <v>609</v>
      </c>
      <c r="C1506" s="54">
        <v>96701</v>
      </c>
    </row>
    <row r="1507" spans="2:3">
      <c r="B1507" s="167" t="s">
        <v>2565</v>
      </c>
      <c r="C1507" s="54">
        <v>96704</v>
      </c>
    </row>
    <row r="1508" spans="2:3">
      <c r="B1508" s="167" t="s">
        <v>2438</v>
      </c>
      <c r="C1508" s="54">
        <v>96708</v>
      </c>
    </row>
    <row r="1509" spans="2:3">
      <c r="B1509" s="167" t="s">
        <v>618</v>
      </c>
      <c r="C1509" s="54">
        <v>96801</v>
      </c>
    </row>
    <row r="1510" spans="2:3">
      <c r="B1510" s="167" t="s">
        <v>2566</v>
      </c>
      <c r="C1510" s="54">
        <v>96804</v>
      </c>
    </row>
    <row r="1511" spans="2:3">
      <c r="B1511" s="167" t="s">
        <v>2439</v>
      </c>
      <c r="C1511" s="54">
        <v>96808</v>
      </c>
    </row>
    <row r="1512" spans="2:3">
      <c r="B1512" s="167" t="s">
        <v>1190</v>
      </c>
      <c r="C1512" s="54">
        <v>96912</v>
      </c>
    </row>
    <row r="1513" spans="2:3">
      <c r="B1513" s="167" t="s">
        <v>1306</v>
      </c>
      <c r="C1513" s="54">
        <v>93911</v>
      </c>
    </row>
    <row r="1514" spans="2:3">
      <c r="B1514" s="167" t="s">
        <v>378</v>
      </c>
      <c r="C1514" s="54">
        <v>93913</v>
      </c>
    </row>
    <row r="1515" spans="2:3">
      <c r="B1515" s="167" t="s">
        <v>624</v>
      </c>
      <c r="C1515" s="54">
        <v>96901</v>
      </c>
    </row>
    <row r="1516" spans="2:3">
      <c r="B1516" s="167" t="s">
        <v>2462</v>
      </c>
      <c r="C1516" s="54">
        <v>97841</v>
      </c>
    </row>
    <row r="1517" spans="2:3">
      <c r="B1517" s="167" t="s">
        <v>313</v>
      </c>
      <c r="C1517" s="54">
        <v>93202</v>
      </c>
    </row>
    <row r="1518" spans="2:3">
      <c r="B1518" s="167" t="s">
        <v>2321</v>
      </c>
      <c r="C1518" s="54">
        <v>93609</v>
      </c>
    </row>
    <row r="1519" spans="2:3">
      <c r="B1519" s="167" t="s">
        <v>2567</v>
      </c>
      <c r="C1519" s="54">
        <v>97004</v>
      </c>
    </row>
    <row r="1520" spans="2:3">
      <c r="B1520" s="167" t="s">
        <v>628</v>
      </c>
      <c r="C1520" s="54">
        <v>97001</v>
      </c>
    </row>
    <row r="1521" spans="2:3">
      <c r="B1521" s="167" t="s">
        <v>629</v>
      </c>
      <c r="C1521" s="54">
        <v>97002</v>
      </c>
    </row>
    <row r="1522" spans="2:3">
      <c r="B1522" s="167" t="s">
        <v>637</v>
      </c>
      <c r="C1522" s="54">
        <v>97015</v>
      </c>
    </row>
    <row r="1523" spans="2:3">
      <c r="B1523" s="167" t="s">
        <v>960</v>
      </c>
      <c r="C1523" s="54">
        <v>90441</v>
      </c>
    </row>
    <row r="1524" spans="2:3">
      <c r="B1524" s="167" t="s">
        <v>1208</v>
      </c>
      <c r="C1524" s="54">
        <v>97851</v>
      </c>
    </row>
    <row r="1525" spans="2:3">
      <c r="B1525" s="167" t="s">
        <v>707</v>
      </c>
      <c r="C1525" s="54">
        <v>97853</v>
      </c>
    </row>
    <row r="1526" spans="2:3">
      <c r="B1526" s="167" t="s">
        <v>639</v>
      </c>
      <c r="C1526" s="54">
        <v>97101</v>
      </c>
    </row>
    <row r="1527" spans="2:3">
      <c r="B1527" s="167" t="s">
        <v>2568</v>
      </c>
      <c r="C1527" s="54">
        <v>97104</v>
      </c>
    </row>
    <row r="1528" spans="2:3">
      <c r="B1528" s="167" t="s">
        <v>644</v>
      </c>
      <c r="C1528" s="54">
        <v>97201</v>
      </c>
    </row>
    <row r="1529" spans="2:3">
      <c r="B1529" s="167" t="s">
        <v>2569</v>
      </c>
      <c r="C1529" s="54">
        <v>97304</v>
      </c>
    </row>
    <row r="1530" spans="2:3">
      <c r="B1530" s="167" t="s">
        <v>649</v>
      </c>
      <c r="C1530" s="54">
        <v>97301</v>
      </c>
    </row>
    <row r="1531" spans="2:3">
      <c r="B1531" s="167" t="s">
        <v>846</v>
      </c>
      <c r="C1531" s="54">
        <v>99405</v>
      </c>
    </row>
    <row r="1532" spans="2:3">
      <c r="B1532" s="167" t="s">
        <v>28</v>
      </c>
      <c r="C1532" s="54">
        <v>72265</v>
      </c>
    </row>
    <row r="1533" spans="2:3">
      <c r="B1533" s="167" t="s">
        <v>2440</v>
      </c>
      <c r="C1533" s="54">
        <v>94112</v>
      </c>
    </row>
    <row r="1534" spans="2:3">
      <c r="B1534" s="167" t="s">
        <v>332</v>
      </c>
      <c r="C1534" s="54">
        <v>93406</v>
      </c>
    </row>
    <row r="1535" spans="2:3">
      <c r="B1535" s="167" t="s">
        <v>1273</v>
      </c>
      <c r="C1535" s="54">
        <v>99651</v>
      </c>
    </row>
    <row r="1536" spans="2:3">
      <c r="B1536" s="167" t="s">
        <v>1241</v>
      </c>
      <c r="C1536" s="54">
        <v>98611</v>
      </c>
    </row>
    <row r="1537" spans="2:3">
      <c r="B1537" s="167" t="s">
        <v>2570</v>
      </c>
      <c r="C1537" s="54">
        <v>98607</v>
      </c>
    </row>
    <row r="1538" spans="2:3">
      <c r="B1538" s="167" t="s">
        <v>1011</v>
      </c>
      <c r="C1538" s="54">
        <v>91641</v>
      </c>
    </row>
    <row r="1539" spans="2:3">
      <c r="B1539" s="167" t="s">
        <v>1125</v>
      </c>
      <c r="C1539" s="54">
        <v>95161</v>
      </c>
    </row>
    <row r="1540" spans="2:3">
      <c r="B1540" s="167" t="s">
        <v>1163</v>
      </c>
      <c r="C1540" s="54">
        <v>96361</v>
      </c>
    </row>
    <row r="1541" spans="2:3">
      <c r="B1541" s="167" t="s">
        <v>2441</v>
      </c>
      <c r="C1541" s="54">
        <v>94108</v>
      </c>
    </row>
    <row r="1542" spans="2:3">
      <c r="B1542" s="167" t="s">
        <v>945</v>
      </c>
      <c r="C1542" s="54">
        <v>96351</v>
      </c>
    </row>
    <row r="1543" spans="2:3">
      <c r="B1543" s="167" t="s">
        <v>1068</v>
      </c>
      <c r="C1543" s="54">
        <v>93331</v>
      </c>
    </row>
    <row r="1544" spans="2:3">
      <c r="B1544" s="167" t="s">
        <v>1143</v>
      </c>
      <c r="C1544" s="54">
        <v>96021</v>
      </c>
    </row>
    <row r="1545" spans="2:3">
      <c r="B1545" s="167" t="s">
        <v>1131</v>
      </c>
      <c r="C1545" s="54">
        <v>95421</v>
      </c>
    </row>
    <row r="1546" spans="2:3">
      <c r="B1546" s="167" t="s">
        <v>652</v>
      </c>
      <c r="C1546" s="54">
        <v>97401</v>
      </c>
    </row>
    <row r="1547" spans="2:3">
      <c r="B1547" s="167" t="s">
        <v>2571</v>
      </c>
      <c r="C1547" s="54">
        <v>97404</v>
      </c>
    </row>
    <row r="1548" spans="2:3">
      <c r="B1548" s="167" t="s">
        <v>2442</v>
      </c>
      <c r="C1548" s="54">
        <v>97402</v>
      </c>
    </row>
    <row r="1549" spans="2:3">
      <c r="B1549" s="167" t="s">
        <v>1025</v>
      </c>
      <c r="C1549" s="54">
        <v>91921</v>
      </c>
    </row>
    <row r="1550" spans="2:3">
      <c r="B1550" s="167" t="s">
        <v>2443</v>
      </c>
      <c r="C1550" s="54">
        <v>95908</v>
      </c>
    </row>
    <row r="1551" spans="2:3">
      <c r="B1551" s="167" t="s">
        <v>1265</v>
      </c>
      <c r="C1551" s="54">
        <v>99411</v>
      </c>
    </row>
    <row r="1552" spans="2:3">
      <c r="B1552" s="167" t="s">
        <v>848</v>
      </c>
      <c r="C1552" s="54">
        <v>99413</v>
      </c>
    </row>
    <row r="1553" spans="2:3">
      <c r="B1553" s="167" t="s">
        <v>669</v>
      </c>
      <c r="C1553" s="54">
        <v>97501</v>
      </c>
    </row>
    <row r="1554" spans="2:3">
      <c r="B1554" s="167" t="s">
        <v>959</v>
      </c>
      <c r="C1554" s="54">
        <v>90431</v>
      </c>
    </row>
    <row r="1555" spans="2:3">
      <c r="B1555" s="167" t="s">
        <v>1128</v>
      </c>
      <c r="C1555" s="54">
        <v>95211</v>
      </c>
    </row>
    <row r="1556" spans="2:3">
      <c r="B1556" s="167" t="s">
        <v>1127</v>
      </c>
      <c r="C1556" s="54">
        <v>95181</v>
      </c>
    </row>
    <row r="1557" spans="2:3">
      <c r="B1557" s="167" t="s">
        <v>1070</v>
      </c>
      <c r="C1557" s="54">
        <v>93351</v>
      </c>
    </row>
    <row r="1558" spans="2:3">
      <c r="B1558" s="167" t="s">
        <v>2444</v>
      </c>
      <c r="C1558" s="54">
        <v>95105</v>
      </c>
    </row>
    <row r="1559" spans="2:3">
      <c r="B1559" s="167" t="s">
        <v>2445</v>
      </c>
      <c r="C1559" s="54">
        <v>92614</v>
      </c>
    </row>
    <row r="1560" spans="2:3">
      <c r="B1560" s="167" t="s">
        <v>1115</v>
      </c>
      <c r="C1560" s="54">
        <v>94711</v>
      </c>
    </row>
    <row r="1561" spans="2:3">
      <c r="B1561" s="167" t="s">
        <v>1338</v>
      </c>
      <c r="C1561" s="54">
        <v>99211</v>
      </c>
    </row>
    <row r="1562" spans="2:3">
      <c r="B1562" s="167" t="s">
        <v>829</v>
      </c>
      <c r="C1562" s="54">
        <v>99218</v>
      </c>
    </row>
    <row r="1563" spans="2:3">
      <c r="B1563" s="167" t="s">
        <v>2619</v>
      </c>
      <c r="C1563" s="54">
        <v>99213</v>
      </c>
    </row>
    <row r="1564" spans="2:3">
      <c r="B1564" s="167" t="s">
        <v>1204</v>
      </c>
      <c r="C1564" s="54">
        <v>97641</v>
      </c>
    </row>
    <row r="1565" spans="2:3">
      <c r="B1565" s="167" t="s">
        <v>1323</v>
      </c>
      <c r="C1565" s="54">
        <v>97621</v>
      </c>
    </row>
    <row r="1566" spans="2:3">
      <c r="B1566" s="167" t="s">
        <v>2620</v>
      </c>
      <c r="C1566" s="54">
        <v>97627</v>
      </c>
    </row>
    <row r="1567" spans="2:3">
      <c r="B1567" s="167" t="s">
        <v>2621</v>
      </c>
      <c r="C1567" s="54">
        <v>97623</v>
      </c>
    </row>
    <row r="1568" spans="2:3">
      <c r="B1568" s="167" t="s">
        <v>673</v>
      </c>
      <c r="C1568" s="54">
        <v>97601</v>
      </c>
    </row>
    <row r="1569" spans="2:3">
      <c r="B1569" s="167" t="s">
        <v>1084</v>
      </c>
      <c r="C1569" s="54">
        <v>93681</v>
      </c>
    </row>
    <row r="1570" spans="2:3">
      <c r="B1570" s="167" t="s">
        <v>1210</v>
      </c>
      <c r="C1570" s="54">
        <v>97871</v>
      </c>
    </row>
    <row r="1571" spans="2:3">
      <c r="B1571" s="167" t="s">
        <v>2572</v>
      </c>
      <c r="C1571" s="54">
        <v>97877</v>
      </c>
    </row>
    <row r="1572" spans="2:3">
      <c r="B1572" s="167" t="s">
        <v>852</v>
      </c>
      <c r="C1572" s="54">
        <v>99502</v>
      </c>
    </row>
    <row r="1573" spans="2:3">
      <c r="B1573" s="167" t="s">
        <v>1211</v>
      </c>
      <c r="C1573" s="54">
        <v>97911</v>
      </c>
    </row>
    <row r="1574" spans="2:3">
      <c r="B1574" s="167" t="s">
        <v>2573</v>
      </c>
      <c r="C1574" s="54">
        <v>97917</v>
      </c>
    </row>
    <row r="1575" spans="2:3">
      <c r="B1575" s="167" t="s">
        <v>1174</v>
      </c>
      <c r="C1575" s="54">
        <v>96611</v>
      </c>
    </row>
    <row r="1576" spans="2:3">
      <c r="B1576" s="167" t="s">
        <v>1184</v>
      </c>
      <c r="C1576" s="54">
        <v>96741</v>
      </c>
    </row>
    <row r="1577" spans="2:3">
      <c r="B1577" s="167" t="s">
        <v>685</v>
      </c>
      <c r="C1577" s="54">
        <v>97701</v>
      </c>
    </row>
    <row r="1578" spans="2:3">
      <c r="B1578" s="167" t="s">
        <v>1037</v>
      </c>
      <c r="C1578" s="54">
        <v>92541</v>
      </c>
    </row>
    <row r="1579" spans="2:3">
      <c r="B1579" s="167" t="s">
        <v>409</v>
      </c>
      <c r="C1579" s="54">
        <v>94209</v>
      </c>
    </row>
    <row r="1580" spans="2:3">
      <c r="B1580" s="167" t="s">
        <v>2622</v>
      </c>
      <c r="C1580" s="54">
        <v>94221</v>
      </c>
    </row>
    <row r="1581" spans="2:3">
      <c r="B1581" s="167" t="s">
        <v>1162</v>
      </c>
      <c r="C1581" s="54">
        <v>96341</v>
      </c>
    </row>
    <row r="1582" spans="2:3">
      <c r="B1582" s="167" t="s">
        <v>1085</v>
      </c>
      <c r="C1582" s="54">
        <v>93821</v>
      </c>
    </row>
    <row r="1583" spans="2:3">
      <c r="B1583" s="167" t="s">
        <v>1140</v>
      </c>
      <c r="C1583" s="54">
        <v>95851</v>
      </c>
    </row>
    <row r="1584" spans="2:3">
      <c r="B1584" s="167" t="s">
        <v>531</v>
      </c>
      <c r="C1584" s="54">
        <v>95853</v>
      </c>
    </row>
    <row r="1585" spans="2:3">
      <c r="B1585" s="167" t="s">
        <v>693</v>
      </c>
      <c r="C1585" s="54">
        <v>97801</v>
      </c>
    </row>
    <row r="1586" spans="2:3">
      <c r="B1586" s="167" t="s">
        <v>695</v>
      </c>
      <c r="C1586" s="54">
        <v>97803</v>
      </c>
    </row>
    <row r="1587" spans="2:3">
      <c r="B1587" s="167" t="s">
        <v>696</v>
      </c>
      <c r="C1587" s="54">
        <v>97805</v>
      </c>
    </row>
    <row r="1588" spans="2:3">
      <c r="B1588" s="167" t="s">
        <v>1326</v>
      </c>
      <c r="C1588" s="54">
        <v>97711</v>
      </c>
    </row>
    <row r="1589" spans="2:3">
      <c r="B1589" s="167" t="s">
        <v>711</v>
      </c>
      <c r="C1589" s="54">
        <v>97901</v>
      </c>
    </row>
    <row r="1590" spans="2:3">
      <c r="B1590" s="167" t="s">
        <v>688</v>
      </c>
      <c r="C1590" s="54">
        <v>97713</v>
      </c>
    </row>
    <row r="1591" spans="2:3">
      <c r="B1591" s="167" t="s">
        <v>2623</v>
      </c>
      <c r="C1591" s="54">
        <v>97727</v>
      </c>
    </row>
    <row r="1592" spans="2:3">
      <c r="B1592" s="167" t="s">
        <v>1220</v>
      </c>
      <c r="C1592" s="54">
        <v>98071</v>
      </c>
    </row>
    <row r="1593" spans="2:3">
      <c r="B1593" s="167" t="s">
        <v>325</v>
      </c>
      <c r="C1593" s="54">
        <v>93323</v>
      </c>
    </row>
    <row r="1594" spans="2:3">
      <c r="B1594" s="167" t="s">
        <v>2446</v>
      </c>
      <c r="C1594" s="54">
        <v>93333</v>
      </c>
    </row>
    <row r="1595" spans="2:3">
      <c r="B1595" s="167" t="s">
        <v>2624</v>
      </c>
      <c r="C1595" s="54">
        <v>93321</v>
      </c>
    </row>
    <row r="1596" spans="2:3">
      <c r="B1596" s="167" t="s">
        <v>1253</v>
      </c>
      <c r="C1596" s="54">
        <v>99203</v>
      </c>
    </row>
    <row r="1597" spans="2:3">
      <c r="B1597" s="167" t="s">
        <v>1266</v>
      </c>
      <c r="C1597" s="54">
        <v>99421</v>
      </c>
    </row>
    <row r="1598" spans="2:3">
      <c r="B1598" s="167" t="s">
        <v>1063</v>
      </c>
      <c r="C1598" s="54">
        <v>93161</v>
      </c>
    </row>
    <row r="1599" spans="2:3">
      <c r="B1599" s="167" t="s">
        <v>1231</v>
      </c>
      <c r="C1599" s="54">
        <v>98261</v>
      </c>
    </row>
    <row r="1600" spans="2:3">
      <c r="B1600" s="167" t="s">
        <v>2574</v>
      </c>
      <c r="C1600" s="54">
        <v>98237</v>
      </c>
    </row>
    <row r="1601" spans="2:3">
      <c r="B1601" s="167" t="s">
        <v>2447</v>
      </c>
      <c r="C1601" s="54">
        <v>98003</v>
      </c>
    </row>
    <row r="1602" spans="2:3">
      <c r="B1602" s="167" t="s">
        <v>2448</v>
      </c>
      <c r="C1602" s="54">
        <v>98008</v>
      </c>
    </row>
    <row r="1603" spans="2:3">
      <c r="B1603" s="167" t="s">
        <v>2449</v>
      </c>
      <c r="C1603" s="54">
        <v>98002</v>
      </c>
    </row>
    <row r="1604" spans="2:3">
      <c r="B1604" s="167" t="s">
        <v>722</v>
      </c>
      <c r="C1604" s="54">
        <v>98001</v>
      </c>
    </row>
    <row r="1605" spans="2:3">
      <c r="B1605" s="167" t="s">
        <v>2575</v>
      </c>
      <c r="C1605" s="54">
        <v>98004</v>
      </c>
    </row>
    <row r="1606" spans="2:3">
      <c r="B1606" s="167" t="s">
        <v>1209</v>
      </c>
      <c r="C1606" s="54">
        <v>97861</v>
      </c>
    </row>
    <row r="1607" spans="2:3">
      <c r="B1607" s="167" t="s">
        <v>1319</v>
      </c>
      <c r="C1607" s="54">
        <v>97311</v>
      </c>
    </row>
    <row r="1608" spans="2:3">
      <c r="B1608" s="167" t="s">
        <v>1072</v>
      </c>
      <c r="C1608" s="54">
        <v>93431</v>
      </c>
    </row>
    <row r="1609" spans="2:3">
      <c r="B1609" s="167" t="s">
        <v>997</v>
      </c>
      <c r="C1609" s="54">
        <v>91214</v>
      </c>
    </row>
    <row r="1610" spans="2:3">
      <c r="B1610" s="167" t="s">
        <v>737</v>
      </c>
      <c r="C1610" s="54">
        <v>98101</v>
      </c>
    </row>
    <row r="1611" spans="2:3">
      <c r="B1611" s="167" t="s">
        <v>2450</v>
      </c>
      <c r="C1611" s="54">
        <v>98103</v>
      </c>
    </row>
    <row r="1612" spans="2:3">
      <c r="B1612" s="167" t="s">
        <v>1225</v>
      </c>
      <c r="C1612" s="54">
        <v>98141</v>
      </c>
    </row>
    <row r="1613" spans="2:3">
      <c r="B1613" s="167" t="s">
        <v>2587</v>
      </c>
      <c r="C1613" s="54">
        <v>98147</v>
      </c>
    </row>
    <row r="1614" spans="2:3">
      <c r="B1614" s="167" t="s">
        <v>1227</v>
      </c>
      <c r="C1614" s="54">
        <v>98221</v>
      </c>
    </row>
    <row r="1615" spans="2:3">
      <c r="B1615" s="167" t="s">
        <v>1330</v>
      </c>
      <c r="C1615" s="54">
        <v>98011</v>
      </c>
    </row>
    <row r="1616" spans="2:3">
      <c r="B1616" s="167" t="s">
        <v>1202</v>
      </c>
      <c r="C1616" s="54">
        <v>97531</v>
      </c>
    </row>
    <row r="1617" spans="2:3">
      <c r="B1617" s="167" t="s">
        <v>749</v>
      </c>
      <c r="C1617" s="54">
        <v>98201</v>
      </c>
    </row>
    <row r="1618" spans="2:3">
      <c r="B1618" s="167" t="s">
        <v>686</v>
      </c>
      <c r="C1618" s="54">
        <v>97705</v>
      </c>
    </row>
    <row r="1619" spans="2:3">
      <c r="B1619" s="167" t="s">
        <v>2323</v>
      </c>
      <c r="C1619" s="54">
        <v>96318</v>
      </c>
    </row>
    <row r="1620" spans="2:3">
      <c r="B1620" s="167" t="s">
        <v>1312</v>
      </c>
      <c r="C1620" s="54">
        <v>95311</v>
      </c>
    </row>
    <row r="1621" spans="2:3">
      <c r="B1621" s="167" t="s">
        <v>2576</v>
      </c>
      <c r="C1621" s="54">
        <v>95317</v>
      </c>
    </row>
    <row r="1622" spans="2:3">
      <c r="B1622" s="167" t="s">
        <v>1005</v>
      </c>
      <c r="C1622" s="54">
        <v>91421</v>
      </c>
    </row>
    <row r="1623" spans="2:3">
      <c r="B1623" s="167" t="s">
        <v>760</v>
      </c>
      <c r="C1623" s="54">
        <v>98301</v>
      </c>
    </row>
    <row r="1624" spans="2:3">
      <c r="B1624" s="167" t="s">
        <v>2577</v>
      </c>
      <c r="C1624" s="54">
        <v>98304</v>
      </c>
    </row>
    <row r="1625" spans="2:3">
      <c r="B1625" s="167" t="s">
        <v>1097</v>
      </c>
      <c r="C1625" s="54">
        <v>94241</v>
      </c>
    </row>
    <row r="1626" spans="2:3">
      <c r="B1626" s="167" t="s">
        <v>1181</v>
      </c>
      <c r="C1626" s="54">
        <v>96681</v>
      </c>
    </row>
    <row r="1627" spans="2:3">
      <c r="B1627" s="167" t="s">
        <v>2463</v>
      </c>
      <c r="C1627" s="54">
        <v>72593</v>
      </c>
    </row>
    <row r="1628" spans="2:3">
      <c r="B1628" s="167" t="s">
        <v>1120</v>
      </c>
      <c r="C1628" s="54">
        <v>95121</v>
      </c>
    </row>
    <row r="1629" spans="2:3">
      <c r="B1629" s="167" t="s">
        <v>483</v>
      </c>
      <c r="C1629" s="54">
        <v>95123</v>
      </c>
    </row>
    <row r="1630" spans="2:3">
      <c r="B1630" s="167" t="s">
        <v>1270</v>
      </c>
      <c r="C1630" s="54">
        <v>99531</v>
      </c>
    </row>
    <row r="1631" spans="2:3">
      <c r="B1631" s="167" t="s">
        <v>1180</v>
      </c>
      <c r="C1631" s="54">
        <v>96671</v>
      </c>
    </row>
    <row r="1632" spans="2:3">
      <c r="B1632" s="167" t="s">
        <v>990</v>
      </c>
      <c r="C1632" s="54">
        <v>91081</v>
      </c>
    </row>
    <row r="1633" spans="2:3">
      <c r="B1633" s="167" t="s">
        <v>2578</v>
      </c>
      <c r="C1633" s="54">
        <v>91057</v>
      </c>
    </row>
    <row r="1634" spans="2:3">
      <c r="B1634" s="167" t="s">
        <v>1170</v>
      </c>
      <c r="C1634" s="54">
        <v>96461</v>
      </c>
    </row>
    <row r="1635" spans="2:3">
      <c r="B1635" s="167" t="s">
        <v>1294</v>
      </c>
      <c r="C1635" s="54">
        <v>92311</v>
      </c>
    </row>
    <row r="1636" spans="2:3">
      <c r="B1636" s="167" t="s">
        <v>2579</v>
      </c>
      <c r="C1636" s="54">
        <v>92317</v>
      </c>
    </row>
    <row r="1637" spans="2:3">
      <c r="B1637" s="167" t="s">
        <v>655</v>
      </c>
      <c r="C1637" s="54">
        <v>97405</v>
      </c>
    </row>
    <row r="1638" spans="2:3">
      <c r="B1638" s="167" t="s">
        <v>1024</v>
      </c>
      <c r="C1638" s="54">
        <v>91911</v>
      </c>
    </row>
    <row r="1639" spans="2:3">
      <c r="B1639" s="167" t="s">
        <v>2580</v>
      </c>
      <c r="C1639" s="54">
        <v>91917</v>
      </c>
    </row>
    <row r="1640" spans="2:3">
      <c r="B1640" s="167" t="s">
        <v>947</v>
      </c>
      <c r="C1640" s="54">
        <v>97481</v>
      </c>
    </row>
    <row r="1641" spans="2:3">
      <c r="B1641" s="167" t="s">
        <v>2451</v>
      </c>
      <c r="C1641" s="54">
        <v>91138</v>
      </c>
    </row>
    <row r="1642" spans="2:3">
      <c r="B1642" s="167" t="s">
        <v>1119</v>
      </c>
      <c r="C1642" s="54">
        <v>95111</v>
      </c>
    </row>
    <row r="1643" spans="2:3">
      <c r="B1643" s="167" t="s">
        <v>480</v>
      </c>
      <c r="C1643" s="54">
        <v>95113</v>
      </c>
    </row>
    <row r="1644" spans="2:3">
      <c r="B1644" s="167" t="s">
        <v>1089</v>
      </c>
      <c r="C1644" s="54">
        <v>94021</v>
      </c>
    </row>
    <row r="1645" spans="2:3">
      <c r="B1645" s="167" t="s">
        <v>2452</v>
      </c>
      <c r="C1645" s="54">
        <v>90918</v>
      </c>
    </row>
    <row r="1646" spans="2:3">
      <c r="B1646" s="167" t="s">
        <v>2453</v>
      </c>
      <c r="C1646" s="54">
        <v>93910</v>
      </c>
    </row>
    <row r="1647" spans="2:3">
      <c r="B1647" s="167" t="s">
        <v>2324</v>
      </c>
      <c r="C1647" s="54">
        <v>91013</v>
      </c>
    </row>
    <row r="1648" spans="2:3">
      <c r="B1648" s="167" t="s">
        <v>1158</v>
      </c>
      <c r="C1648" s="54">
        <v>96311</v>
      </c>
    </row>
    <row r="1649" spans="2:3">
      <c r="B1649" s="167" t="s">
        <v>1051</v>
      </c>
      <c r="C1649" s="54">
        <v>92841</v>
      </c>
    </row>
    <row r="1650" spans="2:3">
      <c r="B1650" s="167" t="s">
        <v>863</v>
      </c>
      <c r="C1650" s="54">
        <v>99609</v>
      </c>
    </row>
    <row r="1651" spans="2:3">
      <c r="B1651" s="167" t="s">
        <v>1287</v>
      </c>
      <c r="C1651" s="54">
        <v>91011</v>
      </c>
    </row>
    <row r="1652" spans="2:3">
      <c r="B1652" s="167" t="s">
        <v>2625</v>
      </c>
      <c r="C1652" s="54">
        <v>91017</v>
      </c>
    </row>
    <row r="1653" spans="2:3">
      <c r="B1653" s="167" t="s">
        <v>2454</v>
      </c>
      <c r="C1653" s="54">
        <v>95008</v>
      </c>
    </row>
    <row r="1654" spans="2:3">
      <c r="B1654" s="167" t="s">
        <v>951</v>
      </c>
      <c r="C1654" s="54">
        <v>72657</v>
      </c>
    </row>
    <row r="1655" spans="2:3">
      <c r="B1655" s="167" t="s">
        <v>2588</v>
      </c>
      <c r="C1655" s="54">
        <v>90307</v>
      </c>
    </row>
    <row r="1656" spans="2:3">
      <c r="B1656" s="167" t="s">
        <v>1216</v>
      </c>
      <c r="C1656" s="54">
        <v>98031</v>
      </c>
    </row>
    <row r="1657" spans="2:3">
      <c r="B1657" s="167" t="s">
        <v>1223</v>
      </c>
      <c r="C1657" s="54">
        <v>98121</v>
      </c>
    </row>
    <row r="1658" spans="2:3">
      <c r="B1658" s="167" t="s">
        <v>1165</v>
      </c>
      <c r="C1658" s="54">
        <v>96411</v>
      </c>
    </row>
    <row r="1659" spans="2:3">
      <c r="B1659" s="167" t="s">
        <v>1045</v>
      </c>
      <c r="C1659" s="54">
        <v>92661</v>
      </c>
    </row>
    <row r="1660" spans="2:3">
      <c r="B1660" s="167" t="s">
        <v>1150</v>
      </c>
      <c r="C1660" s="54">
        <v>96111</v>
      </c>
    </row>
    <row r="1661" spans="2:3">
      <c r="B1661" s="167" t="s">
        <v>2464</v>
      </c>
      <c r="C1661" s="54">
        <v>91032</v>
      </c>
    </row>
    <row r="1662" spans="2:3">
      <c r="B1662" s="167" t="s">
        <v>2465</v>
      </c>
      <c r="C1662" s="54">
        <v>97831</v>
      </c>
    </row>
    <row r="1663" spans="2:3">
      <c r="B1663" s="167" t="s">
        <v>2455</v>
      </c>
      <c r="C1663" s="54">
        <v>97837</v>
      </c>
    </row>
    <row r="1664" spans="2:3">
      <c r="B1664" s="167" t="s">
        <v>1147</v>
      </c>
      <c r="C1664" s="54">
        <v>96061</v>
      </c>
    </row>
    <row r="1665" spans="2:3">
      <c r="B1665" s="167" t="s">
        <v>1238</v>
      </c>
      <c r="C1665" s="54">
        <v>98481</v>
      </c>
    </row>
    <row r="1666" spans="2:3">
      <c r="B1666" s="167" t="s">
        <v>1079</v>
      </c>
      <c r="C1666" s="54">
        <v>93602</v>
      </c>
    </row>
    <row r="1667" spans="2:3">
      <c r="B1667" s="167" t="s">
        <v>767</v>
      </c>
      <c r="C1667" s="54">
        <v>98401</v>
      </c>
    </row>
    <row r="1668" spans="2:3">
      <c r="B1668" s="167" t="s">
        <v>1276</v>
      </c>
      <c r="C1668" s="54">
        <v>99821</v>
      </c>
    </row>
    <row r="1669" spans="2:3">
      <c r="B1669" s="167" t="s">
        <v>1152</v>
      </c>
      <c r="C1669" s="54">
        <v>96211</v>
      </c>
    </row>
    <row r="1670" spans="2:3">
      <c r="B1670" s="167" t="s">
        <v>1310</v>
      </c>
      <c r="C1670" s="54">
        <v>94911</v>
      </c>
    </row>
    <row r="1671" spans="2:3">
      <c r="B1671" s="167" t="s">
        <v>2581</v>
      </c>
      <c r="C1671" s="54">
        <v>94917</v>
      </c>
    </row>
    <row r="1672" spans="2:3">
      <c r="B1672" s="167" t="s">
        <v>1041</v>
      </c>
      <c r="C1672" s="54">
        <v>92621</v>
      </c>
    </row>
    <row r="1673" spans="2:3">
      <c r="B1673" s="167" t="s">
        <v>776</v>
      </c>
      <c r="C1673" s="54">
        <v>98501</v>
      </c>
    </row>
    <row r="1674" spans="2:3">
      <c r="B1674" s="167" t="s">
        <v>1213</v>
      </c>
      <c r="C1674" s="54">
        <v>97931</v>
      </c>
    </row>
    <row r="1675" spans="2:3">
      <c r="B1675" s="167" t="s">
        <v>1086</v>
      </c>
      <c r="C1675" s="54">
        <v>93914</v>
      </c>
    </row>
    <row r="1676" spans="2:3">
      <c r="B1676" s="167" t="s">
        <v>969</v>
      </c>
      <c r="C1676" s="54">
        <v>90651</v>
      </c>
    </row>
    <row r="1677" spans="2:3">
      <c r="B1677" s="167" t="s">
        <v>1094</v>
      </c>
      <c r="C1677" s="54">
        <v>94171</v>
      </c>
    </row>
    <row r="1678" spans="2:3">
      <c r="B1678" s="167" t="s">
        <v>405</v>
      </c>
      <c r="C1678" s="54">
        <v>94172</v>
      </c>
    </row>
    <row r="1679" spans="2:3">
      <c r="B1679" s="167" t="s">
        <v>987</v>
      </c>
      <c r="C1679" s="54">
        <v>91041</v>
      </c>
    </row>
    <row r="1680" spans="2:3">
      <c r="B1680" s="167" t="s">
        <v>2589</v>
      </c>
      <c r="C1680" s="54">
        <v>91047</v>
      </c>
    </row>
    <row r="1681" spans="2:3">
      <c r="B1681" s="167" t="s">
        <v>643</v>
      </c>
      <c r="C1681" s="54">
        <v>97131</v>
      </c>
    </row>
    <row r="1682" spans="2:3">
      <c r="B1682" s="167" t="s">
        <v>780</v>
      </c>
      <c r="C1682" s="54">
        <v>98601</v>
      </c>
    </row>
    <row r="1683" spans="2:3">
      <c r="B1683" s="167" t="s">
        <v>790</v>
      </c>
      <c r="C1683" s="54">
        <v>98701</v>
      </c>
    </row>
    <row r="1684" spans="2:3">
      <c r="B1684" s="167" t="s">
        <v>1182</v>
      </c>
      <c r="C1684" s="54">
        <v>96721</v>
      </c>
    </row>
    <row r="1685" spans="2:3">
      <c r="B1685" s="167" t="s">
        <v>1117</v>
      </c>
      <c r="C1685" s="54">
        <v>95011</v>
      </c>
    </row>
    <row r="1686" spans="2:3">
      <c r="B1686" s="167" t="s">
        <v>1035</v>
      </c>
      <c r="C1686" s="54">
        <v>92451</v>
      </c>
    </row>
    <row r="1687" spans="2:3">
      <c r="B1687" s="167" t="s">
        <v>1067</v>
      </c>
      <c r="C1687" s="54">
        <v>93311</v>
      </c>
    </row>
    <row r="1688" spans="2:3">
      <c r="B1688" s="167" t="s">
        <v>323</v>
      </c>
      <c r="C1688" s="54">
        <v>93317</v>
      </c>
    </row>
    <row r="1689" spans="2:3">
      <c r="B1689" s="167" t="s">
        <v>956</v>
      </c>
      <c r="C1689" s="54">
        <v>90211</v>
      </c>
    </row>
    <row r="1690" spans="2:3">
      <c r="B1690" s="167" t="s">
        <v>1157</v>
      </c>
      <c r="C1690" s="54">
        <v>96302</v>
      </c>
    </row>
    <row r="1691" spans="2:3">
      <c r="B1691" s="167" t="s">
        <v>1065</v>
      </c>
      <c r="C1691" s="54">
        <v>93181</v>
      </c>
    </row>
    <row r="1692" spans="2:3">
      <c r="B1692" s="167" t="s">
        <v>1298</v>
      </c>
      <c r="C1692" s="54">
        <v>92911</v>
      </c>
    </row>
    <row r="1693" spans="2:3">
      <c r="B1693" s="167" t="s">
        <v>2582</v>
      </c>
      <c r="C1693" s="54">
        <v>92914</v>
      </c>
    </row>
    <row r="1694" spans="2:3">
      <c r="B1694" s="167" t="s">
        <v>288</v>
      </c>
      <c r="C1694" s="54">
        <v>92913</v>
      </c>
    </row>
    <row r="1695" spans="2:3">
      <c r="B1695" s="167" t="s">
        <v>1347</v>
      </c>
      <c r="C1695" s="54">
        <v>93471</v>
      </c>
    </row>
    <row r="1696" spans="2:3">
      <c r="B1696" s="167" t="s">
        <v>2456</v>
      </c>
      <c r="C1696" s="54">
        <v>90098</v>
      </c>
    </row>
    <row r="1697" spans="2:3">
      <c r="B1697" s="167" t="s">
        <v>1192</v>
      </c>
      <c r="C1697" s="54">
        <v>97121</v>
      </c>
    </row>
    <row r="1698" spans="2:3">
      <c r="B1698" s="167" t="s">
        <v>793</v>
      </c>
      <c r="C1698" s="54">
        <v>98801</v>
      </c>
    </row>
    <row r="1699" spans="2:3">
      <c r="B1699" s="167" t="s">
        <v>1036</v>
      </c>
      <c r="C1699" s="54">
        <v>92521</v>
      </c>
    </row>
    <row r="1700" spans="2:3">
      <c r="B1700" s="167" t="s">
        <v>2325</v>
      </c>
      <c r="C1700" s="54">
        <v>93417</v>
      </c>
    </row>
    <row r="1701" spans="2:3">
      <c r="B1701" s="167" t="s">
        <v>318</v>
      </c>
      <c r="C1701" s="54">
        <v>93219</v>
      </c>
    </row>
    <row r="1702" spans="2:3">
      <c r="B1702" s="167" t="s">
        <v>2326</v>
      </c>
      <c r="C1702" s="54">
        <v>92513</v>
      </c>
    </row>
    <row r="1703" spans="2:3">
      <c r="B1703" s="167" t="s">
        <v>1325</v>
      </c>
      <c r="C1703" s="54">
        <v>97661</v>
      </c>
    </row>
    <row r="1704" spans="2:3">
      <c r="B1704" s="167" t="s">
        <v>1116</v>
      </c>
      <c r="C1704" s="54">
        <v>94931</v>
      </c>
    </row>
    <row r="1705" spans="2:3">
      <c r="B1705" s="167" t="s">
        <v>1153</v>
      </c>
      <c r="C1705" s="54">
        <v>96221</v>
      </c>
    </row>
    <row r="1706" spans="2:3">
      <c r="B1706" s="167" t="s">
        <v>1200</v>
      </c>
      <c r="C1706" s="54">
        <v>97511</v>
      </c>
    </row>
    <row r="1707" spans="2:3">
      <c r="B1707" s="167" t="s">
        <v>2467</v>
      </c>
      <c r="C1707" s="54">
        <v>95002</v>
      </c>
    </row>
    <row r="1708" spans="2:3">
      <c r="B1708" s="167" t="s">
        <v>1230</v>
      </c>
      <c r="C1708" s="54">
        <v>98251</v>
      </c>
    </row>
    <row r="1709" spans="2:3">
      <c r="B1709" s="167" t="s">
        <v>2590</v>
      </c>
      <c r="C1709" s="54">
        <v>98904</v>
      </c>
    </row>
    <row r="1710" spans="2:3">
      <c r="B1710" s="167" t="s">
        <v>796</v>
      </c>
      <c r="C1710" s="54">
        <v>98901</v>
      </c>
    </row>
    <row r="1711" spans="2:3">
      <c r="B1711" s="167" t="s">
        <v>799</v>
      </c>
      <c r="C1711" s="54">
        <v>99001</v>
      </c>
    </row>
    <row r="1712" spans="2:3">
      <c r="B1712" s="167" t="s">
        <v>1250</v>
      </c>
      <c r="C1712" s="54">
        <v>99061</v>
      </c>
    </row>
    <row r="1713" spans="2:3">
      <c r="B1713" s="167" t="s">
        <v>2468</v>
      </c>
      <c r="C1713" s="54">
        <v>93309</v>
      </c>
    </row>
    <row r="1714" spans="2:3">
      <c r="B1714" s="167" t="s">
        <v>996</v>
      </c>
      <c r="C1714" s="54">
        <v>91211</v>
      </c>
    </row>
    <row r="1715" spans="2:3">
      <c r="B1715" s="167" t="s">
        <v>148</v>
      </c>
      <c r="C1715" s="54">
        <v>91213</v>
      </c>
    </row>
    <row r="1716" spans="2:3">
      <c r="B1716" s="167" t="s">
        <v>813</v>
      </c>
      <c r="C1716" s="54">
        <v>99101</v>
      </c>
    </row>
    <row r="1717" spans="2:3">
      <c r="B1717" s="167" t="s">
        <v>2591</v>
      </c>
      <c r="C1717" s="54">
        <v>99104</v>
      </c>
    </row>
    <row r="1718" spans="2:3">
      <c r="B1718" s="167" t="s">
        <v>1038</v>
      </c>
      <c r="C1718" s="54">
        <v>92551</v>
      </c>
    </row>
    <row r="1719" spans="2:3">
      <c r="B1719" s="167" t="s">
        <v>1160</v>
      </c>
      <c r="C1719" s="54">
        <v>96321</v>
      </c>
    </row>
    <row r="1720" spans="2:3">
      <c r="B1720" s="167" t="s">
        <v>2469</v>
      </c>
      <c r="C1720" s="54">
        <v>95009</v>
      </c>
    </row>
    <row r="1721" spans="2:3">
      <c r="B1721" s="167" t="s">
        <v>1043</v>
      </c>
      <c r="C1721" s="54">
        <v>92641</v>
      </c>
    </row>
    <row r="1722" spans="2:3">
      <c r="B1722" s="167" t="s">
        <v>957</v>
      </c>
      <c r="C1722" s="54">
        <v>90411</v>
      </c>
    </row>
    <row r="1723" spans="2:3">
      <c r="B1723" s="167" t="s">
        <v>2592</v>
      </c>
      <c r="C1723" s="54">
        <v>90417</v>
      </c>
    </row>
    <row r="1724" spans="2:3">
      <c r="B1724" s="167" t="s">
        <v>54</v>
      </c>
      <c r="C1724" s="54">
        <v>90413</v>
      </c>
    </row>
    <row r="1725" spans="2:3">
      <c r="B1725" s="167" t="s">
        <v>1233</v>
      </c>
      <c r="C1725" s="54">
        <v>98321</v>
      </c>
    </row>
    <row r="1726" spans="2:3">
      <c r="B1726" s="167" t="s">
        <v>818</v>
      </c>
      <c r="C1726" s="54">
        <v>99201</v>
      </c>
    </row>
    <row r="1727" spans="2:3">
      <c r="B1727" s="167" t="s">
        <v>2593</v>
      </c>
      <c r="C1727" s="54">
        <v>99204</v>
      </c>
    </row>
    <row r="1728" spans="2:3">
      <c r="B1728" s="167" t="s">
        <v>823</v>
      </c>
      <c r="C1728" s="54">
        <v>99207</v>
      </c>
    </row>
    <row r="1729" spans="2:3">
      <c r="B1729" s="167" t="s">
        <v>1261</v>
      </c>
      <c r="C1729" s="54">
        <v>99281</v>
      </c>
    </row>
    <row r="1730" spans="2:3">
      <c r="B1730" s="167" t="s">
        <v>1074</v>
      </c>
      <c r="C1730" s="54">
        <v>93461</v>
      </c>
    </row>
    <row r="1731" spans="2:3">
      <c r="B1731" s="167" t="s">
        <v>1062</v>
      </c>
      <c r="C1731" s="54">
        <v>93151</v>
      </c>
    </row>
    <row r="1732" spans="2:3">
      <c r="B1732" s="167" t="s">
        <v>2594</v>
      </c>
      <c r="C1732" s="54">
        <v>93157</v>
      </c>
    </row>
    <row r="1733" spans="2:3">
      <c r="B1733" s="167" t="s">
        <v>1239</v>
      </c>
      <c r="C1733" s="54">
        <v>98511</v>
      </c>
    </row>
    <row r="1734" spans="2:3">
      <c r="B1734" s="167" t="s">
        <v>2595</v>
      </c>
      <c r="C1734" s="54">
        <v>98517</v>
      </c>
    </row>
    <row r="1735" spans="2:3">
      <c r="B1735" s="167" t="s">
        <v>950</v>
      </c>
      <c r="C1735" s="54">
        <v>99661</v>
      </c>
    </row>
    <row r="1736" spans="2:3">
      <c r="B1736" s="167" t="s">
        <v>1090</v>
      </c>
      <c r="C1736" s="54">
        <v>94031</v>
      </c>
    </row>
    <row r="1737" spans="2:3">
      <c r="B1737" s="167" t="s">
        <v>840</v>
      </c>
      <c r="C1737" s="54">
        <v>99301</v>
      </c>
    </row>
    <row r="1738" spans="2:3">
      <c r="B1738" s="167" t="s">
        <v>2596</v>
      </c>
      <c r="C1738" s="54">
        <v>99304</v>
      </c>
    </row>
    <row r="1739" spans="2:3">
      <c r="B1739" s="167" t="s">
        <v>1264</v>
      </c>
      <c r="C1739" s="54">
        <v>99321</v>
      </c>
    </row>
    <row r="1740" spans="2:3">
      <c r="B1740" s="167" t="s">
        <v>1060</v>
      </c>
      <c r="C1740" s="54">
        <v>93131</v>
      </c>
    </row>
    <row r="1741" spans="2:3">
      <c r="B1741" s="167" t="s">
        <v>2597</v>
      </c>
      <c r="C1741" s="54">
        <v>93137</v>
      </c>
    </row>
    <row r="1742" spans="2:3">
      <c r="B1742" s="167" t="s">
        <v>1286</v>
      </c>
      <c r="C1742" s="54">
        <v>90711</v>
      </c>
    </row>
    <row r="1743" spans="2:3">
      <c r="B1743" s="167" t="s">
        <v>844</v>
      </c>
      <c r="C1743" s="54">
        <v>99401</v>
      </c>
    </row>
    <row r="1744" spans="2:3">
      <c r="B1744" s="167" t="s">
        <v>2598</v>
      </c>
      <c r="C1744" s="54">
        <v>99404</v>
      </c>
    </row>
    <row r="1745" spans="2:3">
      <c r="B1745" s="167" t="s">
        <v>972</v>
      </c>
      <c r="C1745" s="54">
        <v>90741</v>
      </c>
    </row>
    <row r="1746" spans="2:3">
      <c r="B1746" s="167" t="s">
        <v>851</v>
      </c>
      <c r="C1746" s="54">
        <v>99501</v>
      </c>
    </row>
    <row r="1747" spans="2:3">
      <c r="B1747" s="167" t="s">
        <v>2470</v>
      </c>
      <c r="C1747" s="54">
        <v>99509</v>
      </c>
    </row>
    <row r="1748" spans="2:3">
      <c r="B1748" s="167" t="s">
        <v>2471</v>
      </c>
      <c r="C1748" s="59">
        <v>91302</v>
      </c>
    </row>
    <row r="1749" spans="2:3">
      <c r="B1749" s="167" t="s">
        <v>1248</v>
      </c>
      <c r="C1749" s="54">
        <v>99041</v>
      </c>
    </row>
    <row r="1750" spans="2:3">
      <c r="B1750" s="167" t="s">
        <v>2599</v>
      </c>
      <c r="C1750" s="54">
        <v>99047</v>
      </c>
    </row>
    <row r="1751" spans="2:3">
      <c r="B1751" s="167" t="s">
        <v>859</v>
      </c>
      <c r="C1751" s="54">
        <v>99601</v>
      </c>
    </row>
    <row r="1752" spans="2:3">
      <c r="B1752" s="167" t="s">
        <v>2600</v>
      </c>
      <c r="C1752" s="54">
        <v>99604</v>
      </c>
    </row>
    <row r="1753" spans="2:3">
      <c r="B1753" s="167" t="s">
        <v>1105</v>
      </c>
      <c r="C1753" s="54">
        <v>94411</v>
      </c>
    </row>
    <row r="1754" spans="2:3">
      <c r="B1754" s="167" t="s">
        <v>2601</v>
      </c>
      <c r="C1754" s="54">
        <v>94412</v>
      </c>
    </row>
    <row r="1755" spans="2:3">
      <c r="B1755" s="167" t="s">
        <v>992</v>
      </c>
      <c r="C1755" s="54">
        <v>91141</v>
      </c>
    </row>
    <row r="1756" spans="2:3">
      <c r="B1756" s="167" t="s">
        <v>2602</v>
      </c>
      <c r="C1756" s="54">
        <v>91147</v>
      </c>
    </row>
    <row r="1757" spans="2:3">
      <c r="B1757" s="167" t="s">
        <v>1251</v>
      </c>
      <c r="C1757" s="54">
        <v>99071</v>
      </c>
    </row>
    <row r="1758" spans="2:3">
      <c r="B1758" s="167" t="s">
        <v>1096</v>
      </c>
      <c r="C1758" s="54">
        <v>94231</v>
      </c>
    </row>
    <row r="1759" spans="2:3">
      <c r="B1759" s="167" t="s">
        <v>1256</v>
      </c>
      <c r="C1759" s="54">
        <v>99231</v>
      </c>
    </row>
    <row r="1760" spans="2:3">
      <c r="B1760" s="167" t="s">
        <v>949</v>
      </c>
      <c r="C1760" s="54">
        <v>99091</v>
      </c>
    </row>
    <row r="1761" spans="2:3">
      <c r="B1761" s="167" t="s">
        <v>2472</v>
      </c>
      <c r="C1761" s="54">
        <v>91120</v>
      </c>
    </row>
    <row r="1762" spans="2:3">
      <c r="B1762" s="167" t="s">
        <v>2328</v>
      </c>
      <c r="C1762" s="54">
        <v>92444</v>
      </c>
    </row>
    <row r="1763" spans="2:3">
      <c r="B1763" s="167" t="s">
        <v>964</v>
      </c>
      <c r="C1763" s="54">
        <v>90521</v>
      </c>
    </row>
    <row r="1764" spans="2:3">
      <c r="B1764" s="167" t="s">
        <v>2603</v>
      </c>
      <c r="C1764" s="54">
        <v>90507</v>
      </c>
    </row>
    <row r="1765" spans="2:3">
      <c r="B1765" s="167" t="s">
        <v>2473</v>
      </c>
      <c r="C1765" s="54">
        <v>92602</v>
      </c>
    </row>
    <row r="1766" spans="2:3">
      <c r="B1766" s="167" t="s">
        <v>2474</v>
      </c>
      <c r="C1766" s="54">
        <v>91608</v>
      </c>
    </row>
    <row r="1767" spans="2:3">
      <c r="B1767" s="167" t="s">
        <v>1342</v>
      </c>
      <c r="C1767" s="54">
        <v>91119</v>
      </c>
    </row>
    <row r="1768" spans="2:3">
      <c r="B1768" s="167" t="s">
        <v>2475</v>
      </c>
      <c r="C1768" s="54">
        <v>91107</v>
      </c>
    </row>
    <row r="1769" spans="2:3">
      <c r="B1769" s="167" t="s">
        <v>2476</v>
      </c>
      <c r="C1769" s="54">
        <v>91818</v>
      </c>
    </row>
    <row r="1770" spans="2:3">
      <c r="B1770" s="167" t="s">
        <v>201</v>
      </c>
      <c r="C1770" s="54">
        <v>91819</v>
      </c>
    </row>
    <row r="1771" spans="2:3">
      <c r="B1771" s="167" t="s">
        <v>946</v>
      </c>
      <c r="C1771" s="54">
        <v>96371</v>
      </c>
    </row>
    <row r="1772" spans="2:3">
      <c r="B1772" s="167" t="s">
        <v>1168</v>
      </c>
      <c r="C1772" s="54">
        <v>96441</v>
      </c>
    </row>
    <row r="1773" spans="2:3">
      <c r="B1773" s="167" t="s">
        <v>978</v>
      </c>
      <c r="C1773" s="54">
        <v>90921</v>
      </c>
    </row>
    <row r="1774" spans="2:3">
      <c r="B1774" s="167" t="s">
        <v>1295</v>
      </c>
      <c r="C1774" s="54">
        <v>92411</v>
      </c>
    </row>
    <row r="1775" spans="2:3">
      <c r="B1775" s="167" t="s">
        <v>2604</v>
      </c>
      <c r="C1775" s="54">
        <v>92417</v>
      </c>
    </row>
    <row r="1776" spans="2:3">
      <c r="B1776" s="167" t="s">
        <v>237</v>
      </c>
      <c r="C1776" s="54">
        <v>92403</v>
      </c>
    </row>
    <row r="1777" spans="2:3">
      <c r="B1777" s="167" t="s">
        <v>871</v>
      </c>
      <c r="C1777" s="54">
        <v>99701</v>
      </c>
    </row>
    <row r="1778" spans="2:3">
      <c r="B1778" s="167" t="s">
        <v>1275</v>
      </c>
      <c r="C1778" s="54">
        <v>99721</v>
      </c>
    </row>
    <row r="1779" spans="2:3">
      <c r="B1779" s="167" t="s">
        <v>2605</v>
      </c>
      <c r="C1779" s="54">
        <v>99727</v>
      </c>
    </row>
    <row r="1780" spans="2:3">
      <c r="B1780" s="167" t="s">
        <v>1315</v>
      </c>
      <c r="C1780" s="54">
        <v>95811</v>
      </c>
    </row>
    <row r="1781" spans="2:3">
      <c r="B1781" s="167" t="s">
        <v>526</v>
      </c>
      <c r="C1781" s="54">
        <v>95813</v>
      </c>
    </row>
    <row r="1782" spans="2:3">
      <c r="B1782" s="167" t="s">
        <v>1317</v>
      </c>
      <c r="C1782" s="54">
        <v>96531</v>
      </c>
    </row>
    <row r="1783" spans="2:3">
      <c r="B1783" s="167" t="s">
        <v>588</v>
      </c>
      <c r="C1783" s="54">
        <v>96503</v>
      </c>
    </row>
    <row r="1784" spans="2:3">
      <c r="B1784" s="167" t="s">
        <v>1340</v>
      </c>
      <c r="C1784" s="54">
        <v>99811</v>
      </c>
    </row>
    <row r="1785" spans="2:3">
      <c r="B1785" s="167" t="s">
        <v>2610</v>
      </c>
      <c r="C1785" s="54">
        <v>99818</v>
      </c>
    </row>
    <row r="1786" spans="2:3">
      <c r="B1786" s="167" t="s">
        <v>877</v>
      </c>
      <c r="C1786" s="54">
        <v>99801</v>
      </c>
    </row>
    <row r="1787" spans="2:3">
      <c r="B1787" s="167" t="s">
        <v>2606</v>
      </c>
      <c r="C1787" s="54">
        <v>99804</v>
      </c>
    </row>
    <row r="1788" spans="2:3">
      <c r="B1788" s="167" t="s">
        <v>2477</v>
      </c>
      <c r="C1788" s="54">
        <v>99802</v>
      </c>
    </row>
    <row r="1789" spans="2:3">
      <c r="B1789" s="167" t="s">
        <v>2478</v>
      </c>
      <c r="C1789" s="54">
        <v>99812</v>
      </c>
    </row>
    <row r="1790" spans="2:3">
      <c r="B1790" s="167" t="s">
        <v>2466</v>
      </c>
      <c r="C1790" s="54">
        <v>95191</v>
      </c>
    </row>
    <row r="1791" spans="2:3">
      <c r="B1791" s="167" t="s">
        <v>975</v>
      </c>
      <c r="C1791" s="54">
        <v>90812</v>
      </c>
    </row>
    <row r="1792" spans="2:3">
      <c r="B1792" s="167" t="s">
        <v>1194</v>
      </c>
      <c r="C1792" s="54">
        <v>97221</v>
      </c>
    </row>
    <row r="1793" spans="2:3">
      <c r="B1793" s="167" t="s">
        <v>1247</v>
      </c>
      <c r="C1793" s="54">
        <v>99031</v>
      </c>
    </row>
    <row r="1794" spans="2:3">
      <c r="B1794" s="167" t="s">
        <v>1301</v>
      </c>
      <c r="C1794" s="54">
        <v>93411</v>
      </c>
    </row>
    <row r="1795" spans="2:3">
      <c r="B1795" s="167" t="s">
        <v>334</v>
      </c>
      <c r="C1795" s="54">
        <v>93413</v>
      </c>
    </row>
    <row r="1796" spans="2:3">
      <c r="B1796" s="167" t="s">
        <v>1197</v>
      </c>
      <c r="C1796" s="54">
        <v>97451</v>
      </c>
    </row>
    <row r="1797" spans="2:3">
      <c r="B1797" s="167" t="s">
        <v>1113</v>
      </c>
      <c r="C1797" s="54">
        <v>94631</v>
      </c>
    </row>
    <row r="1798" spans="2:3">
      <c r="B1798" s="167" t="s">
        <v>995</v>
      </c>
      <c r="C1798" s="54">
        <v>91171</v>
      </c>
    </row>
    <row r="1799" spans="2:3">
      <c r="B1799" s="167" t="s">
        <v>126</v>
      </c>
      <c r="C1799" s="54">
        <v>91104</v>
      </c>
    </row>
    <row r="1800" spans="2:3">
      <c r="B1800" s="167" t="s">
        <v>2479</v>
      </c>
      <c r="C1800" s="54">
        <v>91109</v>
      </c>
    </row>
    <row r="1801" spans="2:3">
      <c r="B1801" s="167" t="s">
        <v>1175</v>
      </c>
      <c r="C1801" s="54">
        <v>96621</v>
      </c>
    </row>
    <row r="1802" spans="2:3">
      <c r="B1802" s="167" t="s">
        <v>1171</v>
      </c>
      <c r="C1802" s="54">
        <v>96511</v>
      </c>
    </row>
    <row r="1803" spans="2:3">
      <c r="B1803" s="167" t="s">
        <v>887</v>
      </c>
      <c r="C1803" s="54">
        <v>99901</v>
      </c>
    </row>
    <row r="1804" spans="2:3">
      <c r="B1804" s="167" t="s">
        <v>2329</v>
      </c>
      <c r="C1804" s="54">
        <v>98604</v>
      </c>
    </row>
    <row r="1805" spans="2:3">
      <c r="B1805" s="167" t="s">
        <v>782</v>
      </c>
      <c r="C1805" s="54">
        <v>98608</v>
      </c>
    </row>
    <row r="1806" spans="2:3">
      <c r="B1806" s="167" t="s">
        <v>1280</v>
      </c>
      <c r="C1806" s="54">
        <v>99911</v>
      </c>
    </row>
    <row r="1807" spans="2:3">
      <c r="B1807" s="167" t="s">
        <v>30</v>
      </c>
      <c r="C1807" s="54">
        <v>90001</v>
      </c>
    </row>
    <row r="1808" spans="2:3">
      <c r="B1808" s="167" t="s">
        <v>2480</v>
      </c>
      <c r="C1808" s="54">
        <v>90002</v>
      </c>
    </row>
    <row r="1809" spans="2:3">
      <c r="B1809" s="167" t="s">
        <v>1017</v>
      </c>
      <c r="C1809" s="54">
        <v>91719</v>
      </c>
    </row>
    <row r="1810" spans="2:3">
      <c r="B1810" s="167" t="s">
        <v>1078</v>
      </c>
      <c r="C1810" s="54">
        <v>93541</v>
      </c>
    </row>
    <row r="1811" spans="2:3">
      <c r="B1811" s="167" t="s">
        <v>1257</v>
      </c>
      <c r="C1811" s="54">
        <v>99241</v>
      </c>
    </row>
  </sheetData>
  <sortState ref="B909:C1808">
    <sortCondition ref="B909:B1808"/>
  </sortState>
  <pageMargins left="0.7" right="0.7" top="0.75" bottom="0.75" header="0.3" footer="0.3"/>
  <pageSetup paperSize="5" scale="4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809"/>
  <sheetViews>
    <sheetView zoomScaleNormal="100" workbookViewId="0"/>
  </sheetViews>
  <sheetFormatPr defaultRowHeight="15"/>
  <cols>
    <col min="1" max="1" width="15.28515625" style="4" customWidth="1"/>
    <col min="2" max="2" width="39.5703125" style="4" customWidth="1"/>
    <col min="3" max="5" width="13.85546875" style="4" customWidth="1"/>
    <col min="6" max="6" width="13.42578125" style="4" customWidth="1"/>
    <col min="7" max="7" width="18.28515625" style="4" customWidth="1"/>
    <col min="8" max="8" width="1.5703125" style="4" customWidth="1"/>
    <col min="9" max="9" width="18.28515625" style="4" customWidth="1"/>
    <col min="10" max="10" width="20" style="4" customWidth="1"/>
    <col min="11" max="11" width="14.42578125" style="4" customWidth="1"/>
    <col min="12" max="12" width="19.42578125" style="4" customWidth="1"/>
    <col min="13" max="13" width="3" style="4" customWidth="1"/>
    <col min="14" max="14" width="18.28515625" style="4" customWidth="1"/>
    <col min="15" max="15" width="20" style="4" customWidth="1"/>
    <col min="16" max="16" width="9.140625" style="4" customWidth="1"/>
    <col min="17" max="17" width="19.42578125" style="4" customWidth="1"/>
    <col min="18" max="18" width="14" style="4" customWidth="1"/>
    <col min="19" max="19" width="2.42578125" style="4" customWidth="1"/>
    <col min="20" max="20" width="13.85546875" style="4" customWidth="1"/>
    <col min="21" max="21" width="22.42578125" style="4" customWidth="1"/>
    <col min="22" max="22" width="14.28515625" style="4" customWidth="1"/>
    <col min="23" max="16384" width="9.140625" style="4"/>
  </cols>
  <sheetData>
    <row r="1" spans="1:22">
      <c r="A1" s="4" t="s">
        <v>2632</v>
      </c>
    </row>
    <row r="2" spans="1:22">
      <c r="A2" s="4" t="s">
        <v>2633</v>
      </c>
    </row>
    <row r="4" spans="1:22">
      <c r="A4" s="52" t="s">
        <v>2282</v>
      </c>
      <c r="I4" s="53" t="s">
        <v>3</v>
      </c>
      <c r="J4" s="53"/>
      <c r="K4" s="53"/>
      <c r="L4" s="53"/>
      <c r="N4" s="53" t="s">
        <v>4</v>
      </c>
      <c r="O4" s="53"/>
      <c r="P4" s="53"/>
      <c r="Q4" s="53"/>
      <c r="T4" s="53" t="s">
        <v>5</v>
      </c>
      <c r="U4" s="53"/>
      <c r="V4" s="53"/>
    </row>
    <row r="5" spans="1:22" ht="165">
      <c r="A5" s="8" t="s">
        <v>2283</v>
      </c>
      <c r="B5" s="8" t="s">
        <v>1</v>
      </c>
      <c r="C5" s="8" t="s">
        <v>927</v>
      </c>
      <c r="D5" s="8" t="s">
        <v>928</v>
      </c>
      <c r="E5" s="8" t="s">
        <v>2284</v>
      </c>
      <c r="F5" s="8" t="s">
        <v>2285</v>
      </c>
      <c r="G5" s="8" t="s">
        <v>13</v>
      </c>
      <c r="H5" s="8"/>
      <c r="I5" s="8" t="s">
        <v>6</v>
      </c>
      <c r="J5" s="8" t="s">
        <v>7</v>
      </c>
      <c r="K5" s="8" t="s">
        <v>8</v>
      </c>
      <c r="L5" s="8" t="s">
        <v>9</v>
      </c>
      <c r="M5" s="8"/>
      <c r="N5" s="8" t="s">
        <v>6</v>
      </c>
      <c r="O5" s="8" t="s">
        <v>7</v>
      </c>
      <c r="P5" s="8" t="s">
        <v>8</v>
      </c>
      <c r="Q5" s="8" t="s">
        <v>9</v>
      </c>
      <c r="R5" s="8" t="s">
        <v>2345</v>
      </c>
      <c r="S5" s="8"/>
      <c r="T5" s="8" t="s">
        <v>10</v>
      </c>
      <c r="U5" s="8" t="s">
        <v>11</v>
      </c>
      <c r="V5" s="8" t="s">
        <v>12</v>
      </c>
    </row>
    <row r="6" spans="1:22">
      <c r="A6" s="8" t="s">
        <v>1356</v>
      </c>
      <c r="B6" s="76" t="s">
        <v>1355</v>
      </c>
      <c r="C6" s="57"/>
      <c r="D6" s="57"/>
      <c r="E6" s="57"/>
      <c r="F6" s="57"/>
      <c r="G6" s="57"/>
      <c r="H6" s="8"/>
      <c r="I6" s="57"/>
      <c r="J6" s="57"/>
      <c r="K6" s="57"/>
      <c r="L6" s="57"/>
      <c r="M6" s="133"/>
      <c r="N6" s="57"/>
      <c r="O6" s="57"/>
      <c r="P6" s="57"/>
      <c r="Q6" s="57"/>
      <c r="R6" s="57">
        <f>IF(J6&gt;O6,J6-O6,O6-J6)</f>
        <v>0</v>
      </c>
      <c r="S6" s="57"/>
      <c r="T6" s="57"/>
      <c r="U6" s="57"/>
      <c r="V6" s="57"/>
    </row>
    <row r="7" spans="1:22">
      <c r="A7" s="54">
        <v>70505</v>
      </c>
      <c r="B7" s="55" t="s">
        <v>1391</v>
      </c>
      <c r="C7" s="106">
        <v>4.6880000000000001E-4</v>
      </c>
      <c r="D7" s="106">
        <v>5.0319999999999998E-4</v>
      </c>
      <c r="E7" s="56">
        <v>186822.36000000002</v>
      </c>
      <c r="F7" s="56">
        <v>225833</v>
      </c>
      <c r="G7" s="56">
        <v>994951</v>
      </c>
      <c r="H7" s="56"/>
      <c r="I7" s="57">
        <v>18693</v>
      </c>
      <c r="J7" s="57">
        <v>871894</v>
      </c>
      <c r="K7" s="57">
        <v>68145</v>
      </c>
      <c r="L7" s="56">
        <v>0</v>
      </c>
      <c r="M7" s="56"/>
      <c r="N7" s="57">
        <v>34864</v>
      </c>
      <c r="O7" s="57">
        <v>321812</v>
      </c>
      <c r="P7" s="57">
        <v>0</v>
      </c>
      <c r="Q7" s="56">
        <v>31773</v>
      </c>
      <c r="R7" s="57">
        <f t="shared" ref="R7:R70" si="0">IF(J7&gt;O7,J7-O7,O7-J7)</f>
        <v>550082</v>
      </c>
      <c r="S7" s="56"/>
      <c r="T7" s="57">
        <v>265936</v>
      </c>
      <c r="U7" s="58">
        <v>-10267</v>
      </c>
      <c r="V7" s="58">
        <v>255668</v>
      </c>
    </row>
    <row r="8" spans="1:22">
      <c r="A8" s="54">
        <v>71786</v>
      </c>
      <c r="B8" s="55" t="s">
        <v>2155</v>
      </c>
      <c r="C8" s="106">
        <v>4.3600000000000003E-5</v>
      </c>
      <c r="D8" s="106">
        <v>4.3699999999999998E-5</v>
      </c>
      <c r="E8" s="56">
        <v>14646.29</v>
      </c>
      <c r="F8" s="56">
        <v>19612</v>
      </c>
      <c r="G8" s="56">
        <v>92534</v>
      </c>
      <c r="H8" s="56"/>
      <c r="I8" s="57">
        <v>1739</v>
      </c>
      <c r="J8" s="57">
        <v>81089</v>
      </c>
      <c r="K8" s="57">
        <v>6338</v>
      </c>
      <c r="L8" s="56">
        <v>0</v>
      </c>
      <c r="M8" s="56"/>
      <c r="N8" s="57">
        <v>3242</v>
      </c>
      <c r="O8" s="57">
        <v>29930</v>
      </c>
      <c r="P8" s="57">
        <v>0</v>
      </c>
      <c r="Q8" s="56">
        <v>6350</v>
      </c>
      <c r="R8" s="57">
        <f t="shared" si="0"/>
        <v>51159</v>
      </c>
      <c r="S8" s="56"/>
      <c r="T8" s="57">
        <v>24733</v>
      </c>
      <c r="U8" s="58">
        <v>-2337</v>
      </c>
      <c r="V8" s="58">
        <v>22396</v>
      </c>
    </row>
    <row r="9" spans="1:22">
      <c r="A9" s="54">
        <v>72265</v>
      </c>
      <c r="B9" s="55" t="s">
        <v>1392</v>
      </c>
      <c r="C9" s="106">
        <v>1.327E-4</v>
      </c>
      <c r="D9" s="106">
        <v>1.3329999999999999E-4</v>
      </c>
      <c r="E9" s="56">
        <v>48904.860000000008</v>
      </c>
      <c r="F9" s="56">
        <v>59824</v>
      </c>
      <c r="G9" s="56">
        <v>281634</v>
      </c>
      <c r="H9" s="56"/>
      <c r="I9" s="57">
        <v>5291</v>
      </c>
      <c r="J9" s="57">
        <v>246801</v>
      </c>
      <c r="K9" s="57">
        <v>19289</v>
      </c>
      <c r="L9" s="56">
        <v>7214</v>
      </c>
      <c r="M9" s="56"/>
      <c r="N9" s="57">
        <v>9869</v>
      </c>
      <c r="O9" s="57">
        <v>91093</v>
      </c>
      <c r="P9" s="57">
        <v>0</v>
      </c>
      <c r="Q9" s="56">
        <v>5063</v>
      </c>
      <c r="R9" s="57">
        <f t="shared" si="0"/>
        <v>155708</v>
      </c>
      <c r="S9" s="56"/>
      <c r="T9" s="57">
        <v>75277</v>
      </c>
      <c r="U9" s="58">
        <v>2291</v>
      </c>
      <c r="V9" s="58">
        <v>77567</v>
      </c>
    </row>
    <row r="10" spans="1:22">
      <c r="A10" s="54">
        <v>72657</v>
      </c>
      <c r="B10" s="55" t="s">
        <v>1394</v>
      </c>
      <c r="C10" s="106">
        <v>4.2799999999999997E-5</v>
      </c>
      <c r="D10" s="106">
        <v>4.0800000000000002E-5</v>
      </c>
      <c r="E10" s="56">
        <v>15356.17</v>
      </c>
      <c r="F10" s="56">
        <v>18311</v>
      </c>
      <c r="G10" s="56">
        <v>90836</v>
      </c>
      <c r="H10" s="56"/>
      <c r="I10" s="57">
        <v>1707</v>
      </c>
      <c r="J10" s="57">
        <v>79601</v>
      </c>
      <c r="K10" s="57">
        <v>6221</v>
      </c>
      <c r="L10" s="56">
        <v>6577</v>
      </c>
      <c r="M10" s="56"/>
      <c r="N10" s="57">
        <v>3183</v>
      </c>
      <c r="O10" s="57">
        <v>29380</v>
      </c>
      <c r="P10" s="57">
        <v>0</v>
      </c>
      <c r="Q10" s="56">
        <v>4643</v>
      </c>
      <c r="R10" s="57">
        <f t="shared" si="0"/>
        <v>50221</v>
      </c>
      <c r="S10" s="56"/>
      <c r="T10" s="57">
        <v>24279</v>
      </c>
      <c r="U10" s="58">
        <v>1725</v>
      </c>
      <c r="V10" s="58">
        <v>26005</v>
      </c>
    </row>
    <row r="11" spans="1:22">
      <c r="A11" s="54">
        <v>90001</v>
      </c>
      <c r="B11" s="55" t="s">
        <v>1395</v>
      </c>
      <c r="C11" s="106">
        <v>8.6910000000000004E-4</v>
      </c>
      <c r="D11" s="106">
        <v>8.2339999999999996E-4</v>
      </c>
      <c r="E11" s="56">
        <v>342847.56999999995</v>
      </c>
      <c r="F11" s="56">
        <v>369537</v>
      </c>
      <c r="G11" s="56">
        <v>1844521</v>
      </c>
      <c r="H11" s="56"/>
      <c r="I11" s="57">
        <v>34655</v>
      </c>
      <c r="J11" s="57">
        <v>1616389</v>
      </c>
      <c r="K11" s="57">
        <v>126333</v>
      </c>
      <c r="L11" s="56">
        <v>17611</v>
      </c>
      <c r="M11" s="56"/>
      <c r="N11" s="57">
        <v>64634</v>
      </c>
      <c r="O11" s="57">
        <v>596601</v>
      </c>
      <c r="P11" s="57">
        <v>0</v>
      </c>
      <c r="Q11" s="56">
        <v>4549</v>
      </c>
      <c r="R11" s="57">
        <f t="shared" si="0"/>
        <v>1019788</v>
      </c>
      <c r="S11" s="56"/>
      <c r="T11" s="57">
        <v>493013</v>
      </c>
      <c r="U11" s="58">
        <v>4026</v>
      </c>
      <c r="V11" s="58">
        <v>497039</v>
      </c>
    </row>
    <row r="12" spans="1:22">
      <c r="A12" s="54">
        <v>90002</v>
      </c>
      <c r="B12" s="55" t="s">
        <v>1396</v>
      </c>
      <c r="C12" s="106">
        <v>1.15E-5</v>
      </c>
      <c r="D12" s="106">
        <v>1.15E-5</v>
      </c>
      <c r="E12" s="56">
        <v>5944.7300000000005</v>
      </c>
      <c r="F12" s="56">
        <v>5161</v>
      </c>
      <c r="G12" s="56">
        <v>24407</v>
      </c>
      <c r="H12" s="56"/>
      <c r="I12" s="57">
        <v>458.5625</v>
      </c>
      <c r="J12" s="57">
        <v>21388</v>
      </c>
      <c r="K12" s="57">
        <v>1672</v>
      </c>
      <c r="L12" s="56">
        <v>1428</v>
      </c>
      <c r="M12" s="56"/>
      <c r="N12" s="57">
        <v>855</v>
      </c>
      <c r="O12" s="57">
        <v>7894</v>
      </c>
      <c r="P12" s="57">
        <v>0</v>
      </c>
      <c r="Q12" s="56">
        <v>0</v>
      </c>
      <c r="R12" s="57">
        <f t="shared" si="0"/>
        <v>13494</v>
      </c>
      <c r="S12" s="56"/>
      <c r="T12" s="57">
        <v>6524</v>
      </c>
      <c r="U12" s="58">
        <v>436</v>
      </c>
      <c r="V12" s="58">
        <v>6960</v>
      </c>
    </row>
    <row r="13" spans="1:22">
      <c r="A13" s="54">
        <v>90011</v>
      </c>
      <c r="B13" s="55" t="s">
        <v>1397</v>
      </c>
      <c r="C13" s="106">
        <v>2.0819999999999999E-4</v>
      </c>
      <c r="D13" s="106">
        <v>2.2800000000000001E-4</v>
      </c>
      <c r="E13" s="56">
        <v>74533.509999999995</v>
      </c>
      <c r="F13" s="56">
        <v>102325</v>
      </c>
      <c r="G13" s="56">
        <v>441870</v>
      </c>
      <c r="H13" s="56"/>
      <c r="I13" s="57">
        <v>8302</v>
      </c>
      <c r="J13" s="57">
        <v>387219</v>
      </c>
      <c r="K13" s="57">
        <v>30264</v>
      </c>
      <c r="L13" s="56">
        <v>4623</v>
      </c>
      <c r="M13" s="56"/>
      <c r="N13" s="57">
        <v>15484</v>
      </c>
      <c r="O13" s="57">
        <v>142921</v>
      </c>
      <c r="P13" s="57">
        <v>0</v>
      </c>
      <c r="Q13" s="56">
        <v>24562</v>
      </c>
      <c r="R13" s="57">
        <f t="shared" si="0"/>
        <v>244298</v>
      </c>
      <c r="S13" s="56"/>
      <c r="T13" s="57">
        <v>118105</v>
      </c>
      <c r="U13" s="58">
        <v>-4521</v>
      </c>
      <c r="V13" s="58">
        <v>113585</v>
      </c>
    </row>
    <row r="14" spans="1:22">
      <c r="A14" s="54">
        <v>90092</v>
      </c>
      <c r="B14" s="55" t="s">
        <v>1398</v>
      </c>
      <c r="C14" s="106">
        <v>3.946E-4</v>
      </c>
      <c r="D14" s="106">
        <v>4.8670000000000001E-4</v>
      </c>
      <c r="E14" s="56">
        <v>169426.22</v>
      </c>
      <c r="F14" s="56">
        <v>218428</v>
      </c>
      <c r="G14" s="56">
        <v>837473</v>
      </c>
      <c r="H14" s="56"/>
      <c r="I14" s="57">
        <v>15735</v>
      </c>
      <c r="J14" s="57">
        <v>733894</v>
      </c>
      <c r="K14" s="57">
        <v>57359</v>
      </c>
      <c r="L14" s="56">
        <v>0</v>
      </c>
      <c r="M14" s="56"/>
      <c r="N14" s="57">
        <v>29346</v>
      </c>
      <c r="O14" s="57">
        <v>270876</v>
      </c>
      <c r="P14" s="57">
        <v>0</v>
      </c>
      <c r="Q14" s="56">
        <v>115870</v>
      </c>
      <c r="R14" s="57">
        <f t="shared" si="0"/>
        <v>463018</v>
      </c>
      <c r="S14" s="56"/>
      <c r="T14" s="57">
        <v>223844</v>
      </c>
      <c r="U14" s="58">
        <v>-40775</v>
      </c>
      <c r="V14" s="58">
        <v>183070</v>
      </c>
    </row>
    <row r="15" spans="1:22">
      <c r="A15" s="54">
        <v>90096</v>
      </c>
      <c r="B15" s="55" t="s">
        <v>1399</v>
      </c>
      <c r="C15" s="106">
        <v>1.3860999999999999E-3</v>
      </c>
      <c r="D15" s="106">
        <v>1.4866E-3</v>
      </c>
      <c r="E15" s="56">
        <v>582268.12000000011</v>
      </c>
      <c r="F15" s="56">
        <v>667177</v>
      </c>
      <c r="G15" s="56">
        <v>2941769</v>
      </c>
      <c r="H15" s="56"/>
      <c r="I15" s="57">
        <v>55271</v>
      </c>
      <c r="J15" s="57">
        <v>2577927</v>
      </c>
      <c r="K15" s="57">
        <v>201485</v>
      </c>
      <c r="L15" s="56">
        <v>79002</v>
      </c>
      <c r="M15" s="56"/>
      <c r="N15" s="57">
        <v>103083</v>
      </c>
      <c r="O15" s="57">
        <v>951499</v>
      </c>
      <c r="P15" s="57">
        <v>0</v>
      </c>
      <c r="Q15" s="56">
        <v>44718</v>
      </c>
      <c r="R15" s="57">
        <f t="shared" si="0"/>
        <v>1626428</v>
      </c>
      <c r="S15" s="56"/>
      <c r="T15" s="57">
        <v>786292</v>
      </c>
      <c r="U15" s="58">
        <v>23820</v>
      </c>
      <c r="V15" s="58">
        <v>810111</v>
      </c>
    </row>
    <row r="16" spans="1:22">
      <c r="A16" s="54">
        <v>90098</v>
      </c>
      <c r="B16" s="55" t="s">
        <v>1400</v>
      </c>
      <c r="C16" s="106">
        <v>2.9280000000000002E-4</v>
      </c>
      <c r="D16" s="106">
        <v>5.0869999999999995E-4</v>
      </c>
      <c r="E16" s="56">
        <v>129330.10999999997</v>
      </c>
      <c r="F16" s="56">
        <v>228302</v>
      </c>
      <c r="G16" s="56">
        <v>621420</v>
      </c>
      <c r="H16" s="56"/>
      <c r="I16" s="57">
        <v>11675</v>
      </c>
      <c r="J16" s="57">
        <v>544562</v>
      </c>
      <c r="K16" s="57">
        <v>42562</v>
      </c>
      <c r="L16" s="56">
        <v>0</v>
      </c>
      <c r="M16" s="56"/>
      <c r="N16" s="57">
        <v>21775</v>
      </c>
      <c r="O16" s="57">
        <v>200995</v>
      </c>
      <c r="P16" s="57">
        <v>0</v>
      </c>
      <c r="Q16" s="56">
        <v>163662</v>
      </c>
      <c r="R16" s="57">
        <f t="shared" si="0"/>
        <v>343567</v>
      </c>
      <c r="S16" s="56"/>
      <c r="T16" s="57">
        <v>166096</v>
      </c>
      <c r="U16" s="58">
        <v>-52769</v>
      </c>
      <c r="V16" s="58">
        <v>113327</v>
      </c>
    </row>
    <row r="17" spans="1:22">
      <c r="A17" s="54">
        <v>90099</v>
      </c>
      <c r="B17" s="55" t="s">
        <v>1401</v>
      </c>
      <c r="C17" s="106">
        <v>4.9330000000000001E-4</v>
      </c>
      <c r="D17" s="106">
        <v>5.9599999999999996E-4</v>
      </c>
      <c r="E17" s="56">
        <v>207476.25</v>
      </c>
      <c r="F17" s="56">
        <v>267481</v>
      </c>
      <c r="G17" s="56">
        <v>1046948</v>
      </c>
      <c r="H17" s="56"/>
      <c r="I17" s="57">
        <v>19670</v>
      </c>
      <c r="J17" s="57">
        <v>917460</v>
      </c>
      <c r="K17" s="57">
        <v>71707</v>
      </c>
      <c r="L17" s="56">
        <v>4838</v>
      </c>
      <c r="M17" s="56"/>
      <c r="N17" s="57">
        <v>36686</v>
      </c>
      <c r="O17" s="57">
        <v>338630</v>
      </c>
      <c r="P17" s="57">
        <v>0</v>
      </c>
      <c r="Q17" s="56">
        <v>60491</v>
      </c>
      <c r="R17" s="57">
        <f t="shared" si="0"/>
        <v>578830</v>
      </c>
      <c r="S17" s="56"/>
      <c r="T17" s="57">
        <v>279834</v>
      </c>
      <c r="U17" s="58">
        <v>-14054</v>
      </c>
      <c r="V17" s="58">
        <v>265780</v>
      </c>
    </row>
    <row r="18" spans="1:22">
      <c r="A18" s="54">
        <v>90101</v>
      </c>
      <c r="B18" s="55" t="s">
        <v>1402</v>
      </c>
      <c r="C18" s="106">
        <v>6.3996000000000001E-3</v>
      </c>
      <c r="D18" s="106">
        <v>6.1599000000000003E-3</v>
      </c>
      <c r="E18" s="56">
        <v>2594375.06</v>
      </c>
      <c r="F18" s="56">
        <v>2764526</v>
      </c>
      <c r="G18" s="56">
        <v>13582095</v>
      </c>
      <c r="H18" s="56"/>
      <c r="I18" s="57">
        <v>255184</v>
      </c>
      <c r="J18" s="57">
        <v>11902245</v>
      </c>
      <c r="K18" s="57">
        <v>930252</v>
      </c>
      <c r="L18" s="56">
        <v>229062</v>
      </c>
      <c r="M18" s="56"/>
      <c r="N18" s="57">
        <v>475932</v>
      </c>
      <c r="O18" s="57">
        <v>4393057</v>
      </c>
      <c r="P18" s="57">
        <v>0</v>
      </c>
      <c r="Q18" s="56">
        <v>51491</v>
      </c>
      <c r="R18" s="57">
        <f t="shared" si="0"/>
        <v>7509188</v>
      </c>
      <c r="S18" s="56"/>
      <c r="T18" s="57">
        <v>3630295</v>
      </c>
      <c r="U18" s="58">
        <v>45786</v>
      </c>
      <c r="V18" s="58">
        <v>3676081</v>
      </c>
    </row>
    <row r="19" spans="1:22">
      <c r="A19" s="54">
        <v>90111</v>
      </c>
      <c r="B19" s="55" t="s">
        <v>1403</v>
      </c>
      <c r="C19" s="106">
        <v>4.8874000000000001E-3</v>
      </c>
      <c r="D19" s="106">
        <v>4.9893000000000003E-3</v>
      </c>
      <c r="E19" s="56">
        <v>1973481.4</v>
      </c>
      <c r="F19" s="56">
        <v>2239168</v>
      </c>
      <c r="G19" s="56">
        <v>10372700</v>
      </c>
      <c r="H19" s="56"/>
      <c r="I19" s="57">
        <v>194885</v>
      </c>
      <c r="J19" s="57">
        <v>9089792</v>
      </c>
      <c r="K19" s="57">
        <v>710437</v>
      </c>
      <c r="L19" s="56">
        <v>0</v>
      </c>
      <c r="M19" s="56"/>
      <c r="N19" s="57">
        <v>363471</v>
      </c>
      <c r="O19" s="57">
        <v>3354995</v>
      </c>
      <c r="P19" s="57">
        <v>0</v>
      </c>
      <c r="Q19" s="56">
        <v>163983</v>
      </c>
      <c r="R19" s="57">
        <f t="shared" si="0"/>
        <v>5734797</v>
      </c>
      <c r="S19" s="56"/>
      <c r="T19" s="57">
        <v>2772471</v>
      </c>
      <c r="U19" s="58">
        <v>-57381</v>
      </c>
      <c r="V19" s="58">
        <v>2715090</v>
      </c>
    </row>
    <row r="20" spans="1:22">
      <c r="A20" s="54">
        <v>90114</v>
      </c>
      <c r="B20" s="55" t="s">
        <v>1404</v>
      </c>
      <c r="C20" s="106">
        <v>1.0681E-3</v>
      </c>
      <c r="D20" s="106">
        <v>1.0043000000000001E-3</v>
      </c>
      <c r="E20" s="56">
        <v>1022991.7599999999</v>
      </c>
      <c r="F20" s="56">
        <v>450724</v>
      </c>
      <c r="G20" s="56">
        <v>2266866</v>
      </c>
      <c r="H20" s="56"/>
      <c r="I20" s="57">
        <v>42590</v>
      </c>
      <c r="J20" s="57">
        <v>1986497</v>
      </c>
      <c r="K20" s="57">
        <v>155260</v>
      </c>
      <c r="L20" s="56">
        <v>821100</v>
      </c>
      <c r="M20" s="56"/>
      <c r="N20" s="57">
        <v>79434</v>
      </c>
      <c r="O20" s="57">
        <v>733206</v>
      </c>
      <c r="P20" s="57">
        <v>0</v>
      </c>
      <c r="Q20" s="56">
        <v>0</v>
      </c>
      <c r="R20" s="57">
        <f t="shared" si="0"/>
        <v>1253291</v>
      </c>
      <c r="S20" s="56"/>
      <c r="T20" s="57">
        <v>605900</v>
      </c>
      <c r="U20" s="58">
        <v>245765</v>
      </c>
      <c r="V20" s="58">
        <v>851665</v>
      </c>
    </row>
    <row r="21" spans="1:22">
      <c r="A21" s="54">
        <v>90117</v>
      </c>
      <c r="B21" s="55" t="s">
        <v>1405</v>
      </c>
      <c r="C21" s="106">
        <v>1.35E-4</v>
      </c>
      <c r="D21" s="106">
        <v>1.3019999999999999E-4</v>
      </c>
      <c r="E21" s="56">
        <v>78954.289999999994</v>
      </c>
      <c r="F21" s="56">
        <v>58433</v>
      </c>
      <c r="G21" s="56">
        <v>286515</v>
      </c>
      <c r="H21" s="56"/>
      <c r="I21" s="57">
        <v>5383.125</v>
      </c>
      <c r="J21" s="57">
        <v>251078.67</v>
      </c>
      <c r="K21" s="57">
        <v>19624</v>
      </c>
      <c r="L21" s="56">
        <v>42554</v>
      </c>
      <c r="M21" s="56"/>
      <c r="N21" s="57">
        <v>10040</v>
      </c>
      <c r="O21" s="57">
        <v>92671.83</v>
      </c>
      <c r="P21" s="57">
        <v>0</v>
      </c>
      <c r="Q21" s="56">
        <v>0</v>
      </c>
      <c r="R21" s="57">
        <f t="shared" si="0"/>
        <v>158406.84000000003</v>
      </c>
      <c r="S21" s="56"/>
      <c r="T21" s="57">
        <v>76581</v>
      </c>
      <c r="U21" s="58">
        <v>14293</v>
      </c>
      <c r="V21" s="58">
        <v>90874</v>
      </c>
    </row>
    <row r="22" spans="1:22">
      <c r="A22" s="54">
        <v>90121</v>
      </c>
      <c r="B22" s="55" t="s">
        <v>1406</v>
      </c>
      <c r="C22" s="106">
        <v>1.0789E-3</v>
      </c>
      <c r="D22" s="106">
        <v>1.1057E-3</v>
      </c>
      <c r="E22" s="56">
        <v>394125.90000000008</v>
      </c>
      <c r="F22" s="56">
        <v>496232</v>
      </c>
      <c r="G22" s="56">
        <v>2289787</v>
      </c>
      <c r="H22" s="56"/>
      <c r="I22" s="57">
        <v>43021</v>
      </c>
      <c r="J22" s="57">
        <v>2006584</v>
      </c>
      <c r="K22" s="57">
        <v>156830</v>
      </c>
      <c r="L22" s="56">
        <v>6521</v>
      </c>
      <c r="M22" s="56"/>
      <c r="N22" s="57">
        <v>80237</v>
      </c>
      <c r="O22" s="57">
        <v>740620</v>
      </c>
      <c r="P22" s="57">
        <v>0</v>
      </c>
      <c r="Q22" s="56">
        <v>74370</v>
      </c>
      <c r="R22" s="57">
        <f t="shared" si="0"/>
        <v>1265964</v>
      </c>
      <c r="S22" s="56"/>
      <c r="T22" s="57">
        <v>612027</v>
      </c>
      <c r="U22" s="58">
        <v>-17947</v>
      </c>
      <c r="V22" s="58">
        <v>594079</v>
      </c>
    </row>
    <row r="23" spans="1:22">
      <c r="A23" s="54">
        <v>90131</v>
      </c>
      <c r="B23" s="55" t="s">
        <v>1407</v>
      </c>
      <c r="C23" s="106">
        <v>5.0440000000000001E-4</v>
      </c>
      <c r="D23" s="106">
        <v>4.727E-4</v>
      </c>
      <c r="E23" s="56">
        <v>173703.08999999997</v>
      </c>
      <c r="F23" s="56">
        <v>212145</v>
      </c>
      <c r="G23" s="56">
        <v>1070506</v>
      </c>
      <c r="H23" s="56"/>
      <c r="I23" s="57">
        <v>20112.95</v>
      </c>
      <c r="J23" s="57">
        <v>938104</v>
      </c>
      <c r="K23" s="57">
        <v>73320</v>
      </c>
      <c r="L23" s="56">
        <v>0</v>
      </c>
      <c r="M23" s="56"/>
      <c r="N23" s="57">
        <v>37512</v>
      </c>
      <c r="O23" s="57">
        <v>346249</v>
      </c>
      <c r="P23" s="57">
        <v>0</v>
      </c>
      <c r="Q23" s="56">
        <v>23072</v>
      </c>
      <c r="R23" s="57">
        <f t="shared" si="0"/>
        <v>591855</v>
      </c>
      <c r="S23" s="56"/>
      <c r="T23" s="57">
        <v>286130</v>
      </c>
      <c r="U23" s="58">
        <v>-8951</v>
      </c>
      <c r="V23" s="58">
        <v>277180</v>
      </c>
    </row>
    <row r="24" spans="1:22">
      <c r="A24" s="54">
        <v>90141</v>
      </c>
      <c r="B24" s="55" t="s">
        <v>1408</v>
      </c>
      <c r="C24" s="106">
        <v>1.306E-4</v>
      </c>
      <c r="D24" s="106">
        <v>1.5919999999999999E-4</v>
      </c>
      <c r="E24" s="56">
        <v>55925.87</v>
      </c>
      <c r="F24" s="56">
        <v>71448</v>
      </c>
      <c r="G24" s="56">
        <v>277177</v>
      </c>
      <c r="H24" s="56"/>
      <c r="I24" s="57">
        <v>5208</v>
      </c>
      <c r="J24" s="57">
        <v>242895</v>
      </c>
      <c r="K24" s="57">
        <v>18984</v>
      </c>
      <c r="L24" s="56">
        <v>2143</v>
      </c>
      <c r="M24" s="56"/>
      <c r="N24" s="57">
        <v>9713</v>
      </c>
      <c r="O24" s="57">
        <v>89651</v>
      </c>
      <c r="P24" s="57">
        <v>0</v>
      </c>
      <c r="Q24" s="56">
        <v>13732</v>
      </c>
      <c r="R24" s="57">
        <f t="shared" si="0"/>
        <v>153244</v>
      </c>
      <c r="S24" s="56"/>
      <c r="T24" s="57">
        <v>74085</v>
      </c>
      <c r="U24" s="58">
        <v>-2701</v>
      </c>
      <c r="V24" s="58">
        <v>71385</v>
      </c>
    </row>
    <row r="25" spans="1:22">
      <c r="A25" s="54">
        <v>90151</v>
      </c>
      <c r="B25" s="55" t="s">
        <v>1409</v>
      </c>
      <c r="C25" s="106">
        <v>1.0000000000000001E-5</v>
      </c>
      <c r="D25" s="106">
        <v>9.7999999999999993E-6</v>
      </c>
      <c r="E25" s="56">
        <v>2703</v>
      </c>
      <c r="F25" s="56">
        <v>4398</v>
      </c>
      <c r="G25" s="56">
        <v>21223</v>
      </c>
      <c r="H25" s="56"/>
      <c r="I25" s="57">
        <v>399</v>
      </c>
      <c r="J25" s="57">
        <v>18598</v>
      </c>
      <c r="K25" s="57">
        <v>1454</v>
      </c>
      <c r="L25" s="56">
        <v>0</v>
      </c>
      <c r="M25" s="56"/>
      <c r="N25" s="57">
        <v>743.69</v>
      </c>
      <c r="O25" s="57">
        <v>6865</v>
      </c>
      <c r="P25" s="57">
        <v>0</v>
      </c>
      <c r="Q25" s="56">
        <v>2266</v>
      </c>
      <c r="R25" s="57">
        <f t="shared" si="0"/>
        <v>11733</v>
      </c>
      <c r="S25" s="56"/>
      <c r="T25" s="57">
        <v>5673</v>
      </c>
      <c r="U25" s="58">
        <v>-782</v>
      </c>
      <c r="V25" s="58">
        <v>4891</v>
      </c>
    </row>
    <row r="26" spans="1:22">
      <c r="A26" s="54">
        <v>90161</v>
      </c>
      <c r="B26" s="55" t="s">
        <v>1410</v>
      </c>
      <c r="C26" s="106">
        <v>3.4799999999999999E-5</v>
      </c>
      <c r="D26" s="106">
        <v>2.6299999999999999E-5</v>
      </c>
      <c r="E26" s="56">
        <v>13115.62</v>
      </c>
      <c r="F26" s="56">
        <v>11803</v>
      </c>
      <c r="G26" s="56">
        <v>73857</v>
      </c>
      <c r="H26" s="56"/>
      <c r="I26" s="57">
        <v>1388</v>
      </c>
      <c r="J26" s="57">
        <v>64723</v>
      </c>
      <c r="K26" s="57">
        <v>5059</v>
      </c>
      <c r="L26" s="56">
        <v>5728</v>
      </c>
      <c r="M26" s="56"/>
      <c r="N26" s="57">
        <v>2588</v>
      </c>
      <c r="O26" s="57">
        <v>23889</v>
      </c>
      <c r="P26" s="57">
        <v>0</v>
      </c>
      <c r="Q26" s="56">
        <v>0</v>
      </c>
      <c r="R26" s="57">
        <f t="shared" si="0"/>
        <v>40834</v>
      </c>
      <c r="S26" s="56"/>
      <c r="T26" s="57">
        <v>19741</v>
      </c>
      <c r="U26" s="58">
        <v>1706</v>
      </c>
      <c r="V26" s="58">
        <v>21447</v>
      </c>
    </row>
    <row r="27" spans="1:22">
      <c r="A27" s="54">
        <v>90201</v>
      </c>
      <c r="B27" s="55" t="s">
        <v>1411</v>
      </c>
      <c r="C27" s="106">
        <v>1.2419E-3</v>
      </c>
      <c r="D27" s="106">
        <v>1.1842999999999999E-3</v>
      </c>
      <c r="E27" s="56">
        <v>470870.10999999993</v>
      </c>
      <c r="F27" s="56">
        <v>531507</v>
      </c>
      <c r="G27" s="56">
        <v>2635728</v>
      </c>
      <c r="H27" s="56"/>
      <c r="I27" s="57">
        <v>49521</v>
      </c>
      <c r="J27" s="57">
        <v>2309738</v>
      </c>
      <c r="K27" s="57">
        <v>180524</v>
      </c>
      <c r="L27" s="56">
        <v>70694</v>
      </c>
      <c r="M27" s="56"/>
      <c r="N27" s="57">
        <v>92359</v>
      </c>
      <c r="O27" s="57">
        <v>852512</v>
      </c>
      <c r="P27" s="57">
        <v>0</v>
      </c>
      <c r="Q27" s="56">
        <v>450</v>
      </c>
      <c r="R27" s="57">
        <f t="shared" si="0"/>
        <v>1457226</v>
      </c>
      <c r="S27" s="56"/>
      <c r="T27" s="57">
        <v>704491</v>
      </c>
      <c r="U27" s="58">
        <v>33957</v>
      </c>
      <c r="V27" s="58">
        <v>738448</v>
      </c>
    </row>
    <row r="28" spans="1:22">
      <c r="A28" s="54">
        <v>90203</v>
      </c>
      <c r="B28" s="55" t="s">
        <v>1412</v>
      </c>
      <c r="C28" s="106">
        <v>2.3680000000000001E-4</v>
      </c>
      <c r="D28" s="106">
        <v>2.7530000000000002E-4</v>
      </c>
      <c r="E28" s="56">
        <v>95317.989999999991</v>
      </c>
      <c r="F28" s="56">
        <v>123553</v>
      </c>
      <c r="G28" s="56">
        <v>502569</v>
      </c>
      <c r="H28" s="56"/>
      <c r="I28" s="57">
        <v>9442.4</v>
      </c>
      <c r="J28" s="57">
        <v>440411</v>
      </c>
      <c r="K28" s="57">
        <v>34421</v>
      </c>
      <c r="L28" s="56">
        <v>3338</v>
      </c>
      <c r="M28" s="56"/>
      <c r="N28" s="57">
        <v>17611</v>
      </c>
      <c r="O28" s="57">
        <v>162553</v>
      </c>
      <c r="P28" s="57">
        <v>0</v>
      </c>
      <c r="Q28" s="56">
        <v>36458</v>
      </c>
      <c r="R28" s="57">
        <f t="shared" si="0"/>
        <v>277858</v>
      </c>
      <c r="S28" s="56"/>
      <c r="T28" s="57">
        <v>134329</v>
      </c>
      <c r="U28" s="58">
        <v>-11660</v>
      </c>
      <c r="V28" s="58">
        <v>122669</v>
      </c>
    </row>
    <row r="29" spans="1:22">
      <c r="A29" s="54">
        <v>90205</v>
      </c>
      <c r="B29" s="55" t="s">
        <v>1413</v>
      </c>
      <c r="C29" s="106">
        <v>3.3599999999999997E-5</v>
      </c>
      <c r="D29" s="106">
        <v>3.5299999999999997E-5</v>
      </c>
      <c r="E29" s="56">
        <v>13992.72</v>
      </c>
      <c r="F29" s="56">
        <v>15842</v>
      </c>
      <c r="G29" s="56">
        <v>71310</v>
      </c>
      <c r="H29" s="56"/>
      <c r="I29" s="57">
        <v>1339.8</v>
      </c>
      <c r="J29" s="57">
        <v>62491</v>
      </c>
      <c r="K29" s="57">
        <v>4884</v>
      </c>
      <c r="L29" s="56">
        <v>1378</v>
      </c>
      <c r="M29" s="56"/>
      <c r="N29" s="57">
        <v>2499</v>
      </c>
      <c r="O29" s="57">
        <v>23065</v>
      </c>
      <c r="P29" s="57">
        <v>0</v>
      </c>
      <c r="Q29" s="56">
        <v>782</v>
      </c>
      <c r="R29" s="57">
        <f t="shared" si="0"/>
        <v>39426</v>
      </c>
      <c r="S29" s="56"/>
      <c r="T29" s="57">
        <v>19060</v>
      </c>
      <c r="U29" s="58">
        <v>406</v>
      </c>
      <c r="V29" s="58">
        <v>19467</v>
      </c>
    </row>
    <row r="30" spans="1:22">
      <c r="A30" s="54">
        <v>90206</v>
      </c>
      <c r="B30" s="55" t="s">
        <v>1414</v>
      </c>
      <c r="C30" s="106">
        <v>4.347E-4</v>
      </c>
      <c r="D30" s="106">
        <v>4.3810000000000002E-4</v>
      </c>
      <c r="E30" s="56">
        <v>170440.57</v>
      </c>
      <c r="F30" s="56">
        <v>196617</v>
      </c>
      <c r="G30" s="56">
        <v>922579</v>
      </c>
      <c r="H30" s="56"/>
      <c r="I30" s="57">
        <v>17334</v>
      </c>
      <c r="J30" s="57">
        <v>808473</v>
      </c>
      <c r="K30" s="57">
        <v>63188</v>
      </c>
      <c r="L30" s="56">
        <v>18047</v>
      </c>
      <c r="M30" s="56"/>
      <c r="N30" s="57">
        <v>32328</v>
      </c>
      <c r="O30" s="57">
        <v>298403</v>
      </c>
      <c r="P30" s="57">
        <v>0</v>
      </c>
      <c r="Q30" s="56">
        <v>12515</v>
      </c>
      <c r="R30" s="57">
        <f t="shared" si="0"/>
        <v>510070</v>
      </c>
      <c r="S30" s="56"/>
      <c r="T30" s="57">
        <v>246592</v>
      </c>
      <c r="U30" s="58">
        <v>5439</v>
      </c>
      <c r="V30" s="58">
        <v>252031</v>
      </c>
    </row>
    <row r="31" spans="1:22">
      <c r="A31" s="54">
        <v>90211</v>
      </c>
      <c r="B31" s="55" t="s">
        <v>1415</v>
      </c>
      <c r="C31" s="106">
        <v>1.5689999999999999E-4</v>
      </c>
      <c r="D31" s="106">
        <v>1.708E-4</v>
      </c>
      <c r="E31" s="56">
        <v>58969.799999999996</v>
      </c>
      <c r="F31" s="56">
        <v>76654</v>
      </c>
      <c r="G31" s="56">
        <v>332994</v>
      </c>
      <c r="H31" s="56"/>
      <c r="I31" s="57">
        <v>6256</v>
      </c>
      <c r="J31" s="57">
        <v>291809</v>
      </c>
      <c r="K31" s="57">
        <v>22807</v>
      </c>
      <c r="L31" s="56">
        <v>0</v>
      </c>
      <c r="M31" s="56"/>
      <c r="N31" s="57">
        <v>11668</v>
      </c>
      <c r="O31" s="57">
        <v>107705</v>
      </c>
      <c r="P31" s="57">
        <v>0</v>
      </c>
      <c r="Q31" s="56">
        <v>17335</v>
      </c>
      <c r="R31" s="57">
        <f t="shared" si="0"/>
        <v>184104</v>
      </c>
      <c r="S31" s="56"/>
      <c r="T31" s="57">
        <v>89005</v>
      </c>
      <c r="U31" s="58">
        <v>-5305</v>
      </c>
      <c r="V31" s="58">
        <v>83699</v>
      </c>
    </row>
    <row r="32" spans="1:22">
      <c r="A32" s="54">
        <v>90301</v>
      </c>
      <c r="B32" s="55" t="s">
        <v>1416</v>
      </c>
      <c r="C32" s="106">
        <v>6.4000000000000005E-4</v>
      </c>
      <c r="D32" s="106">
        <v>6.2489999999999996E-4</v>
      </c>
      <c r="E32" s="56">
        <v>241334.31</v>
      </c>
      <c r="F32" s="56">
        <v>280451</v>
      </c>
      <c r="G32" s="56">
        <v>1358294</v>
      </c>
      <c r="H32" s="56"/>
      <c r="I32" s="57">
        <v>25520</v>
      </c>
      <c r="J32" s="57">
        <v>1190299</v>
      </c>
      <c r="K32" s="57">
        <v>93031</v>
      </c>
      <c r="L32" s="56">
        <v>6684</v>
      </c>
      <c r="M32" s="56"/>
      <c r="N32" s="57">
        <v>47596.160000000003</v>
      </c>
      <c r="O32" s="57">
        <v>439333</v>
      </c>
      <c r="P32" s="57">
        <v>0</v>
      </c>
      <c r="Q32" s="56">
        <v>19561</v>
      </c>
      <c r="R32" s="57">
        <f t="shared" si="0"/>
        <v>750966</v>
      </c>
      <c r="S32" s="56"/>
      <c r="T32" s="57">
        <v>363052</v>
      </c>
      <c r="U32" s="58">
        <v>-5224</v>
      </c>
      <c r="V32" s="58">
        <v>357828</v>
      </c>
    </row>
    <row r="33" spans="1:22">
      <c r="A33" s="54">
        <v>90305</v>
      </c>
      <c r="B33" s="55" t="s">
        <v>1417</v>
      </c>
      <c r="C33" s="106">
        <v>1.7009999999999999E-4</v>
      </c>
      <c r="D33" s="106">
        <v>1.773E-4</v>
      </c>
      <c r="E33" s="56">
        <v>84901.17</v>
      </c>
      <c r="F33" s="56">
        <v>79571</v>
      </c>
      <c r="G33" s="56">
        <v>361009</v>
      </c>
      <c r="H33" s="56"/>
      <c r="I33" s="57">
        <v>6783</v>
      </c>
      <c r="J33" s="57">
        <v>316359</v>
      </c>
      <c r="K33" s="57">
        <v>24726</v>
      </c>
      <c r="L33" s="56">
        <v>26122</v>
      </c>
      <c r="M33" s="56"/>
      <c r="N33" s="57">
        <v>12650</v>
      </c>
      <c r="O33" s="57">
        <v>116767</v>
      </c>
      <c r="P33" s="57">
        <v>0</v>
      </c>
      <c r="Q33" s="56">
        <v>0</v>
      </c>
      <c r="R33" s="57">
        <f t="shared" si="0"/>
        <v>199592</v>
      </c>
      <c r="S33" s="56"/>
      <c r="T33" s="57">
        <v>96492</v>
      </c>
      <c r="U33" s="58">
        <v>9101</v>
      </c>
      <c r="V33" s="58">
        <v>105594</v>
      </c>
    </row>
    <row r="34" spans="1:22">
      <c r="A34" s="54">
        <v>90307</v>
      </c>
      <c r="B34" s="55" t="s">
        <v>1418</v>
      </c>
      <c r="C34" s="106">
        <v>7.7000000000000008E-6</v>
      </c>
      <c r="D34" s="106">
        <v>8.4999999999999999E-6</v>
      </c>
      <c r="E34" s="56">
        <v>3744.0999999999995</v>
      </c>
      <c r="F34" s="56">
        <v>3815</v>
      </c>
      <c r="G34" s="56">
        <v>16342</v>
      </c>
      <c r="H34" s="56"/>
      <c r="I34" s="57">
        <v>307</v>
      </c>
      <c r="J34" s="57">
        <v>14321</v>
      </c>
      <c r="K34" s="57">
        <v>1119</v>
      </c>
      <c r="L34" s="56">
        <v>213</v>
      </c>
      <c r="M34" s="56"/>
      <c r="N34" s="57">
        <v>573</v>
      </c>
      <c r="O34" s="57">
        <v>5286</v>
      </c>
      <c r="P34" s="57">
        <v>0</v>
      </c>
      <c r="Q34" s="56">
        <v>80</v>
      </c>
      <c r="R34" s="57">
        <f t="shared" si="0"/>
        <v>9035</v>
      </c>
      <c r="S34" s="56"/>
      <c r="T34" s="57">
        <v>4368</v>
      </c>
      <c r="U34" s="58">
        <v>33</v>
      </c>
      <c r="V34" s="58">
        <v>4401</v>
      </c>
    </row>
    <row r="35" spans="1:22">
      <c r="A35" s="54">
        <v>90401</v>
      </c>
      <c r="B35" s="55" t="s">
        <v>1419</v>
      </c>
      <c r="C35" s="106">
        <v>1.3626999999999999E-3</v>
      </c>
      <c r="D35" s="106">
        <v>1.359E-3</v>
      </c>
      <c r="E35" s="56">
        <v>569788.09</v>
      </c>
      <c r="F35" s="56">
        <v>609911</v>
      </c>
      <c r="G35" s="56">
        <v>2892106</v>
      </c>
      <c r="H35" s="56"/>
      <c r="I35" s="57">
        <v>54338</v>
      </c>
      <c r="J35" s="57">
        <v>2534407</v>
      </c>
      <c r="K35" s="57">
        <v>198083</v>
      </c>
      <c r="L35" s="56">
        <v>70826</v>
      </c>
      <c r="M35" s="56"/>
      <c r="N35" s="57">
        <v>101343</v>
      </c>
      <c r="O35" s="57">
        <v>935436</v>
      </c>
      <c r="P35" s="57">
        <v>0</v>
      </c>
      <c r="Q35" s="56">
        <v>0</v>
      </c>
      <c r="R35" s="57">
        <f t="shared" si="0"/>
        <v>1598971</v>
      </c>
      <c r="S35" s="56"/>
      <c r="T35" s="57">
        <v>773017</v>
      </c>
      <c r="U35" s="58">
        <v>26807</v>
      </c>
      <c r="V35" s="58">
        <v>799824</v>
      </c>
    </row>
    <row r="36" spans="1:22">
      <c r="A36" s="54">
        <v>90411</v>
      </c>
      <c r="B36" s="55" t="s">
        <v>1420</v>
      </c>
      <c r="C36" s="106">
        <v>3.5490000000000001E-4</v>
      </c>
      <c r="D36" s="106">
        <v>4.0069999999999998E-4</v>
      </c>
      <c r="E36" s="56">
        <v>139271.16</v>
      </c>
      <c r="F36" s="56">
        <v>179832</v>
      </c>
      <c r="G36" s="56">
        <v>753217</v>
      </c>
      <c r="H36" s="56"/>
      <c r="I36" s="57">
        <v>14152</v>
      </c>
      <c r="J36" s="57">
        <v>660058</v>
      </c>
      <c r="K36" s="57">
        <v>51589</v>
      </c>
      <c r="L36" s="56">
        <v>0</v>
      </c>
      <c r="M36" s="56"/>
      <c r="N36" s="57">
        <v>26394</v>
      </c>
      <c r="O36" s="57">
        <v>243624</v>
      </c>
      <c r="P36" s="57">
        <v>0</v>
      </c>
      <c r="Q36" s="56">
        <v>45866</v>
      </c>
      <c r="R36" s="57">
        <f t="shared" si="0"/>
        <v>416434</v>
      </c>
      <c r="S36" s="56"/>
      <c r="T36" s="57">
        <v>201324</v>
      </c>
      <c r="U36" s="58">
        <v>-13553</v>
      </c>
      <c r="V36" s="58">
        <v>187770</v>
      </c>
    </row>
    <row r="37" spans="1:22">
      <c r="A37" s="54">
        <v>90413</v>
      </c>
      <c r="B37" s="55" t="s">
        <v>1421</v>
      </c>
      <c r="C37" s="106">
        <v>3.7299999999999999E-5</v>
      </c>
      <c r="D37" s="106">
        <v>3.6399999999999997E-5</v>
      </c>
      <c r="E37" s="56">
        <v>16559.900000000001</v>
      </c>
      <c r="F37" s="56">
        <v>16336</v>
      </c>
      <c r="G37" s="56">
        <v>79163</v>
      </c>
      <c r="H37" s="56"/>
      <c r="I37" s="57">
        <v>1487</v>
      </c>
      <c r="J37" s="57">
        <v>69372</v>
      </c>
      <c r="K37" s="57">
        <v>5422</v>
      </c>
      <c r="L37" s="56">
        <v>9568</v>
      </c>
      <c r="M37" s="56"/>
      <c r="N37" s="57">
        <v>2774</v>
      </c>
      <c r="O37" s="57">
        <v>25605</v>
      </c>
      <c r="P37" s="57">
        <v>0</v>
      </c>
      <c r="Q37" s="56">
        <v>0</v>
      </c>
      <c r="R37" s="57">
        <f t="shared" si="0"/>
        <v>43767</v>
      </c>
      <c r="S37" s="56"/>
      <c r="T37" s="57">
        <v>21159</v>
      </c>
      <c r="U37" s="58">
        <v>3645</v>
      </c>
      <c r="V37" s="58">
        <v>24804</v>
      </c>
    </row>
    <row r="38" spans="1:22">
      <c r="A38" s="54">
        <v>90417</v>
      </c>
      <c r="B38" s="55" t="s">
        <v>1422</v>
      </c>
      <c r="C38" s="106">
        <v>1.2099999999999999E-5</v>
      </c>
      <c r="D38" s="106">
        <v>1.38E-5</v>
      </c>
      <c r="E38" s="56">
        <v>7491.5899999999983</v>
      </c>
      <c r="F38" s="56">
        <v>6193</v>
      </c>
      <c r="G38" s="56">
        <v>25680</v>
      </c>
      <c r="H38" s="56"/>
      <c r="I38" s="57">
        <v>482</v>
      </c>
      <c r="J38" s="57">
        <v>22504</v>
      </c>
      <c r="K38" s="57">
        <v>1759</v>
      </c>
      <c r="L38" s="56">
        <v>2032</v>
      </c>
      <c r="M38" s="56"/>
      <c r="N38" s="57">
        <v>900</v>
      </c>
      <c r="O38" s="57">
        <v>8306</v>
      </c>
      <c r="P38" s="57">
        <v>0</v>
      </c>
      <c r="Q38" s="56">
        <v>0</v>
      </c>
      <c r="R38" s="57">
        <f t="shared" si="0"/>
        <v>14198</v>
      </c>
      <c r="S38" s="56"/>
      <c r="T38" s="57">
        <v>6864</v>
      </c>
      <c r="U38" s="58">
        <v>687</v>
      </c>
      <c r="V38" s="58">
        <v>7551</v>
      </c>
    </row>
    <row r="39" spans="1:22">
      <c r="A39" s="54">
        <v>90421</v>
      </c>
      <c r="B39" s="55" t="s">
        <v>1423</v>
      </c>
      <c r="C39" s="106">
        <v>2.3600000000000001E-5</v>
      </c>
      <c r="D39" s="106">
        <v>2.4700000000000001E-5</v>
      </c>
      <c r="E39" s="56">
        <v>7745.31</v>
      </c>
      <c r="F39" s="56">
        <v>11085</v>
      </c>
      <c r="G39" s="56">
        <v>50087</v>
      </c>
      <c r="H39" s="56"/>
      <c r="I39" s="57">
        <v>941</v>
      </c>
      <c r="J39" s="57">
        <v>43892</v>
      </c>
      <c r="K39" s="57">
        <v>3431</v>
      </c>
      <c r="L39" s="56">
        <v>0</v>
      </c>
      <c r="M39" s="56"/>
      <c r="N39" s="57">
        <v>1755</v>
      </c>
      <c r="O39" s="57">
        <v>16200</v>
      </c>
      <c r="P39" s="57">
        <v>0</v>
      </c>
      <c r="Q39" s="56">
        <v>3590</v>
      </c>
      <c r="R39" s="57">
        <f t="shared" si="0"/>
        <v>27692</v>
      </c>
      <c r="S39" s="56"/>
      <c r="T39" s="57">
        <v>13388</v>
      </c>
      <c r="U39" s="58">
        <v>-1226</v>
      </c>
      <c r="V39" s="58">
        <v>12162</v>
      </c>
    </row>
    <row r="40" spans="1:22">
      <c r="A40" s="54">
        <v>90431</v>
      </c>
      <c r="B40" s="55" t="s">
        <v>1424</v>
      </c>
      <c r="C40" s="106">
        <v>4.2799999999999997E-5</v>
      </c>
      <c r="D40" s="106">
        <v>4.7599999999999998E-5</v>
      </c>
      <c r="E40" s="56">
        <v>18711.07</v>
      </c>
      <c r="F40" s="56">
        <v>21363</v>
      </c>
      <c r="G40" s="56">
        <v>90836</v>
      </c>
      <c r="H40" s="56"/>
      <c r="I40" s="57">
        <v>1707</v>
      </c>
      <c r="J40" s="57">
        <v>79601</v>
      </c>
      <c r="K40" s="57">
        <v>6221</v>
      </c>
      <c r="L40" s="56">
        <v>8478</v>
      </c>
      <c r="M40" s="56"/>
      <c r="N40" s="57">
        <v>3183</v>
      </c>
      <c r="O40" s="57">
        <v>29380</v>
      </c>
      <c r="P40" s="57">
        <v>0</v>
      </c>
      <c r="Q40" s="56">
        <v>1719</v>
      </c>
      <c r="R40" s="57">
        <f t="shared" si="0"/>
        <v>50221</v>
      </c>
      <c r="S40" s="56"/>
      <c r="T40" s="57">
        <v>24279</v>
      </c>
      <c r="U40" s="58">
        <v>2793</v>
      </c>
      <c r="V40" s="58">
        <v>27072</v>
      </c>
    </row>
    <row r="41" spans="1:22">
      <c r="A41" s="54">
        <v>90441</v>
      </c>
      <c r="B41" s="55" t="s">
        <v>1425</v>
      </c>
      <c r="C41" s="106">
        <v>9.3999999999999998E-6</v>
      </c>
      <c r="D41" s="106">
        <v>1.03E-5</v>
      </c>
      <c r="E41" s="56">
        <v>4675.0599999999995</v>
      </c>
      <c r="F41" s="56">
        <v>4623</v>
      </c>
      <c r="G41" s="56">
        <v>19950</v>
      </c>
      <c r="H41" s="56"/>
      <c r="I41" s="57">
        <v>374.82499999999999</v>
      </c>
      <c r="J41" s="57">
        <v>17483</v>
      </c>
      <c r="K41" s="57">
        <v>1366</v>
      </c>
      <c r="L41" s="56">
        <v>1367</v>
      </c>
      <c r="M41" s="56"/>
      <c r="N41" s="57">
        <v>699</v>
      </c>
      <c r="O41" s="57">
        <v>6453</v>
      </c>
      <c r="P41" s="57">
        <v>0</v>
      </c>
      <c r="Q41" s="56">
        <v>200</v>
      </c>
      <c r="R41" s="57">
        <f t="shared" si="0"/>
        <v>11030</v>
      </c>
      <c r="S41" s="56"/>
      <c r="T41" s="57">
        <v>5332</v>
      </c>
      <c r="U41" s="58">
        <v>578</v>
      </c>
      <c r="V41" s="58">
        <v>5911</v>
      </c>
    </row>
    <row r="42" spans="1:22">
      <c r="A42" s="54">
        <v>90451</v>
      </c>
      <c r="B42" s="55" t="s">
        <v>1426</v>
      </c>
      <c r="C42" s="106">
        <v>1.7900000000000001E-5</v>
      </c>
      <c r="D42" s="106">
        <v>1.2099999999999999E-5</v>
      </c>
      <c r="E42" s="56">
        <v>6772.25</v>
      </c>
      <c r="F42" s="56">
        <v>5430</v>
      </c>
      <c r="G42" s="56">
        <v>37990</v>
      </c>
      <c r="H42" s="56"/>
      <c r="I42" s="57">
        <v>713.76250000000005</v>
      </c>
      <c r="J42" s="57">
        <v>33291</v>
      </c>
      <c r="K42" s="57">
        <v>2602</v>
      </c>
      <c r="L42" s="56">
        <v>3118</v>
      </c>
      <c r="M42" s="56"/>
      <c r="N42" s="57">
        <v>1331</v>
      </c>
      <c r="O42" s="57">
        <v>12288</v>
      </c>
      <c r="P42" s="57">
        <v>0</v>
      </c>
      <c r="Q42" s="56">
        <v>288</v>
      </c>
      <c r="R42" s="57">
        <f t="shared" si="0"/>
        <v>21003</v>
      </c>
      <c r="S42" s="56"/>
      <c r="T42" s="57">
        <v>10154</v>
      </c>
      <c r="U42" s="58">
        <v>814</v>
      </c>
      <c r="V42" s="58">
        <v>10968</v>
      </c>
    </row>
    <row r="43" spans="1:22">
      <c r="A43" s="54">
        <v>90461</v>
      </c>
      <c r="B43" s="55" t="s">
        <v>1427</v>
      </c>
      <c r="C43" s="106">
        <v>1.7200000000000001E-5</v>
      </c>
      <c r="D43" s="106">
        <v>1.7200000000000001E-5</v>
      </c>
      <c r="E43" s="56">
        <v>6466.34</v>
      </c>
      <c r="F43" s="56">
        <v>7719</v>
      </c>
      <c r="G43" s="56">
        <v>36504</v>
      </c>
      <c r="H43" s="56"/>
      <c r="I43" s="57">
        <v>685.85</v>
      </c>
      <c r="J43" s="57">
        <v>31989</v>
      </c>
      <c r="K43" s="57">
        <v>2500</v>
      </c>
      <c r="L43" s="56">
        <v>4750</v>
      </c>
      <c r="M43" s="56"/>
      <c r="N43" s="57">
        <v>1279</v>
      </c>
      <c r="O43" s="57">
        <v>11807</v>
      </c>
      <c r="P43" s="57">
        <v>0</v>
      </c>
      <c r="Q43" s="56">
        <v>2426</v>
      </c>
      <c r="R43" s="57">
        <f t="shared" si="0"/>
        <v>20182</v>
      </c>
      <c r="S43" s="56"/>
      <c r="T43" s="57">
        <v>9757</v>
      </c>
      <c r="U43" s="58">
        <v>583</v>
      </c>
      <c r="V43" s="58">
        <v>10340</v>
      </c>
    </row>
    <row r="44" spans="1:22">
      <c r="A44" s="54">
        <v>90501</v>
      </c>
      <c r="B44" s="55" t="s">
        <v>1428</v>
      </c>
      <c r="C44" s="106">
        <v>1.4001E-3</v>
      </c>
      <c r="D44" s="106">
        <v>1.4352E-3</v>
      </c>
      <c r="E44" s="56">
        <v>603983.42999999993</v>
      </c>
      <c r="F44" s="56">
        <v>644109</v>
      </c>
      <c r="G44" s="56">
        <v>2971481</v>
      </c>
      <c r="H44" s="56"/>
      <c r="I44" s="57">
        <v>55829</v>
      </c>
      <c r="J44" s="57">
        <v>2603965</v>
      </c>
      <c r="K44" s="57">
        <v>203520</v>
      </c>
      <c r="L44" s="56">
        <v>46994</v>
      </c>
      <c r="M44" s="56"/>
      <c r="N44" s="57">
        <v>104124</v>
      </c>
      <c r="O44" s="57">
        <v>961110</v>
      </c>
      <c r="P44" s="57">
        <v>0</v>
      </c>
      <c r="Q44" s="56">
        <v>0</v>
      </c>
      <c r="R44" s="57">
        <f t="shared" si="0"/>
        <v>1642855</v>
      </c>
      <c r="S44" s="56"/>
      <c r="T44" s="57">
        <v>794233</v>
      </c>
      <c r="U44" s="58">
        <v>20332</v>
      </c>
      <c r="V44" s="58">
        <v>814566</v>
      </c>
    </row>
    <row r="45" spans="1:22">
      <c r="A45" s="54">
        <v>90507</v>
      </c>
      <c r="B45" s="55" t="s">
        <v>62</v>
      </c>
      <c r="C45" s="106">
        <v>7.3000000000000004E-6</v>
      </c>
      <c r="D45" s="106">
        <v>7.7000000000000008E-6</v>
      </c>
      <c r="E45" s="56">
        <v>9534.18</v>
      </c>
      <c r="F45" s="56">
        <v>3456</v>
      </c>
      <c r="G45" s="56">
        <v>15493</v>
      </c>
      <c r="H45" s="56"/>
      <c r="I45" s="57">
        <v>291</v>
      </c>
      <c r="J45" s="57">
        <v>13577</v>
      </c>
      <c r="K45" s="57">
        <v>1061</v>
      </c>
      <c r="L45" s="56">
        <v>8871</v>
      </c>
      <c r="M45" s="56"/>
      <c r="N45" s="57">
        <v>543</v>
      </c>
      <c r="O45" s="57">
        <v>5011</v>
      </c>
      <c r="P45" s="57">
        <v>0</v>
      </c>
      <c r="Q45" s="56">
        <v>0</v>
      </c>
      <c r="R45" s="57">
        <f t="shared" si="0"/>
        <v>8566</v>
      </c>
      <c r="S45" s="56"/>
      <c r="T45" s="57">
        <v>4141</v>
      </c>
      <c r="U45" s="58">
        <v>2759</v>
      </c>
      <c r="V45" s="58">
        <v>6900</v>
      </c>
    </row>
    <row r="46" spans="1:22">
      <c r="A46" s="54">
        <v>90511</v>
      </c>
      <c r="B46" s="55" t="s">
        <v>1429</v>
      </c>
      <c r="C46" s="106">
        <v>9.5500000000000004E-5</v>
      </c>
      <c r="D46" s="106">
        <v>9.0699999999999996E-5</v>
      </c>
      <c r="E46" s="56">
        <v>45634.76</v>
      </c>
      <c r="F46" s="56">
        <v>40706</v>
      </c>
      <c r="G46" s="56">
        <v>202683</v>
      </c>
      <c r="H46" s="56"/>
      <c r="I46" s="57">
        <v>3808.0625</v>
      </c>
      <c r="J46" s="57">
        <v>177615</v>
      </c>
      <c r="K46" s="57">
        <v>13882</v>
      </c>
      <c r="L46" s="56">
        <v>15579</v>
      </c>
      <c r="M46" s="56"/>
      <c r="N46" s="57">
        <v>7102</v>
      </c>
      <c r="O46" s="57">
        <v>65557</v>
      </c>
      <c r="P46" s="57">
        <v>0</v>
      </c>
      <c r="Q46" s="56">
        <v>0</v>
      </c>
      <c r="R46" s="57">
        <f t="shared" si="0"/>
        <v>112058</v>
      </c>
      <c r="S46" s="56"/>
      <c r="T46" s="57">
        <v>54174</v>
      </c>
      <c r="U46" s="58">
        <v>5418</v>
      </c>
      <c r="V46" s="58">
        <v>59592</v>
      </c>
    </row>
    <row r="47" spans="1:22">
      <c r="A47" s="54">
        <v>90521</v>
      </c>
      <c r="B47" s="55" t="s">
        <v>1430</v>
      </c>
      <c r="C47" s="106">
        <v>1.395E-4</v>
      </c>
      <c r="D47" s="106">
        <v>1.451E-4</v>
      </c>
      <c r="E47" s="56">
        <v>47723.41</v>
      </c>
      <c r="F47" s="56">
        <v>65120</v>
      </c>
      <c r="G47" s="56">
        <v>296066</v>
      </c>
      <c r="H47" s="56"/>
      <c r="I47" s="57">
        <v>5562.5625</v>
      </c>
      <c r="J47" s="57">
        <v>259448</v>
      </c>
      <c r="K47" s="57">
        <v>20278</v>
      </c>
      <c r="L47" s="56">
        <v>0</v>
      </c>
      <c r="M47" s="56"/>
      <c r="N47" s="57">
        <v>10374</v>
      </c>
      <c r="O47" s="57">
        <v>95761</v>
      </c>
      <c r="P47" s="57">
        <v>0</v>
      </c>
      <c r="Q47" s="56">
        <v>17468</v>
      </c>
      <c r="R47" s="57">
        <f t="shared" si="0"/>
        <v>163687</v>
      </c>
      <c r="S47" s="56"/>
      <c r="T47" s="57">
        <v>79134</v>
      </c>
      <c r="U47" s="58">
        <v>-5509</v>
      </c>
      <c r="V47" s="58">
        <v>73625</v>
      </c>
    </row>
    <row r="48" spans="1:22">
      <c r="A48" s="54">
        <v>90601</v>
      </c>
      <c r="B48" s="55" t="s">
        <v>1431</v>
      </c>
      <c r="C48" s="106">
        <v>1.1785999999999999E-3</v>
      </c>
      <c r="D48" s="106">
        <v>1.2051E-3</v>
      </c>
      <c r="E48" s="56">
        <v>469146.06</v>
      </c>
      <c r="F48" s="56">
        <v>540842</v>
      </c>
      <c r="G48" s="56">
        <v>2501384</v>
      </c>
      <c r="H48" s="56"/>
      <c r="I48" s="57">
        <v>46997</v>
      </c>
      <c r="J48" s="57">
        <v>2192010</v>
      </c>
      <c r="K48" s="57">
        <v>171322</v>
      </c>
      <c r="L48" s="56">
        <v>32298</v>
      </c>
      <c r="M48" s="56"/>
      <c r="N48" s="57">
        <v>87651</v>
      </c>
      <c r="O48" s="57">
        <v>809059</v>
      </c>
      <c r="P48" s="57">
        <v>0</v>
      </c>
      <c r="Q48" s="56">
        <v>26702</v>
      </c>
      <c r="R48" s="57">
        <f t="shared" si="0"/>
        <v>1382951</v>
      </c>
      <c r="S48" s="56"/>
      <c r="T48" s="57">
        <v>668583</v>
      </c>
      <c r="U48" s="58">
        <v>7604</v>
      </c>
      <c r="V48" s="58">
        <v>676188</v>
      </c>
    </row>
    <row r="49" spans="1:22">
      <c r="A49" s="54">
        <v>90602</v>
      </c>
      <c r="B49" s="55" t="s">
        <v>923</v>
      </c>
      <c r="C49" s="106">
        <v>6.3299999999999994E-5</v>
      </c>
      <c r="D49" s="106">
        <v>0</v>
      </c>
      <c r="E49" s="56">
        <v>31566.720000000001</v>
      </c>
      <c r="F49" s="56">
        <v>0</v>
      </c>
      <c r="G49" s="56">
        <v>134344</v>
      </c>
      <c r="H49" s="56"/>
      <c r="I49" s="57">
        <v>2524</v>
      </c>
      <c r="J49" s="57">
        <v>117728</v>
      </c>
      <c r="K49" s="57">
        <v>9201</v>
      </c>
      <c r="L49" s="56">
        <v>46975</v>
      </c>
      <c r="M49" s="56"/>
      <c r="N49" s="57">
        <v>4708</v>
      </c>
      <c r="O49" s="57">
        <v>43453</v>
      </c>
      <c r="P49" s="57">
        <v>0</v>
      </c>
      <c r="Q49" s="56">
        <v>0</v>
      </c>
      <c r="R49" s="57">
        <f t="shared" si="0"/>
        <v>74275</v>
      </c>
      <c r="S49" s="56"/>
      <c r="T49" s="57">
        <v>35908</v>
      </c>
      <c r="U49" s="58">
        <v>12962</v>
      </c>
      <c r="V49" s="58">
        <v>48870</v>
      </c>
    </row>
    <row r="50" spans="1:22">
      <c r="A50" s="54">
        <v>90605</v>
      </c>
      <c r="B50" s="55" t="s">
        <v>1432</v>
      </c>
      <c r="C50" s="106">
        <v>3.8399999999999998E-5</v>
      </c>
      <c r="D50" s="106">
        <v>3.6399999999999997E-5</v>
      </c>
      <c r="E50" s="56">
        <v>22332.880000000001</v>
      </c>
      <c r="F50" s="56">
        <v>16336</v>
      </c>
      <c r="G50" s="56">
        <v>81498</v>
      </c>
      <c r="H50" s="56"/>
      <c r="I50" s="57">
        <v>1531</v>
      </c>
      <c r="J50" s="57">
        <v>71418</v>
      </c>
      <c r="K50" s="57">
        <v>5582</v>
      </c>
      <c r="L50" s="56">
        <v>11852</v>
      </c>
      <c r="M50" s="56"/>
      <c r="N50" s="57">
        <v>2856</v>
      </c>
      <c r="O50" s="57">
        <v>26360</v>
      </c>
      <c r="P50" s="57">
        <v>0</v>
      </c>
      <c r="Q50" s="56">
        <v>0</v>
      </c>
      <c r="R50" s="57">
        <f t="shared" si="0"/>
        <v>45058</v>
      </c>
      <c r="S50" s="56"/>
      <c r="T50" s="57">
        <v>21783</v>
      </c>
      <c r="U50" s="58">
        <v>3784</v>
      </c>
      <c r="V50" s="58">
        <v>25567</v>
      </c>
    </row>
    <row r="51" spans="1:22">
      <c r="A51" s="54">
        <v>90611</v>
      </c>
      <c r="B51" s="55" t="s">
        <v>1433</v>
      </c>
      <c r="C51" s="106">
        <v>1.5669999999999999E-4</v>
      </c>
      <c r="D51" s="106">
        <v>1.663E-4</v>
      </c>
      <c r="E51" s="56">
        <v>56254.44000000001</v>
      </c>
      <c r="F51" s="56">
        <v>74634</v>
      </c>
      <c r="G51" s="56">
        <v>332570</v>
      </c>
      <c r="H51" s="56"/>
      <c r="I51" s="57">
        <v>6248</v>
      </c>
      <c r="J51" s="57">
        <v>291437</v>
      </c>
      <c r="K51" s="57">
        <v>22778</v>
      </c>
      <c r="L51" s="56">
        <v>5072.51</v>
      </c>
      <c r="M51" s="56"/>
      <c r="N51" s="57">
        <v>11654</v>
      </c>
      <c r="O51" s="57">
        <v>107568</v>
      </c>
      <c r="P51" s="57">
        <v>0</v>
      </c>
      <c r="Q51" s="56">
        <v>13074</v>
      </c>
      <c r="R51" s="57">
        <f t="shared" si="0"/>
        <v>183869</v>
      </c>
      <c r="S51" s="56"/>
      <c r="T51" s="57">
        <v>88891</v>
      </c>
      <c r="U51" s="58">
        <v>-969</v>
      </c>
      <c r="V51" s="58">
        <v>87922</v>
      </c>
    </row>
    <row r="52" spans="1:22">
      <c r="A52" s="54">
        <v>90617</v>
      </c>
      <c r="B52" s="55" t="s">
        <v>1434</v>
      </c>
      <c r="C52" s="106">
        <v>2.6800000000000001E-5</v>
      </c>
      <c r="D52" s="106">
        <v>2.6599999999999999E-5</v>
      </c>
      <c r="E52" s="56">
        <v>14103.199999999999</v>
      </c>
      <c r="F52" s="56">
        <v>11938</v>
      </c>
      <c r="G52" s="56">
        <v>56879</v>
      </c>
      <c r="H52" s="56"/>
      <c r="I52" s="57">
        <v>1069</v>
      </c>
      <c r="J52" s="57">
        <v>49844</v>
      </c>
      <c r="K52" s="57">
        <v>3896</v>
      </c>
      <c r="L52" s="56">
        <v>8505</v>
      </c>
      <c r="M52" s="56"/>
      <c r="N52" s="57">
        <v>1993</v>
      </c>
      <c r="O52" s="57">
        <v>18397</v>
      </c>
      <c r="P52" s="57">
        <v>0</v>
      </c>
      <c r="Q52" s="56">
        <v>0</v>
      </c>
      <c r="R52" s="57">
        <f t="shared" si="0"/>
        <v>31447</v>
      </c>
      <c r="S52" s="56"/>
      <c r="T52" s="57">
        <v>15203</v>
      </c>
      <c r="U52" s="58">
        <v>3445</v>
      </c>
      <c r="V52" s="58">
        <v>18647</v>
      </c>
    </row>
    <row r="53" spans="1:22">
      <c r="A53" s="54">
        <v>90621</v>
      </c>
      <c r="B53" s="55" t="s">
        <v>1435</v>
      </c>
      <c r="C53" s="106">
        <v>8.2100000000000003E-5</v>
      </c>
      <c r="D53" s="106">
        <v>7.9400000000000006E-5</v>
      </c>
      <c r="E53" s="56">
        <v>28251.890000000003</v>
      </c>
      <c r="F53" s="56">
        <v>35634</v>
      </c>
      <c r="G53" s="56">
        <v>174244</v>
      </c>
      <c r="H53" s="56"/>
      <c r="I53" s="57">
        <v>3274</v>
      </c>
      <c r="J53" s="57">
        <v>152693</v>
      </c>
      <c r="K53" s="57">
        <v>11934</v>
      </c>
      <c r="L53" s="56">
        <v>1182</v>
      </c>
      <c r="M53" s="56"/>
      <c r="N53" s="57">
        <v>6106</v>
      </c>
      <c r="O53" s="57">
        <v>56358</v>
      </c>
      <c r="P53" s="57">
        <v>0</v>
      </c>
      <c r="Q53" s="56">
        <v>7913</v>
      </c>
      <c r="R53" s="57">
        <f t="shared" si="0"/>
        <v>96335</v>
      </c>
      <c r="S53" s="56"/>
      <c r="T53" s="57">
        <v>46573</v>
      </c>
      <c r="U53" s="58">
        <v>-1933</v>
      </c>
      <c r="V53" s="58">
        <v>44639</v>
      </c>
    </row>
    <row r="54" spans="1:22">
      <c r="A54" s="54">
        <v>90631</v>
      </c>
      <c r="B54" s="55" t="s">
        <v>1436</v>
      </c>
      <c r="C54" s="106">
        <v>3.8000000000000002E-4</v>
      </c>
      <c r="D54" s="106">
        <v>3.4539999999999999E-4</v>
      </c>
      <c r="E54" s="56">
        <v>153531.72</v>
      </c>
      <c r="F54" s="56">
        <v>155013</v>
      </c>
      <c r="G54" s="56">
        <v>806487.3</v>
      </c>
      <c r="H54" s="56"/>
      <c r="I54" s="57">
        <v>15152.5</v>
      </c>
      <c r="J54" s="57">
        <v>706740</v>
      </c>
      <c r="K54" s="57">
        <v>55237.18</v>
      </c>
      <c r="L54" s="56">
        <v>16567</v>
      </c>
      <c r="M54" s="56"/>
      <c r="N54" s="57">
        <v>28260.22</v>
      </c>
      <c r="O54" s="57">
        <v>260854.04</v>
      </c>
      <c r="P54" s="57">
        <v>0</v>
      </c>
      <c r="Q54" s="56">
        <v>14381</v>
      </c>
      <c r="R54" s="57">
        <f t="shared" si="0"/>
        <v>445885.95999999996</v>
      </c>
      <c r="S54" s="56"/>
      <c r="T54" s="57">
        <v>215562.22</v>
      </c>
      <c r="U54" s="58">
        <v>-1856</v>
      </c>
      <c r="V54" s="58">
        <v>213706</v>
      </c>
    </row>
    <row r="55" spans="1:22">
      <c r="A55" s="54">
        <v>90641</v>
      </c>
      <c r="B55" s="55" t="s">
        <v>1437</v>
      </c>
      <c r="C55" s="106">
        <v>1.4399999999999999E-5</v>
      </c>
      <c r="D55" s="106">
        <v>1.5400000000000002E-5</v>
      </c>
      <c r="E55" s="56">
        <v>5940.04</v>
      </c>
      <c r="F55" s="56">
        <v>6911</v>
      </c>
      <c r="G55" s="56">
        <v>30562</v>
      </c>
      <c r="H55" s="56"/>
      <c r="I55" s="57">
        <v>574</v>
      </c>
      <c r="J55" s="57">
        <v>26782</v>
      </c>
      <c r="K55" s="57">
        <v>2093</v>
      </c>
      <c r="L55" s="56">
        <v>340</v>
      </c>
      <c r="M55" s="56"/>
      <c r="N55" s="57">
        <v>1071</v>
      </c>
      <c r="O55" s="57">
        <v>9885</v>
      </c>
      <c r="P55" s="57">
        <v>0</v>
      </c>
      <c r="Q55" s="56">
        <v>782</v>
      </c>
      <c r="R55" s="57">
        <f t="shared" si="0"/>
        <v>16897</v>
      </c>
      <c r="S55" s="56"/>
      <c r="T55" s="57">
        <v>8169</v>
      </c>
      <c r="U55" s="58">
        <v>-144</v>
      </c>
      <c r="V55" s="58">
        <v>8025</v>
      </c>
    </row>
    <row r="56" spans="1:22">
      <c r="A56" s="54">
        <v>90651</v>
      </c>
      <c r="B56" s="55" t="s">
        <v>1438</v>
      </c>
      <c r="C56" s="106">
        <v>1.108E-4</v>
      </c>
      <c r="D56" s="106">
        <v>1.042E-4</v>
      </c>
      <c r="E56" s="56">
        <v>96248</v>
      </c>
      <c r="F56" s="56">
        <v>46764</v>
      </c>
      <c r="G56" s="56">
        <v>235155</v>
      </c>
      <c r="H56" s="56"/>
      <c r="I56" s="57">
        <v>4418</v>
      </c>
      <c r="J56" s="57">
        <v>206070</v>
      </c>
      <c r="K56" s="57">
        <v>16106</v>
      </c>
      <c r="L56" s="56">
        <v>73167</v>
      </c>
      <c r="M56" s="56"/>
      <c r="N56" s="57">
        <v>8240</v>
      </c>
      <c r="O56" s="57">
        <v>76060</v>
      </c>
      <c r="P56" s="57">
        <v>0</v>
      </c>
      <c r="Q56" s="56">
        <v>9364.94</v>
      </c>
      <c r="R56" s="57">
        <f t="shared" si="0"/>
        <v>130010</v>
      </c>
      <c r="S56" s="56"/>
      <c r="T56" s="57">
        <v>62853</v>
      </c>
      <c r="U56" s="58">
        <v>17052</v>
      </c>
      <c r="V56" s="58">
        <v>79906</v>
      </c>
    </row>
    <row r="57" spans="1:22">
      <c r="A57" s="54">
        <v>90701</v>
      </c>
      <c r="B57" s="55" t="s">
        <v>2286</v>
      </c>
      <c r="C57" s="106">
        <v>2.3587E-3</v>
      </c>
      <c r="D57" s="106">
        <v>2.3326000000000002E-3</v>
      </c>
      <c r="E57" s="56">
        <v>908617.53</v>
      </c>
      <c r="F57" s="56">
        <v>1046857</v>
      </c>
      <c r="G57" s="56">
        <v>5005952</v>
      </c>
      <c r="H57" s="56"/>
      <c r="I57" s="57">
        <v>94053</v>
      </c>
      <c r="J57" s="57">
        <v>4386809</v>
      </c>
      <c r="K57" s="57">
        <v>342863</v>
      </c>
      <c r="L57" s="56">
        <v>35812.04</v>
      </c>
      <c r="M57" s="56"/>
      <c r="N57" s="57">
        <v>175414</v>
      </c>
      <c r="O57" s="57">
        <v>1619148</v>
      </c>
      <c r="P57" s="57">
        <v>0</v>
      </c>
      <c r="Q57" s="56">
        <v>44222</v>
      </c>
      <c r="R57" s="57">
        <f t="shared" si="0"/>
        <v>2767661</v>
      </c>
      <c r="S57" s="56"/>
      <c r="T57" s="57">
        <v>1338017</v>
      </c>
      <c r="U57" s="58">
        <v>5621</v>
      </c>
      <c r="V57" s="58">
        <v>1343639</v>
      </c>
    </row>
    <row r="58" spans="1:22">
      <c r="A58" s="54">
        <v>90704</v>
      </c>
      <c r="B58" s="55" t="s">
        <v>1440</v>
      </c>
      <c r="C58" s="106">
        <v>3.4900000000000001E-5</v>
      </c>
      <c r="D58" s="106">
        <v>3.3300000000000003E-5</v>
      </c>
      <c r="E58" s="56">
        <v>22787.940000000006</v>
      </c>
      <c r="F58" s="56">
        <v>14945</v>
      </c>
      <c r="G58" s="56">
        <v>74069</v>
      </c>
      <c r="H58" s="56"/>
      <c r="I58" s="57">
        <v>1392</v>
      </c>
      <c r="J58" s="57">
        <v>64908</v>
      </c>
      <c r="K58" s="57">
        <v>5073</v>
      </c>
      <c r="L58" s="56">
        <v>13042</v>
      </c>
      <c r="M58" s="56"/>
      <c r="N58" s="57">
        <v>2595</v>
      </c>
      <c r="O58" s="57">
        <v>23957</v>
      </c>
      <c r="P58" s="57">
        <v>0</v>
      </c>
      <c r="Q58" s="56">
        <v>0</v>
      </c>
      <c r="R58" s="57">
        <f t="shared" si="0"/>
        <v>40951</v>
      </c>
      <c r="S58" s="56"/>
      <c r="T58" s="57">
        <v>19798</v>
      </c>
      <c r="U58" s="58">
        <v>4197</v>
      </c>
      <c r="V58" s="58">
        <v>23995</v>
      </c>
    </row>
    <row r="59" spans="1:22">
      <c r="A59" s="54">
        <v>90705</v>
      </c>
      <c r="B59" s="55" t="s">
        <v>1441</v>
      </c>
      <c r="C59" s="106">
        <v>3.3899999999999997E-5</v>
      </c>
      <c r="D59" s="106">
        <v>3.0599999999999998E-5</v>
      </c>
      <c r="E59" s="56">
        <v>17670.240000000002</v>
      </c>
      <c r="F59" s="56">
        <v>13733</v>
      </c>
      <c r="G59" s="56">
        <v>71947</v>
      </c>
      <c r="H59" s="56"/>
      <c r="I59" s="57">
        <v>1352</v>
      </c>
      <c r="J59" s="57">
        <v>63049</v>
      </c>
      <c r="K59" s="57">
        <v>4928</v>
      </c>
      <c r="L59" s="56">
        <v>9785</v>
      </c>
      <c r="M59" s="56"/>
      <c r="N59" s="57">
        <v>2521</v>
      </c>
      <c r="O59" s="57">
        <v>23271</v>
      </c>
      <c r="P59" s="57">
        <v>0</v>
      </c>
      <c r="Q59" s="56">
        <v>0</v>
      </c>
      <c r="R59" s="57">
        <f t="shared" si="0"/>
        <v>39778</v>
      </c>
      <c r="S59" s="56"/>
      <c r="T59" s="57">
        <v>19230</v>
      </c>
      <c r="U59" s="58">
        <v>3239</v>
      </c>
      <c r="V59" s="58">
        <v>22470</v>
      </c>
    </row>
    <row r="60" spans="1:22">
      <c r="A60" s="54">
        <v>90709</v>
      </c>
      <c r="B60" s="55" t="s">
        <v>1442</v>
      </c>
      <c r="C60" s="106">
        <v>1.4569999999999999E-4</v>
      </c>
      <c r="D60" s="106">
        <v>2.1790000000000001E-4</v>
      </c>
      <c r="E60" s="56">
        <v>59289.13</v>
      </c>
      <c r="F60" s="56">
        <v>97792</v>
      </c>
      <c r="G60" s="56">
        <v>309224</v>
      </c>
      <c r="H60" s="56"/>
      <c r="I60" s="57">
        <v>5810</v>
      </c>
      <c r="J60" s="57">
        <v>270979</v>
      </c>
      <c r="K60" s="57">
        <v>21179</v>
      </c>
      <c r="L60" s="56">
        <v>10221</v>
      </c>
      <c r="M60" s="56"/>
      <c r="N60" s="57">
        <v>10836</v>
      </c>
      <c r="O60" s="57">
        <v>100017</v>
      </c>
      <c r="P60" s="57">
        <v>0</v>
      </c>
      <c r="Q60" s="56">
        <v>44565</v>
      </c>
      <c r="R60" s="57">
        <f t="shared" si="0"/>
        <v>170962</v>
      </c>
      <c r="S60" s="56"/>
      <c r="T60" s="57">
        <v>82651</v>
      </c>
      <c r="U60" s="58">
        <v>-6883</v>
      </c>
      <c r="V60" s="58">
        <v>75769</v>
      </c>
    </row>
    <row r="61" spans="1:22">
      <c r="A61" s="54">
        <v>90711</v>
      </c>
      <c r="B61" s="55" t="s">
        <v>1443</v>
      </c>
      <c r="C61" s="106">
        <v>1.7302000000000001E-3</v>
      </c>
      <c r="D61" s="106">
        <v>1.8802000000000001E-3</v>
      </c>
      <c r="E61" s="56">
        <v>667293.38</v>
      </c>
      <c r="F61" s="56">
        <v>843822</v>
      </c>
      <c r="G61" s="56">
        <v>3672064</v>
      </c>
      <c r="H61" s="56"/>
      <c r="I61" s="57">
        <v>68992</v>
      </c>
      <c r="J61" s="57">
        <v>3217899</v>
      </c>
      <c r="K61" s="57">
        <v>251504</v>
      </c>
      <c r="L61" s="56">
        <v>0</v>
      </c>
      <c r="M61" s="56"/>
      <c r="N61" s="57">
        <v>128673</v>
      </c>
      <c r="O61" s="57">
        <v>1187710</v>
      </c>
      <c r="P61" s="57">
        <v>0</v>
      </c>
      <c r="Q61" s="56">
        <v>193488</v>
      </c>
      <c r="R61" s="57">
        <f t="shared" si="0"/>
        <v>2030189</v>
      </c>
      <c r="S61" s="56"/>
      <c r="T61" s="57">
        <v>981489</v>
      </c>
      <c r="U61" s="58">
        <v>-61566</v>
      </c>
      <c r="V61" s="58">
        <v>919922</v>
      </c>
    </row>
    <row r="62" spans="1:22">
      <c r="A62" s="54">
        <v>90721</v>
      </c>
      <c r="B62" s="55" t="s">
        <v>1444</v>
      </c>
      <c r="C62" s="106">
        <v>3.7299999999999999E-5</v>
      </c>
      <c r="D62" s="106">
        <v>3.82E-5</v>
      </c>
      <c r="E62" s="56">
        <v>14531.46</v>
      </c>
      <c r="F62" s="56">
        <v>17144</v>
      </c>
      <c r="G62" s="56">
        <v>79163</v>
      </c>
      <c r="H62" s="56"/>
      <c r="I62" s="57">
        <v>1487</v>
      </c>
      <c r="J62" s="57">
        <v>69372</v>
      </c>
      <c r="K62" s="57">
        <v>5422</v>
      </c>
      <c r="L62" s="56">
        <v>5347</v>
      </c>
      <c r="M62" s="56"/>
      <c r="N62" s="57">
        <v>2774</v>
      </c>
      <c r="O62" s="57">
        <v>25605</v>
      </c>
      <c r="P62" s="57">
        <v>0</v>
      </c>
      <c r="Q62" s="56">
        <v>1129</v>
      </c>
      <c r="R62" s="57">
        <f t="shared" si="0"/>
        <v>43767</v>
      </c>
      <c r="S62" s="56"/>
      <c r="T62" s="57">
        <v>21159</v>
      </c>
      <c r="U62" s="58">
        <v>2098</v>
      </c>
      <c r="V62" s="58">
        <v>23258</v>
      </c>
    </row>
    <row r="63" spans="1:22">
      <c r="A63" s="54">
        <v>90731</v>
      </c>
      <c r="B63" s="55" t="s">
        <v>1445</v>
      </c>
      <c r="C63" s="106">
        <v>1.917E-4</v>
      </c>
      <c r="D63" s="106">
        <v>1.9459999999999999E-4</v>
      </c>
      <c r="E63" s="56">
        <v>77065.560000000012</v>
      </c>
      <c r="F63" s="56">
        <v>87335</v>
      </c>
      <c r="G63" s="56">
        <v>406852</v>
      </c>
      <c r="H63" s="56"/>
      <c r="I63" s="57">
        <v>7644</v>
      </c>
      <c r="J63" s="57">
        <v>356532</v>
      </c>
      <c r="K63" s="57">
        <v>27866</v>
      </c>
      <c r="L63" s="56">
        <v>0</v>
      </c>
      <c r="M63" s="56"/>
      <c r="N63" s="57">
        <v>14257</v>
      </c>
      <c r="O63" s="57">
        <v>131594</v>
      </c>
      <c r="P63" s="57">
        <v>0</v>
      </c>
      <c r="Q63" s="56">
        <v>10037</v>
      </c>
      <c r="R63" s="57">
        <f t="shared" si="0"/>
        <v>224938</v>
      </c>
      <c r="S63" s="56"/>
      <c r="T63" s="57">
        <v>108745</v>
      </c>
      <c r="U63" s="58">
        <v>-3998</v>
      </c>
      <c r="V63" s="58">
        <v>104747</v>
      </c>
    </row>
    <row r="64" spans="1:22">
      <c r="A64" s="54">
        <v>90741</v>
      </c>
      <c r="B64" s="55" t="s">
        <v>1446</v>
      </c>
      <c r="C64" s="106">
        <v>1.2099999999999999E-5</v>
      </c>
      <c r="D64" s="106">
        <v>1.2799999999999999E-5</v>
      </c>
      <c r="E64" s="56">
        <v>6754.4100000000008</v>
      </c>
      <c r="F64" s="56">
        <v>5745</v>
      </c>
      <c r="G64" s="56">
        <v>25680</v>
      </c>
      <c r="H64" s="56"/>
      <c r="I64" s="57">
        <v>482</v>
      </c>
      <c r="J64" s="57">
        <v>22504</v>
      </c>
      <c r="K64" s="57">
        <v>1759</v>
      </c>
      <c r="L64" s="56">
        <v>3208</v>
      </c>
      <c r="M64" s="56"/>
      <c r="N64" s="57">
        <v>900</v>
      </c>
      <c r="O64" s="57">
        <v>8306</v>
      </c>
      <c r="P64" s="57">
        <v>0</v>
      </c>
      <c r="Q64" s="56">
        <v>1496</v>
      </c>
      <c r="R64" s="57">
        <f t="shared" si="0"/>
        <v>14198</v>
      </c>
      <c r="S64" s="56"/>
      <c r="T64" s="57">
        <v>6864</v>
      </c>
      <c r="U64" s="58">
        <v>287</v>
      </c>
      <c r="V64" s="58">
        <v>7151</v>
      </c>
    </row>
    <row r="65" spans="1:22">
      <c r="A65" s="54">
        <v>90751</v>
      </c>
      <c r="B65" s="55" t="s">
        <v>1447</v>
      </c>
      <c r="C65" s="106">
        <v>6.5599999999999995E-5</v>
      </c>
      <c r="D65" s="106">
        <v>6.2000000000000003E-5</v>
      </c>
      <c r="E65" s="56">
        <v>24796.57</v>
      </c>
      <c r="F65" s="56">
        <v>27825</v>
      </c>
      <c r="G65" s="56">
        <v>139225</v>
      </c>
      <c r="H65" s="56"/>
      <c r="I65" s="57">
        <v>2616</v>
      </c>
      <c r="J65" s="57">
        <v>122006</v>
      </c>
      <c r="K65" s="57">
        <v>9536</v>
      </c>
      <c r="L65" s="56">
        <v>8610</v>
      </c>
      <c r="M65" s="56"/>
      <c r="N65" s="57">
        <v>4879</v>
      </c>
      <c r="O65" s="57">
        <v>45032</v>
      </c>
      <c r="P65" s="57">
        <v>0</v>
      </c>
      <c r="Q65" s="56">
        <v>0</v>
      </c>
      <c r="R65" s="57">
        <f t="shared" si="0"/>
        <v>76974</v>
      </c>
      <c r="S65" s="56"/>
      <c r="T65" s="57">
        <v>37213</v>
      </c>
      <c r="U65" s="58">
        <v>3670</v>
      </c>
      <c r="V65" s="58">
        <v>40883</v>
      </c>
    </row>
    <row r="66" spans="1:22">
      <c r="A66" s="54">
        <v>90801</v>
      </c>
      <c r="B66" s="55" t="s">
        <v>1448</v>
      </c>
      <c r="C66" s="106">
        <v>1.1404E-3</v>
      </c>
      <c r="D66" s="106">
        <v>1.0472000000000001E-3</v>
      </c>
      <c r="E66" s="56">
        <v>442982.95</v>
      </c>
      <c r="F66" s="56">
        <v>469977</v>
      </c>
      <c r="G66" s="56">
        <v>2420311</v>
      </c>
      <c r="H66" s="56"/>
      <c r="I66" s="57">
        <v>45473.45</v>
      </c>
      <c r="J66" s="57">
        <v>2120964</v>
      </c>
      <c r="K66" s="57">
        <v>165770</v>
      </c>
      <c r="L66" s="56">
        <v>156481</v>
      </c>
      <c r="M66" s="56"/>
      <c r="N66" s="57">
        <v>84810</v>
      </c>
      <c r="O66" s="57">
        <v>782837</v>
      </c>
      <c r="P66" s="57">
        <v>0</v>
      </c>
      <c r="Q66" s="56">
        <v>0</v>
      </c>
      <c r="R66" s="57">
        <f t="shared" si="0"/>
        <v>1338127</v>
      </c>
      <c r="S66" s="56"/>
      <c r="T66" s="57">
        <v>646914</v>
      </c>
      <c r="U66" s="58">
        <v>53264</v>
      </c>
      <c r="V66" s="58">
        <v>700177</v>
      </c>
    </row>
    <row r="67" spans="1:22">
      <c r="A67" s="54">
        <v>90804</v>
      </c>
      <c r="B67" s="55" t="s">
        <v>1449</v>
      </c>
      <c r="C67" s="106">
        <v>6.0000000000000002E-6</v>
      </c>
      <c r="D67" s="106">
        <v>4.6999999999999999E-6</v>
      </c>
      <c r="E67" s="56">
        <v>2490.12</v>
      </c>
      <c r="F67" s="56">
        <v>2109</v>
      </c>
      <c r="G67" s="56">
        <v>12734.01</v>
      </c>
      <c r="H67" s="56"/>
      <c r="I67" s="57">
        <v>239.25</v>
      </c>
      <c r="J67" s="57">
        <v>11159</v>
      </c>
      <c r="K67" s="57">
        <v>872</v>
      </c>
      <c r="L67" s="56">
        <v>2282</v>
      </c>
      <c r="M67" s="56"/>
      <c r="N67" s="57">
        <v>446</v>
      </c>
      <c r="O67" s="57">
        <v>4119</v>
      </c>
      <c r="P67" s="57">
        <v>0</v>
      </c>
      <c r="Q67" s="56">
        <v>0</v>
      </c>
      <c r="R67" s="57">
        <f t="shared" si="0"/>
        <v>7040</v>
      </c>
      <c r="S67" s="56"/>
      <c r="T67" s="57">
        <v>3404</v>
      </c>
      <c r="U67" s="58">
        <v>878</v>
      </c>
      <c r="V67" s="58">
        <v>4282</v>
      </c>
    </row>
    <row r="68" spans="1:22">
      <c r="A68" s="54">
        <v>90805</v>
      </c>
      <c r="B68" s="55" t="s">
        <v>1450</v>
      </c>
      <c r="C68" s="106">
        <v>5.5099999999999998E-5</v>
      </c>
      <c r="D68" s="106">
        <v>5.2800000000000003E-5</v>
      </c>
      <c r="E68" s="56">
        <v>34302.799999999996</v>
      </c>
      <c r="F68" s="56">
        <v>23696</v>
      </c>
      <c r="G68" s="56">
        <v>116941</v>
      </c>
      <c r="H68" s="56"/>
      <c r="I68" s="57">
        <v>2197</v>
      </c>
      <c r="J68" s="57">
        <v>102477</v>
      </c>
      <c r="K68" s="57">
        <v>8009</v>
      </c>
      <c r="L68" s="56">
        <v>22372</v>
      </c>
      <c r="M68" s="56"/>
      <c r="N68" s="57">
        <v>4098</v>
      </c>
      <c r="O68" s="57">
        <v>37824</v>
      </c>
      <c r="P68" s="57">
        <v>0</v>
      </c>
      <c r="Q68" s="56">
        <v>0</v>
      </c>
      <c r="R68" s="57">
        <f t="shared" si="0"/>
        <v>64653</v>
      </c>
      <c r="S68" s="56"/>
      <c r="T68" s="57">
        <v>31257</v>
      </c>
      <c r="U68" s="58">
        <v>7625</v>
      </c>
      <c r="V68" s="58">
        <v>38881</v>
      </c>
    </row>
    <row r="69" spans="1:22">
      <c r="A69" s="54">
        <v>90808</v>
      </c>
      <c r="B69" s="55" t="s">
        <v>1451</v>
      </c>
      <c r="C69" s="106">
        <v>1.109E-4</v>
      </c>
      <c r="D69" s="106">
        <v>1.176E-4</v>
      </c>
      <c r="E69" s="56">
        <v>47437.34</v>
      </c>
      <c r="F69" s="56">
        <v>52778</v>
      </c>
      <c r="G69" s="56">
        <v>235367</v>
      </c>
      <c r="H69" s="56"/>
      <c r="I69" s="57">
        <v>4422</v>
      </c>
      <c r="J69" s="57">
        <v>206256</v>
      </c>
      <c r="K69" s="57">
        <v>16121</v>
      </c>
      <c r="L69" s="56">
        <v>1422</v>
      </c>
      <c r="M69" s="56"/>
      <c r="N69" s="57">
        <v>8248</v>
      </c>
      <c r="O69" s="57">
        <v>76128</v>
      </c>
      <c r="P69" s="57">
        <v>0</v>
      </c>
      <c r="Q69" s="56">
        <v>2972</v>
      </c>
      <c r="R69" s="57">
        <f t="shared" si="0"/>
        <v>130128</v>
      </c>
      <c r="S69" s="56"/>
      <c r="T69" s="57">
        <v>62910</v>
      </c>
      <c r="U69" s="58">
        <v>-460</v>
      </c>
      <c r="V69" s="58">
        <v>62451</v>
      </c>
    </row>
    <row r="70" spans="1:22">
      <c r="A70" s="54">
        <v>90811</v>
      </c>
      <c r="B70" s="55" t="s">
        <v>1452</v>
      </c>
      <c r="C70" s="106">
        <v>4.0000000000000003E-5</v>
      </c>
      <c r="D70" s="106">
        <v>3.6199999999999999E-5</v>
      </c>
      <c r="E70" s="56">
        <v>12069.34</v>
      </c>
      <c r="F70" s="56">
        <v>16246</v>
      </c>
      <c r="G70" s="56">
        <v>84893</v>
      </c>
      <c r="H70" s="56"/>
      <c r="I70" s="57">
        <v>1595</v>
      </c>
      <c r="J70" s="57">
        <v>74394</v>
      </c>
      <c r="K70" s="57">
        <v>5814</v>
      </c>
      <c r="L70" s="56">
        <v>947</v>
      </c>
      <c r="M70" s="56"/>
      <c r="N70" s="57">
        <v>2974.76</v>
      </c>
      <c r="O70" s="57">
        <v>27458</v>
      </c>
      <c r="P70" s="57">
        <v>0</v>
      </c>
      <c r="Q70" s="56">
        <v>2175</v>
      </c>
      <c r="R70" s="57">
        <f t="shared" si="0"/>
        <v>46936</v>
      </c>
      <c r="S70" s="56"/>
      <c r="T70" s="57">
        <v>22691</v>
      </c>
      <c r="U70" s="58">
        <v>-159</v>
      </c>
      <c r="V70" s="58">
        <v>22531</v>
      </c>
    </row>
    <row r="71" spans="1:22">
      <c r="A71" s="54">
        <v>90812</v>
      </c>
      <c r="B71" s="55" t="s">
        <v>1453</v>
      </c>
      <c r="C71" s="106">
        <v>2.13E-4</v>
      </c>
      <c r="D71" s="106">
        <v>2.409E-4</v>
      </c>
      <c r="E71" s="56">
        <v>88699.09</v>
      </c>
      <c r="F71" s="56">
        <v>108114</v>
      </c>
      <c r="G71" s="56">
        <v>452057</v>
      </c>
      <c r="H71" s="56"/>
      <c r="I71" s="57">
        <v>8493.375</v>
      </c>
      <c r="J71" s="57">
        <v>396146</v>
      </c>
      <c r="K71" s="57">
        <v>30962</v>
      </c>
      <c r="L71" s="56">
        <v>8573</v>
      </c>
      <c r="M71" s="56"/>
      <c r="N71" s="57">
        <v>15841</v>
      </c>
      <c r="O71" s="57">
        <v>146216</v>
      </c>
      <c r="P71" s="57">
        <v>0</v>
      </c>
      <c r="Q71" s="56">
        <v>14237</v>
      </c>
      <c r="R71" s="57">
        <f t="shared" ref="R71:R134" si="1">IF(J71&gt;O71,J71-O71,O71-J71)</f>
        <v>249930</v>
      </c>
      <c r="S71" s="56"/>
      <c r="T71" s="57">
        <v>120828</v>
      </c>
      <c r="U71" s="58">
        <v>453</v>
      </c>
      <c r="V71" s="58">
        <v>121281</v>
      </c>
    </row>
    <row r="72" spans="1:22">
      <c r="A72" s="54">
        <v>90813</v>
      </c>
      <c r="B72" s="55" t="s">
        <v>1454</v>
      </c>
      <c r="C72" s="106">
        <v>5.4999999999999999E-6</v>
      </c>
      <c r="D72" s="106">
        <v>5.4E-6</v>
      </c>
      <c r="E72" s="56">
        <v>1840.5500000000002</v>
      </c>
      <c r="F72" s="56">
        <v>2423</v>
      </c>
      <c r="G72" s="56">
        <v>11673</v>
      </c>
      <c r="H72" s="56"/>
      <c r="I72" s="57">
        <v>219.3125</v>
      </c>
      <c r="J72" s="57">
        <v>10229</v>
      </c>
      <c r="K72" s="57">
        <v>799</v>
      </c>
      <c r="L72" s="56">
        <v>0</v>
      </c>
      <c r="M72" s="56"/>
      <c r="N72" s="57">
        <v>409</v>
      </c>
      <c r="O72" s="57">
        <v>3776</v>
      </c>
      <c r="P72" s="57">
        <v>0</v>
      </c>
      <c r="Q72" s="56">
        <v>1089</v>
      </c>
      <c r="R72" s="57">
        <f t="shared" si="1"/>
        <v>6453</v>
      </c>
      <c r="S72" s="56"/>
      <c r="T72" s="57">
        <v>3120</v>
      </c>
      <c r="U72" s="58">
        <v>-397</v>
      </c>
      <c r="V72" s="58">
        <v>2723</v>
      </c>
    </row>
    <row r="73" spans="1:22">
      <c r="A73" s="54">
        <v>90861</v>
      </c>
      <c r="B73" s="55" t="s">
        <v>1455</v>
      </c>
      <c r="C73" s="106">
        <v>4.7999999999999998E-6</v>
      </c>
      <c r="D73" s="106">
        <v>5.3000000000000001E-6</v>
      </c>
      <c r="E73" s="56">
        <v>3509.6600000000008</v>
      </c>
      <c r="F73" s="56">
        <v>2379</v>
      </c>
      <c r="G73" s="56">
        <v>10187</v>
      </c>
      <c r="H73" s="56"/>
      <c r="I73" s="57">
        <v>191</v>
      </c>
      <c r="J73" s="57">
        <v>8927</v>
      </c>
      <c r="K73" s="57">
        <v>698</v>
      </c>
      <c r="L73" s="56">
        <v>3258</v>
      </c>
      <c r="M73" s="56"/>
      <c r="N73" s="57">
        <v>357</v>
      </c>
      <c r="O73" s="57">
        <v>3295</v>
      </c>
      <c r="P73" s="57">
        <v>0</v>
      </c>
      <c r="Q73" s="56">
        <v>2245</v>
      </c>
      <c r="R73" s="57">
        <f t="shared" si="1"/>
        <v>5632</v>
      </c>
      <c r="S73" s="56"/>
      <c r="T73" s="57">
        <v>2723</v>
      </c>
      <c r="U73" s="58">
        <v>-63</v>
      </c>
      <c r="V73" s="58">
        <v>2659</v>
      </c>
    </row>
    <row r="74" spans="1:22">
      <c r="A74" s="54">
        <v>90901</v>
      </c>
      <c r="B74" s="55" t="s">
        <v>1456</v>
      </c>
      <c r="C74" s="106">
        <v>2.1302999999999999E-3</v>
      </c>
      <c r="D74" s="106">
        <v>2.2187000000000001E-3</v>
      </c>
      <c r="E74" s="56">
        <v>886462.80000000016</v>
      </c>
      <c r="F74" s="56">
        <v>995739</v>
      </c>
      <c r="G74" s="56">
        <v>4521210</v>
      </c>
      <c r="H74" s="56"/>
      <c r="I74" s="57">
        <v>84946</v>
      </c>
      <c r="J74" s="57">
        <v>3962021</v>
      </c>
      <c r="K74" s="57">
        <v>309663</v>
      </c>
      <c r="L74" s="56">
        <v>9118.18</v>
      </c>
      <c r="M74" s="56"/>
      <c r="N74" s="57">
        <v>158428</v>
      </c>
      <c r="O74" s="57">
        <v>1462361</v>
      </c>
      <c r="P74" s="57">
        <v>0</v>
      </c>
      <c r="Q74" s="56">
        <v>53019</v>
      </c>
      <c r="R74" s="57">
        <f t="shared" si="1"/>
        <v>2499660</v>
      </c>
      <c r="S74" s="56"/>
      <c r="T74" s="57">
        <v>1208453</v>
      </c>
      <c r="U74" s="58">
        <v>-10432</v>
      </c>
      <c r="V74" s="58">
        <v>1198021</v>
      </c>
    </row>
    <row r="75" spans="1:22">
      <c r="A75" s="54">
        <v>90911</v>
      </c>
      <c r="B75" s="55" t="s">
        <v>1457</v>
      </c>
      <c r="C75" s="106">
        <v>3.6010000000000003E-4</v>
      </c>
      <c r="D75" s="106">
        <v>3.6860000000000001E-4</v>
      </c>
      <c r="E75" s="56">
        <v>130625.3</v>
      </c>
      <c r="F75" s="56">
        <v>165425</v>
      </c>
      <c r="G75" s="56">
        <v>764253</v>
      </c>
      <c r="H75" s="56"/>
      <c r="I75" s="57">
        <v>14359</v>
      </c>
      <c r="J75" s="57">
        <v>669729</v>
      </c>
      <c r="K75" s="57">
        <v>52344</v>
      </c>
      <c r="L75" s="56">
        <v>0</v>
      </c>
      <c r="M75" s="56"/>
      <c r="N75" s="57">
        <v>26780</v>
      </c>
      <c r="O75" s="57">
        <v>247194</v>
      </c>
      <c r="P75" s="57">
        <v>0</v>
      </c>
      <c r="Q75" s="56">
        <v>51509</v>
      </c>
      <c r="R75" s="57">
        <f t="shared" si="1"/>
        <v>422535</v>
      </c>
      <c r="S75" s="56"/>
      <c r="T75" s="57">
        <v>204274</v>
      </c>
      <c r="U75" s="58">
        <v>-20027</v>
      </c>
      <c r="V75" s="58">
        <v>184246</v>
      </c>
    </row>
    <row r="76" spans="1:22">
      <c r="A76" s="54">
        <v>90917</v>
      </c>
      <c r="B76" s="55" t="s">
        <v>1458</v>
      </c>
      <c r="C76" s="106">
        <v>1.42E-5</v>
      </c>
      <c r="D76" s="106">
        <v>1.01E-5</v>
      </c>
      <c r="E76" s="56">
        <v>5168.6200000000008</v>
      </c>
      <c r="F76" s="56">
        <v>4533</v>
      </c>
      <c r="G76" s="56">
        <v>30137</v>
      </c>
      <c r="H76" s="56"/>
      <c r="I76" s="57">
        <v>566.22500000000002</v>
      </c>
      <c r="J76" s="57">
        <v>26410</v>
      </c>
      <c r="K76" s="57">
        <v>2064</v>
      </c>
      <c r="L76" s="56">
        <v>2014</v>
      </c>
      <c r="M76" s="56"/>
      <c r="N76" s="57">
        <v>1056</v>
      </c>
      <c r="O76" s="57">
        <v>9748</v>
      </c>
      <c r="P76" s="57">
        <v>0</v>
      </c>
      <c r="Q76" s="56">
        <v>881.57</v>
      </c>
      <c r="R76" s="57">
        <f t="shared" si="1"/>
        <v>16662</v>
      </c>
      <c r="S76" s="56"/>
      <c r="T76" s="57">
        <v>8055</v>
      </c>
      <c r="U76" s="58">
        <v>110</v>
      </c>
      <c r="V76" s="58">
        <v>8165</v>
      </c>
    </row>
    <row r="77" spans="1:22">
      <c r="A77" s="54">
        <v>90918</v>
      </c>
      <c r="B77" s="55" t="s">
        <v>1459</v>
      </c>
      <c r="C77" s="106">
        <v>1.24E-5</v>
      </c>
      <c r="D77" s="106">
        <v>1.3499999999999999E-5</v>
      </c>
      <c r="E77" s="56">
        <v>4291.66</v>
      </c>
      <c r="F77" s="56">
        <v>6059</v>
      </c>
      <c r="G77" s="56">
        <v>26317</v>
      </c>
      <c r="H77" s="56"/>
      <c r="I77" s="57">
        <v>494.45</v>
      </c>
      <c r="J77" s="57">
        <v>23062</v>
      </c>
      <c r="K77" s="57">
        <v>1802</v>
      </c>
      <c r="L77" s="56">
        <v>0</v>
      </c>
      <c r="M77" s="56"/>
      <c r="N77" s="57">
        <v>922</v>
      </c>
      <c r="O77" s="57">
        <v>8512</v>
      </c>
      <c r="P77" s="57">
        <v>0</v>
      </c>
      <c r="Q77" s="56">
        <v>2531</v>
      </c>
      <c r="R77" s="57">
        <f t="shared" si="1"/>
        <v>14550</v>
      </c>
      <c r="S77" s="56"/>
      <c r="T77" s="57">
        <v>7034</v>
      </c>
      <c r="U77" s="58">
        <v>-865</v>
      </c>
      <c r="V77" s="58">
        <v>6169</v>
      </c>
    </row>
    <row r="78" spans="1:22">
      <c r="A78" s="54">
        <v>90921</v>
      </c>
      <c r="B78" s="55" t="s">
        <v>1460</v>
      </c>
      <c r="C78" s="106">
        <v>8.7399999999999997E-5</v>
      </c>
      <c r="D78" s="106">
        <v>1.149E-4</v>
      </c>
      <c r="E78" s="56">
        <v>45670.59</v>
      </c>
      <c r="F78" s="56">
        <v>51566</v>
      </c>
      <c r="G78" s="56">
        <v>185492</v>
      </c>
      <c r="H78" s="56"/>
      <c r="I78" s="57">
        <v>3485</v>
      </c>
      <c r="J78" s="57">
        <v>162550</v>
      </c>
      <c r="K78" s="57">
        <v>12705</v>
      </c>
      <c r="L78" s="56">
        <v>4488</v>
      </c>
      <c r="M78" s="56"/>
      <c r="N78" s="57">
        <v>6500</v>
      </c>
      <c r="O78" s="57">
        <v>59996</v>
      </c>
      <c r="P78" s="57">
        <v>0</v>
      </c>
      <c r="Q78" s="56">
        <v>10576</v>
      </c>
      <c r="R78" s="57">
        <f t="shared" si="1"/>
        <v>102554</v>
      </c>
      <c r="S78" s="56"/>
      <c r="T78" s="57">
        <v>49579</v>
      </c>
      <c r="U78" s="58">
        <v>-1977</v>
      </c>
      <c r="V78" s="58">
        <v>47602</v>
      </c>
    </row>
    <row r="79" spans="1:22">
      <c r="A79" s="54">
        <v>90931</v>
      </c>
      <c r="B79" s="55" t="s">
        <v>1461</v>
      </c>
      <c r="C79" s="106">
        <v>5.1900000000000001E-5</v>
      </c>
      <c r="D79" s="106">
        <v>6.2700000000000006E-5</v>
      </c>
      <c r="E79" s="56">
        <v>20869.29</v>
      </c>
      <c r="F79" s="56">
        <v>28139</v>
      </c>
      <c r="G79" s="56">
        <v>110149</v>
      </c>
      <c r="H79" s="56"/>
      <c r="I79" s="57">
        <v>2070</v>
      </c>
      <c r="J79" s="57">
        <v>96526</v>
      </c>
      <c r="K79" s="57">
        <v>7544</v>
      </c>
      <c r="L79" s="56">
        <v>6439</v>
      </c>
      <c r="M79" s="56"/>
      <c r="N79" s="57">
        <v>3860</v>
      </c>
      <c r="O79" s="57">
        <v>35627</v>
      </c>
      <c r="P79" s="57">
        <v>0</v>
      </c>
      <c r="Q79" s="56">
        <v>6227</v>
      </c>
      <c r="R79" s="57">
        <f t="shared" si="1"/>
        <v>60899</v>
      </c>
      <c r="S79" s="56"/>
      <c r="T79" s="57">
        <v>29441</v>
      </c>
      <c r="U79" s="58">
        <v>1082</v>
      </c>
      <c r="V79" s="58">
        <v>30524</v>
      </c>
    </row>
    <row r="80" spans="1:22">
      <c r="A80" s="54">
        <v>90941</v>
      </c>
      <c r="B80" s="55" t="s">
        <v>1462</v>
      </c>
      <c r="C80" s="106">
        <v>9.0799999999999998E-5</v>
      </c>
      <c r="D80" s="106">
        <v>8.1199999999999995E-5</v>
      </c>
      <c r="E80" s="56">
        <v>33657.32</v>
      </c>
      <c r="F80" s="56">
        <v>36442</v>
      </c>
      <c r="G80" s="56">
        <v>192708</v>
      </c>
      <c r="H80" s="56"/>
      <c r="I80" s="57">
        <v>3620.65</v>
      </c>
      <c r="J80" s="57">
        <v>168874</v>
      </c>
      <c r="K80" s="57">
        <v>13199</v>
      </c>
      <c r="L80" s="56">
        <v>2275</v>
      </c>
      <c r="M80" s="56"/>
      <c r="N80" s="57">
        <v>6753</v>
      </c>
      <c r="O80" s="57">
        <v>62330</v>
      </c>
      <c r="P80" s="57">
        <v>0</v>
      </c>
      <c r="Q80" s="56">
        <v>7609</v>
      </c>
      <c r="R80" s="57">
        <f t="shared" si="1"/>
        <v>106544</v>
      </c>
      <c r="S80" s="56"/>
      <c r="T80" s="57">
        <v>51508</v>
      </c>
      <c r="U80" s="58">
        <v>-2188</v>
      </c>
      <c r="V80" s="58">
        <v>49320</v>
      </c>
    </row>
    <row r="81" spans="1:22">
      <c r="A81" s="54">
        <v>91001</v>
      </c>
      <c r="B81" s="55" t="s">
        <v>1463</v>
      </c>
      <c r="C81" s="106">
        <v>6.6189999999999999E-3</v>
      </c>
      <c r="D81" s="106">
        <v>6.5719999999999997E-3</v>
      </c>
      <c r="E81" s="56">
        <v>2476167.31</v>
      </c>
      <c r="F81" s="56">
        <v>2949474</v>
      </c>
      <c r="G81" s="56">
        <v>14047735</v>
      </c>
      <c r="H81" s="56"/>
      <c r="I81" s="57">
        <v>263933</v>
      </c>
      <c r="J81" s="57">
        <v>12310294</v>
      </c>
      <c r="K81" s="57">
        <v>962144</v>
      </c>
      <c r="L81" s="56">
        <v>72024</v>
      </c>
      <c r="M81" s="56"/>
      <c r="N81" s="57">
        <v>492248</v>
      </c>
      <c r="O81" s="57">
        <v>4543666</v>
      </c>
      <c r="P81" s="57">
        <v>0</v>
      </c>
      <c r="Q81" s="56">
        <v>203248</v>
      </c>
      <c r="R81" s="57">
        <f t="shared" si="1"/>
        <v>7766628</v>
      </c>
      <c r="S81" s="56"/>
      <c r="T81" s="57">
        <v>3754754</v>
      </c>
      <c r="U81" s="58">
        <v>-19657</v>
      </c>
      <c r="V81" s="58">
        <v>3735096</v>
      </c>
    </row>
    <row r="82" spans="1:22">
      <c r="A82" s="54">
        <v>91002</v>
      </c>
      <c r="B82" s="55" t="s">
        <v>1464</v>
      </c>
      <c r="C82" s="106">
        <v>5.6360000000000004E-4</v>
      </c>
      <c r="D82" s="106">
        <v>5.8929999999999996E-4</v>
      </c>
      <c r="E82" s="56">
        <v>198213.95</v>
      </c>
      <c r="F82" s="56">
        <v>264474</v>
      </c>
      <c r="G82" s="56">
        <v>1196148</v>
      </c>
      <c r="H82" s="56"/>
      <c r="I82" s="57">
        <v>22474</v>
      </c>
      <c r="J82" s="57">
        <v>1048207</v>
      </c>
      <c r="K82" s="57">
        <v>81925</v>
      </c>
      <c r="L82" s="56">
        <v>5287.43</v>
      </c>
      <c r="M82" s="56"/>
      <c r="N82" s="57">
        <v>41914</v>
      </c>
      <c r="O82" s="57">
        <v>386888</v>
      </c>
      <c r="P82" s="57">
        <v>0</v>
      </c>
      <c r="Q82" s="56">
        <v>69296</v>
      </c>
      <c r="R82" s="57">
        <f t="shared" si="1"/>
        <v>661319</v>
      </c>
      <c r="S82" s="56"/>
      <c r="T82" s="57">
        <v>319713</v>
      </c>
      <c r="U82" s="58">
        <v>-18039</v>
      </c>
      <c r="V82" s="58">
        <v>301674</v>
      </c>
    </row>
    <row r="83" spans="1:22">
      <c r="A83" s="54">
        <v>91003</v>
      </c>
      <c r="B83" s="55" t="s">
        <v>1465</v>
      </c>
      <c r="C83" s="106">
        <v>5.6550000000000003E-4</v>
      </c>
      <c r="D83" s="106">
        <v>6.4320000000000002E-4</v>
      </c>
      <c r="E83" s="56">
        <v>237082.57000000004</v>
      </c>
      <c r="F83" s="56">
        <v>288664</v>
      </c>
      <c r="G83" s="56">
        <v>1200180</v>
      </c>
      <c r="H83" s="56"/>
      <c r="I83" s="57">
        <v>22549.3125</v>
      </c>
      <c r="J83" s="57">
        <v>1051741</v>
      </c>
      <c r="K83" s="57">
        <v>82202</v>
      </c>
      <c r="L83" s="56">
        <v>33107</v>
      </c>
      <c r="M83" s="56"/>
      <c r="N83" s="57">
        <v>42056</v>
      </c>
      <c r="O83" s="57">
        <v>388192</v>
      </c>
      <c r="P83" s="57">
        <v>0</v>
      </c>
      <c r="Q83" s="56">
        <v>38498</v>
      </c>
      <c r="R83" s="57">
        <f t="shared" si="1"/>
        <v>663549</v>
      </c>
      <c r="S83" s="56"/>
      <c r="T83" s="57">
        <v>320791</v>
      </c>
      <c r="U83" s="58">
        <v>4893</v>
      </c>
      <c r="V83" s="58">
        <v>325683</v>
      </c>
    </row>
    <row r="84" spans="1:22">
      <c r="A84" s="54">
        <v>91004</v>
      </c>
      <c r="B84" s="55" t="s">
        <v>1466</v>
      </c>
      <c r="C84" s="106">
        <v>1.7499999999999998E-5</v>
      </c>
      <c r="D84" s="106">
        <v>1.8199999999999999E-5</v>
      </c>
      <c r="E84" s="56">
        <v>9479.5499999999993</v>
      </c>
      <c r="F84" s="56">
        <v>8168</v>
      </c>
      <c r="G84" s="56">
        <v>37141</v>
      </c>
      <c r="H84" s="56"/>
      <c r="I84" s="57">
        <v>698</v>
      </c>
      <c r="J84" s="57">
        <v>32547</v>
      </c>
      <c r="K84" s="57">
        <v>2544</v>
      </c>
      <c r="L84" s="56">
        <v>7859</v>
      </c>
      <c r="M84" s="56"/>
      <c r="N84" s="57">
        <v>1301.4575</v>
      </c>
      <c r="O84" s="57">
        <v>12013</v>
      </c>
      <c r="P84" s="57">
        <v>0</v>
      </c>
      <c r="Q84" s="56">
        <v>217</v>
      </c>
      <c r="R84" s="57">
        <f t="shared" si="1"/>
        <v>20534</v>
      </c>
      <c r="S84" s="56"/>
      <c r="T84" s="57">
        <v>9927</v>
      </c>
      <c r="U84" s="58">
        <v>2541</v>
      </c>
      <c r="V84" s="58">
        <v>12468</v>
      </c>
    </row>
    <row r="85" spans="1:22">
      <c r="A85" s="54">
        <v>91006</v>
      </c>
      <c r="B85" s="55" t="s">
        <v>1467</v>
      </c>
      <c r="C85" s="106">
        <v>1.0096E-3</v>
      </c>
      <c r="D85" s="106">
        <v>1.0097000000000001E-3</v>
      </c>
      <c r="E85" s="56">
        <v>387783.48000000004</v>
      </c>
      <c r="F85" s="56">
        <v>453147</v>
      </c>
      <c r="G85" s="56">
        <v>2142709</v>
      </c>
      <c r="H85" s="56"/>
      <c r="I85" s="57">
        <v>40258</v>
      </c>
      <c r="J85" s="57">
        <v>1877696</v>
      </c>
      <c r="K85" s="57">
        <v>146756</v>
      </c>
      <c r="L85" s="56">
        <v>28780</v>
      </c>
      <c r="M85" s="56"/>
      <c r="N85" s="57">
        <v>75083</v>
      </c>
      <c r="O85" s="57">
        <v>693048</v>
      </c>
      <c r="P85" s="57">
        <v>0</v>
      </c>
      <c r="Q85" s="56">
        <v>21822</v>
      </c>
      <c r="R85" s="57">
        <f t="shared" si="1"/>
        <v>1184648</v>
      </c>
      <c r="S85" s="56"/>
      <c r="T85" s="57">
        <v>572715</v>
      </c>
      <c r="U85" s="58">
        <v>4927</v>
      </c>
      <c r="V85" s="58">
        <v>577642</v>
      </c>
    </row>
    <row r="86" spans="1:22">
      <c r="A86" s="54">
        <v>91007</v>
      </c>
      <c r="B86" s="55" t="s">
        <v>1468</v>
      </c>
      <c r="C86" s="106">
        <v>1.2500000000000001E-5</v>
      </c>
      <c r="D86" s="106">
        <v>9.5999999999999996E-6</v>
      </c>
      <c r="E86" s="56">
        <v>10106.58</v>
      </c>
      <c r="F86" s="56">
        <v>4308</v>
      </c>
      <c r="G86" s="56">
        <v>26529.1875</v>
      </c>
      <c r="H86" s="56"/>
      <c r="I86" s="57">
        <v>498.4375</v>
      </c>
      <c r="J86" s="57">
        <v>23248</v>
      </c>
      <c r="K86" s="57">
        <v>1817</v>
      </c>
      <c r="L86" s="56">
        <v>7512</v>
      </c>
      <c r="M86" s="56"/>
      <c r="N86" s="57">
        <v>930</v>
      </c>
      <c r="O86" s="57">
        <v>8581</v>
      </c>
      <c r="P86" s="57">
        <v>0</v>
      </c>
      <c r="Q86" s="56">
        <v>1019</v>
      </c>
      <c r="R86" s="57">
        <f t="shared" si="1"/>
        <v>14667</v>
      </c>
      <c r="S86" s="56"/>
      <c r="T86" s="57">
        <v>7091</v>
      </c>
      <c r="U86" s="58">
        <v>1625</v>
      </c>
      <c r="V86" s="58">
        <v>8716</v>
      </c>
    </row>
    <row r="87" spans="1:22">
      <c r="A87" s="54">
        <v>91008</v>
      </c>
      <c r="B87" s="55" t="s">
        <v>1469</v>
      </c>
      <c r="C87" s="106">
        <v>1.273E-4</v>
      </c>
      <c r="D87" s="106">
        <v>1.1629999999999999E-4</v>
      </c>
      <c r="E87" s="56">
        <v>64142.909999999996</v>
      </c>
      <c r="F87" s="56">
        <v>52195</v>
      </c>
      <c r="G87" s="56">
        <v>270173</v>
      </c>
      <c r="H87" s="56"/>
      <c r="I87" s="57">
        <v>5076</v>
      </c>
      <c r="J87" s="57">
        <v>236758</v>
      </c>
      <c r="K87" s="57">
        <v>18504</v>
      </c>
      <c r="L87" s="56">
        <v>45460</v>
      </c>
      <c r="M87" s="56"/>
      <c r="N87" s="57">
        <v>9467</v>
      </c>
      <c r="O87" s="57">
        <v>87386</v>
      </c>
      <c r="P87" s="57">
        <v>0</v>
      </c>
      <c r="Q87" s="56">
        <v>0</v>
      </c>
      <c r="R87" s="57">
        <f t="shared" si="1"/>
        <v>149372</v>
      </c>
      <c r="S87" s="56"/>
      <c r="T87" s="57">
        <v>72213</v>
      </c>
      <c r="U87" s="58">
        <v>15722</v>
      </c>
      <c r="V87" s="58">
        <v>87935</v>
      </c>
    </row>
    <row r="88" spans="1:22">
      <c r="A88" s="54">
        <v>91009</v>
      </c>
      <c r="B88" s="55" t="s">
        <v>1470</v>
      </c>
      <c r="C88" s="106">
        <v>1.8700000000000001E-5</v>
      </c>
      <c r="D88" s="106">
        <v>1.5099999999999999E-5</v>
      </c>
      <c r="E88" s="56">
        <v>10450.36</v>
      </c>
      <c r="F88" s="56">
        <v>6777</v>
      </c>
      <c r="G88" s="56">
        <v>39688</v>
      </c>
      <c r="H88" s="56"/>
      <c r="I88" s="57">
        <v>745.66250000000002</v>
      </c>
      <c r="J88" s="57">
        <v>34779</v>
      </c>
      <c r="K88" s="57">
        <v>2718</v>
      </c>
      <c r="L88" s="56">
        <v>4142</v>
      </c>
      <c r="M88" s="56"/>
      <c r="N88" s="57">
        <v>1391</v>
      </c>
      <c r="O88" s="57">
        <v>12837</v>
      </c>
      <c r="P88" s="57">
        <v>0</v>
      </c>
      <c r="Q88" s="56">
        <v>3815</v>
      </c>
      <c r="R88" s="57">
        <f t="shared" si="1"/>
        <v>21942</v>
      </c>
      <c r="S88" s="56"/>
      <c r="T88" s="57">
        <v>10608</v>
      </c>
      <c r="U88" s="58">
        <v>-284</v>
      </c>
      <c r="V88" s="58">
        <v>10324</v>
      </c>
    </row>
    <row r="89" spans="1:22">
      <c r="A89" s="54">
        <v>91010</v>
      </c>
      <c r="B89" s="55" t="s">
        <v>1471</v>
      </c>
      <c r="C89" s="106">
        <v>6.8399999999999996E-5</v>
      </c>
      <c r="D89" s="106">
        <v>7.08E-5</v>
      </c>
      <c r="E89" s="56">
        <v>29262.219999999998</v>
      </c>
      <c r="F89" s="56">
        <v>31775</v>
      </c>
      <c r="G89" s="56">
        <v>145168</v>
      </c>
      <c r="H89" s="56"/>
      <c r="I89" s="57">
        <v>2727.45</v>
      </c>
      <c r="J89" s="57">
        <v>127213</v>
      </c>
      <c r="K89" s="57">
        <v>9943</v>
      </c>
      <c r="L89" s="56">
        <v>10683</v>
      </c>
      <c r="M89" s="56"/>
      <c r="N89" s="57">
        <v>5087</v>
      </c>
      <c r="O89" s="57">
        <v>46954</v>
      </c>
      <c r="P89" s="57">
        <v>0</v>
      </c>
      <c r="Q89" s="56">
        <v>400</v>
      </c>
      <c r="R89" s="57">
        <f t="shared" si="1"/>
        <v>80259</v>
      </c>
      <c r="S89" s="56"/>
      <c r="T89" s="57">
        <v>38801</v>
      </c>
      <c r="U89" s="58">
        <v>4384</v>
      </c>
      <c r="V89" s="58">
        <v>43185</v>
      </c>
    </row>
    <row r="90" spans="1:22">
      <c r="A90" s="54">
        <v>91011</v>
      </c>
      <c r="B90" s="55" t="s">
        <v>1472</v>
      </c>
      <c r="C90" s="106">
        <v>3.1789999999999998E-4</v>
      </c>
      <c r="D90" s="106">
        <v>3.0249999999999998E-4</v>
      </c>
      <c r="E90" s="56">
        <v>134881.49</v>
      </c>
      <c r="F90" s="56">
        <v>135760</v>
      </c>
      <c r="G90" s="56">
        <v>674690</v>
      </c>
      <c r="H90" s="56"/>
      <c r="I90" s="57">
        <v>12676</v>
      </c>
      <c r="J90" s="57">
        <v>591244</v>
      </c>
      <c r="K90" s="57">
        <v>46210</v>
      </c>
      <c r="L90" s="56">
        <v>30818</v>
      </c>
      <c r="M90" s="56"/>
      <c r="N90" s="57">
        <v>23642</v>
      </c>
      <c r="O90" s="57">
        <v>218225</v>
      </c>
      <c r="P90" s="57">
        <v>0</v>
      </c>
      <c r="Q90" s="56">
        <v>0</v>
      </c>
      <c r="R90" s="57">
        <f t="shared" si="1"/>
        <v>373019</v>
      </c>
      <c r="S90" s="56"/>
      <c r="T90" s="57">
        <v>180335</v>
      </c>
      <c r="U90" s="58">
        <v>10335</v>
      </c>
      <c r="V90" s="58">
        <v>190670</v>
      </c>
    </row>
    <row r="91" spans="1:22">
      <c r="A91" s="54">
        <v>91012</v>
      </c>
      <c r="B91" s="55" t="s">
        <v>1473</v>
      </c>
      <c r="C91" s="106">
        <v>1.49E-5</v>
      </c>
      <c r="D91" s="106">
        <v>1.08E-5</v>
      </c>
      <c r="E91" s="56">
        <v>7817.43</v>
      </c>
      <c r="F91" s="56">
        <v>4847</v>
      </c>
      <c r="G91" s="56">
        <v>31623</v>
      </c>
      <c r="H91" s="56"/>
      <c r="I91" s="57">
        <v>594</v>
      </c>
      <c r="J91" s="57">
        <v>27712</v>
      </c>
      <c r="K91" s="57">
        <v>2166</v>
      </c>
      <c r="L91" s="56">
        <v>3563</v>
      </c>
      <c r="M91" s="56"/>
      <c r="N91" s="57">
        <v>1108</v>
      </c>
      <c r="O91" s="57">
        <v>10228</v>
      </c>
      <c r="P91" s="57">
        <v>0</v>
      </c>
      <c r="Q91" s="56">
        <v>4733</v>
      </c>
      <c r="R91" s="57">
        <f t="shared" si="1"/>
        <v>17484</v>
      </c>
      <c r="S91" s="56"/>
      <c r="T91" s="57">
        <v>8452</v>
      </c>
      <c r="U91" s="58">
        <v>-1352</v>
      </c>
      <c r="V91" s="58">
        <v>7100</v>
      </c>
    </row>
    <row r="92" spans="1:22">
      <c r="A92" s="54">
        <v>91013</v>
      </c>
      <c r="B92" s="55" t="s">
        <v>1474</v>
      </c>
      <c r="C92" s="106">
        <v>2.1800000000000001E-5</v>
      </c>
      <c r="D92" s="106">
        <v>0</v>
      </c>
      <c r="E92" s="56">
        <v>20992.21</v>
      </c>
      <c r="F92" s="56">
        <v>0</v>
      </c>
      <c r="G92" s="56">
        <v>46267</v>
      </c>
      <c r="H92" s="56"/>
      <c r="I92" s="57">
        <v>869</v>
      </c>
      <c r="J92" s="57">
        <v>40545</v>
      </c>
      <c r="K92" s="57">
        <v>3169</v>
      </c>
      <c r="L92" s="56">
        <v>21362</v>
      </c>
      <c r="M92" s="56"/>
      <c r="N92" s="57">
        <v>1621</v>
      </c>
      <c r="O92" s="57">
        <v>14965</v>
      </c>
      <c r="P92" s="57">
        <v>0</v>
      </c>
      <c r="Q92" s="56">
        <v>0</v>
      </c>
      <c r="R92" s="57">
        <f t="shared" si="1"/>
        <v>25580</v>
      </c>
      <c r="S92" s="56"/>
      <c r="T92" s="57">
        <v>12366</v>
      </c>
      <c r="U92" s="58">
        <v>5534</v>
      </c>
      <c r="V92" s="58">
        <v>17901</v>
      </c>
    </row>
    <row r="93" spans="1:22">
      <c r="A93" s="54">
        <v>91014</v>
      </c>
      <c r="B93" s="55" t="s">
        <v>1475</v>
      </c>
      <c r="C93" s="106">
        <v>2.1499999999999999E-4</v>
      </c>
      <c r="D93" s="106">
        <v>2.241E-4</v>
      </c>
      <c r="E93" s="56">
        <v>84391.47</v>
      </c>
      <c r="F93" s="56">
        <v>100575</v>
      </c>
      <c r="G93" s="56">
        <v>456302</v>
      </c>
      <c r="H93" s="56"/>
      <c r="I93" s="57">
        <v>8573.125</v>
      </c>
      <c r="J93" s="57">
        <v>399866</v>
      </c>
      <c r="K93" s="57">
        <v>31253</v>
      </c>
      <c r="L93" s="56">
        <v>0</v>
      </c>
      <c r="M93" s="56"/>
      <c r="N93" s="57">
        <v>15989</v>
      </c>
      <c r="O93" s="57">
        <v>147588.47</v>
      </c>
      <c r="P93" s="57">
        <v>0</v>
      </c>
      <c r="Q93" s="56">
        <v>17744</v>
      </c>
      <c r="R93" s="57">
        <f t="shared" si="1"/>
        <v>252277.53</v>
      </c>
      <c r="S93" s="56"/>
      <c r="T93" s="57">
        <v>121963</v>
      </c>
      <c r="U93" s="58">
        <v>-6457</v>
      </c>
      <c r="V93" s="58">
        <v>115506</v>
      </c>
    </row>
    <row r="94" spans="1:22">
      <c r="A94" s="54">
        <v>91017</v>
      </c>
      <c r="B94" s="55" t="s">
        <v>1476</v>
      </c>
      <c r="C94" s="106">
        <v>2.3E-5</v>
      </c>
      <c r="D94" s="106">
        <v>1.01E-5</v>
      </c>
      <c r="E94" s="56">
        <v>10837.78</v>
      </c>
      <c r="F94" s="56">
        <v>4533</v>
      </c>
      <c r="G94" s="56">
        <v>48814</v>
      </c>
      <c r="H94" s="56"/>
      <c r="I94" s="57">
        <v>917.125</v>
      </c>
      <c r="J94" s="57">
        <v>42776</v>
      </c>
      <c r="K94" s="57">
        <v>3343</v>
      </c>
      <c r="L94" s="56">
        <v>11872</v>
      </c>
      <c r="M94" s="56"/>
      <c r="N94" s="57">
        <v>1710</v>
      </c>
      <c r="O94" s="57">
        <v>15789</v>
      </c>
      <c r="P94" s="57">
        <v>0</v>
      </c>
      <c r="Q94" s="56">
        <v>0</v>
      </c>
      <c r="R94" s="57">
        <f t="shared" si="1"/>
        <v>26987</v>
      </c>
      <c r="S94" s="56"/>
      <c r="T94" s="57">
        <v>13047</v>
      </c>
      <c r="U94" s="58">
        <v>3546</v>
      </c>
      <c r="V94" s="58">
        <v>16593</v>
      </c>
    </row>
    <row r="95" spans="1:22">
      <c r="A95" s="54">
        <v>91020</v>
      </c>
      <c r="B95" s="55" t="s">
        <v>1477</v>
      </c>
      <c r="C95" s="106">
        <v>1.9899999999999999E-5</v>
      </c>
      <c r="D95" s="106">
        <v>1.7E-5</v>
      </c>
      <c r="E95" s="56">
        <v>8500.07</v>
      </c>
      <c r="F95" s="56">
        <v>7629</v>
      </c>
      <c r="G95" s="56">
        <v>42234</v>
      </c>
      <c r="H95" s="56"/>
      <c r="I95" s="57">
        <v>794</v>
      </c>
      <c r="J95" s="57">
        <v>37011</v>
      </c>
      <c r="K95" s="57">
        <v>2893</v>
      </c>
      <c r="L95" s="56">
        <v>2656</v>
      </c>
      <c r="M95" s="56"/>
      <c r="N95" s="57">
        <v>1480</v>
      </c>
      <c r="O95" s="57">
        <v>13661</v>
      </c>
      <c r="P95" s="57">
        <v>0</v>
      </c>
      <c r="Q95" s="56">
        <v>582</v>
      </c>
      <c r="R95" s="57">
        <f t="shared" si="1"/>
        <v>23350</v>
      </c>
      <c r="S95" s="56"/>
      <c r="T95" s="57">
        <v>11289</v>
      </c>
      <c r="U95" s="58">
        <v>685</v>
      </c>
      <c r="V95" s="58">
        <v>11973</v>
      </c>
    </row>
    <row r="96" spans="1:22">
      <c r="A96" s="54">
        <v>91021</v>
      </c>
      <c r="B96" s="55" t="s">
        <v>1478</v>
      </c>
      <c r="C96" s="106">
        <v>8.6989999999999995E-4</v>
      </c>
      <c r="D96" s="106">
        <v>9.4979999999999999E-4</v>
      </c>
      <c r="E96" s="56">
        <v>366474.75</v>
      </c>
      <c r="F96" s="56">
        <v>426265</v>
      </c>
      <c r="G96" s="56">
        <v>1846219</v>
      </c>
      <c r="H96" s="56"/>
      <c r="I96" s="57">
        <v>34687</v>
      </c>
      <c r="J96" s="57">
        <v>1617877</v>
      </c>
      <c r="K96" s="57">
        <v>126450</v>
      </c>
      <c r="L96" s="56">
        <v>0</v>
      </c>
      <c r="M96" s="56"/>
      <c r="N96" s="57">
        <v>64694</v>
      </c>
      <c r="O96" s="57">
        <v>597150</v>
      </c>
      <c r="P96" s="57">
        <v>0</v>
      </c>
      <c r="Q96" s="56">
        <v>117733</v>
      </c>
      <c r="R96" s="57">
        <f t="shared" si="1"/>
        <v>1020727</v>
      </c>
      <c r="S96" s="56"/>
      <c r="T96" s="57">
        <v>493467</v>
      </c>
      <c r="U96" s="58">
        <v>-45954</v>
      </c>
      <c r="V96" s="58">
        <v>447513</v>
      </c>
    </row>
    <row r="97" spans="1:22">
      <c r="A97" s="54">
        <v>91024</v>
      </c>
      <c r="B97" s="55" t="s">
        <v>1479</v>
      </c>
      <c r="C97" s="106">
        <v>6.6299999999999999E-5</v>
      </c>
      <c r="D97" s="106">
        <v>4.3800000000000001E-5</v>
      </c>
      <c r="E97" s="56">
        <v>26295.57</v>
      </c>
      <c r="F97" s="56">
        <v>19657</v>
      </c>
      <c r="G97" s="56">
        <v>140711</v>
      </c>
      <c r="H97" s="56"/>
      <c r="I97" s="57">
        <v>2644</v>
      </c>
      <c r="J97" s="57">
        <v>123308</v>
      </c>
      <c r="K97" s="57">
        <v>9637</v>
      </c>
      <c r="L97" s="56">
        <v>28363</v>
      </c>
      <c r="M97" s="56"/>
      <c r="N97" s="57">
        <v>4931</v>
      </c>
      <c r="O97" s="57">
        <v>45512</v>
      </c>
      <c r="P97" s="57">
        <v>0</v>
      </c>
      <c r="Q97" s="56">
        <v>0</v>
      </c>
      <c r="R97" s="57">
        <f t="shared" si="1"/>
        <v>77796</v>
      </c>
      <c r="S97" s="56"/>
      <c r="T97" s="57">
        <v>37610</v>
      </c>
      <c r="U97" s="58">
        <v>9531</v>
      </c>
      <c r="V97" s="58">
        <v>47141</v>
      </c>
    </row>
    <row r="98" spans="1:22">
      <c r="A98" s="54">
        <v>91026</v>
      </c>
      <c r="B98" s="55" t="s">
        <v>111</v>
      </c>
      <c r="C98" s="106">
        <v>6.0900000000000003E-5</v>
      </c>
      <c r="D98" s="106">
        <v>5.4700000000000001E-5</v>
      </c>
      <c r="E98" s="56">
        <v>45660.320000000007</v>
      </c>
      <c r="F98" s="56">
        <v>24549</v>
      </c>
      <c r="G98" s="56">
        <v>129250</v>
      </c>
      <c r="H98" s="56"/>
      <c r="I98" s="57">
        <v>2428</v>
      </c>
      <c r="J98" s="57">
        <v>113264</v>
      </c>
      <c r="K98" s="57">
        <v>8852</v>
      </c>
      <c r="L98" s="56">
        <v>43564</v>
      </c>
      <c r="M98" s="56"/>
      <c r="N98" s="57">
        <v>4529</v>
      </c>
      <c r="O98" s="57">
        <v>41805</v>
      </c>
      <c r="P98" s="57">
        <v>0</v>
      </c>
      <c r="Q98" s="56">
        <v>6237</v>
      </c>
      <c r="R98" s="57">
        <f t="shared" si="1"/>
        <v>71459</v>
      </c>
      <c r="S98" s="56"/>
      <c r="T98" s="57">
        <v>34547</v>
      </c>
      <c r="U98" s="58">
        <v>10429</v>
      </c>
      <c r="V98" s="58">
        <v>44976</v>
      </c>
    </row>
    <row r="99" spans="1:22">
      <c r="A99" s="54">
        <v>91027</v>
      </c>
      <c r="B99" s="55" t="s">
        <v>1480</v>
      </c>
      <c r="C99" s="106">
        <v>1.6099999999999998E-5</v>
      </c>
      <c r="D99" s="106">
        <v>1.6099999999999998E-5</v>
      </c>
      <c r="E99" s="56">
        <v>15581.259999999998</v>
      </c>
      <c r="F99" s="56">
        <v>7226</v>
      </c>
      <c r="G99" s="56">
        <v>34170</v>
      </c>
      <c r="H99" s="56"/>
      <c r="I99" s="57">
        <v>642</v>
      </c>
      <c r="J99" s="57">
        <v>29943</v>
      </c>
      <c r="K99" s="57">
        <v>2340</v>
      </c>
      <c r="L99" s="56">
        <v>15162</v>
      </c>
      <c r="M99" s="56"/>
      <c r="N99" s="57">
        <v>1197</v>
      </c>
      <c r="O99" s="57">
        <v>11052</v>
      </c>
      <c r="P99" s="57">
        <v>0</v>
      </c>
      <c r="Q99" s="56">
        <v>0</v>
      </c>
      <c r="R99" s="57">
        <f t="shared" si="1"/>
        <v>18891</v>
      </c>
      <c r="S99" s="56"/>
      <c r="T99" s="57">
        <v>9133</v>
      </c>
      <c r="U99" s="58">
        <v>5044</v>
      </c>
      <c r="V99" s="58">
        <v>14177</v>
      </c>
    </row>
    <row r="100" spans="1:22">
      <c r="A100" s="54">
        <v>91032</v>
      </c>
      <c r="B100" s="55" t="s">
        <v>1481</v>
      </c>
      <c r="C100" s="106">
        <v>1.8600000000000001E-5</v>
      </c>
      <c r="D100" s="106">
        <v>2.12E-5</v>
      </c>
      <c r="E100" s="56">
        <v>14204.55</v>
      </c>
      <c r="F100" s="56">
        <v>9514</v>
      </c>
      <c r="G100" s="56">
        <v>39475</v>
      </c>
      <c r="H100" s="56"/>
      <c r="I100" s="57">
        <v>742</v>
      </c>
      <c r="J100" s="57">
        <v>34593</v>
      </c>
      <c r="K100" s="57">
        <v>2704</v>
      </c>
      <c r="L100" s="56">
        <v>14052</v>
      </c>
      <c r="M100" s="56"/>
      <c r="N100" s="57">
        <v>1383</v>
      </c>
      <c r="O100" s="57">
        <v>12768</v>
      </c>
      <c r="P100" s="57">
        <v>0</v>
      </c>
      <c r="Q100" s="56">
        <v>0</v>
      </c>
      <c r="R100" s="57">
        <f t="shared" si="1"/>
        <v>21825</v>
      </c>
      <c r="S100" s="56"/>
      <c r="T100" s="57">
        <v>10551</v>
      </c>
      <c r="U100" s="58">
        <v>4978</v>
      </c>
      <c r="V100" s="58">
        <v>15529</v>
      </c>
    </row>
    <row r="101" spans="1:22">
      <c r="A101" s="54">
        <v>91041</v>
      </c>
      <c r="B101" s="55" t="s">
        <v>1482</v>
      </c>
      <c r="C101" s="106">
        <v>4.3609999999999998E-4</v>
      </c>
      <c r="D101" s="106">
        <v>4.8910000000000002E-4</v>
      </c>
      <c r="E101" s="56">
        <v>143841.5</v>
      </c>
      <c r="F101" s="56">
        <v>219505</v>
      </c>
      <c r="G101" s="56">
        <v>925550</v>
      </c>
      <c r="H101" s="56"/>
      <c r="I101" s="57">
        <v>17389</v>
      </c>
      <c r="J101" s="57">
        <v>811077</v>
      </c>
      <c r="K101" s="57">
        <v>63392</v>
      </c>
      <c r="L101" s="56">
        <v>0</v>
      </c>
      <c r="M101" s="56"/>
      <c r="N101" s="57">
        <v>32432</v>
      </c>
      <c r="O101" s="57">
        <v>299364</v>
      </c>
      <c r="P101" s="57">
        <v>0</v>
      </c>
      <c r="Q101" s="56">
        <v>93669</v>
      </c>
      <c r="R101" s="57">
        <f t="shared" si="1"/>
        <v>511713</v>
      </c>
      <c r="S101" s="56"/>
      <c r="T101" s="57">
        <v>247386</v>
      </c>
      <c r="U101" s="58">
        <v>-28115</v>
      </c>
      <c r="V101" s="58">
        <v>219271</v>
      </c>
    </row>
    <row r="102" spans="1:22">
      <c r="A102" s="54">
        <v>91042</v>
      </c>
      <c r="B102" s="55" t="s">
        <v>1483</v>
      </c>
      <c r="C102" s="106">
        <v>2.062E-4</v>
      </c>
      <c r="D102" s="106">
        <v>2.1579999999999999E-4</v>
      </c>
      <c r="E102" s="56">
        <v>79476.37000000001</v>
      </c>
      <c r="F102" s="56">
        <v>96850</v>
      </c>
      <c r="G102" s="56">
        <v>437625</v>
      </c>
      <c r="H102" s="56"/>
      <c r="I102" s="57">
        <v>8222</v>
      </c>
      <c r="J102" s="57">
        <v>383499</v>
      </c>
      <c r="K102" s="57">
        <v>29973</v>
      </c>
      <c r="L102" s="56">
        <v>241</v>
      </c>
      <c r="M102" s="56"/>
      <c r="N102" s="57">
        <v>15335</v>
      </c>
      <c r="O102" s="57">
        <v>141548</v>
      </c>
      <c r="P102" s="57">
        <v>0</v>
      </c>
      <c r="Q102" s="56">
        <v>9427</v>
      </c>
      <c r="R102" s="57">
        <f t="shared" si="1"/>
        <v>241951</v>
      </c>
      <c r="S102" s="56"/>
      <c r="T102" s="57">
        <v>116971</v>
      </c>
      <c r="U102" s="58">
        <v>-2338</v>
      </c>
      <c r="V102" s="58">
        <v>114633</v>
      </c>
    </row>
    <row r="103" spans="1:22">
      <c r="A103" s="54">
        <v>91047</v>
      </c>
      <c r="B103" s="55" t="s">
        <v>1484</v>
      </c>
      <c r="C103" s="106">
        <v>1.3200000000000001E-5</v>
      </c>
      <c r="D103" s="106">
        <v>1.29E-5</v>
      </c>
      <c r="E103" s="56">
        <v>17711.78</v>
      </c>
      <c r="F103" s="56">
        <v>5789</v>
      </c>
      <c r="G103" s="56">
        <v>28015</v>
      </c>
      <c r="H103" s="56"/>
      <c r="I103" s="57">
        <v>526.35</v>
      </c>
      <c r="J103" s="57">
        <v>24550</v>
      </c>
      <c r="K103" s="57">
        <v>1919</v>
      </c>
      <c r="L103" s="56">
        <v>17767</v>
      </c>
      <c r="M103" s="56"/>
      <c r="N103" s="57">
        <v>982</v>
      </c>
      <c r="O103" s="57">
        <v>9061</v>
      </c>
      <c r="P103" s="57">
        <v>0</v>
      </c>
      <c r="Q103" s="56">
        <v>0</v>
      </c>
      <c r="R103" s="57">
        <f t="shared" si="1"/>
        <v>15489</v>
      </c>
      <c r="S103" s="56"/>
      <c r="T103" s="57">
        <v>7488</v>
      </c>
      <c r="U103" s="58">
        <v>5499</v>
      </c>
      <c r="V103" s="58">
        <v>12987</v>
      </c>
    </row>
    <row r="104" spans="1:22">
      <c r="A104" s="54">
        <v>91051</v>
      </c>
      <c r="B104" s="55" t="s">
        <v>1485</v>
      </c>
      <c r="C104" s="106">
        <v>7.6600000000000005E-5</v>
      </c>
      <c r="D104" s="106">
        <v>8.14E-5</v>
      </c>
      <c r="E104" s="56">
        <v>31832.510000000002</v>
      </c>
      <c r="F104" s="56">
        <v>36532</v>
      </c>
      <c r="G104" s="56">
        <v>162571</v>
      </c>
      <c r="H104" s="56"/>
      <c r="I104" s="57">
        <v>3054</v>
      </c>
      <c r="J104" s="57">
        <v>142464</v>
      </c>
      <c r="K104" s="57">
        <v>11135</v>
      </c>
      <c r="L104" s="56">
        <v>2509</v>
      </c>
      <c r="M104" s="56"/>
      <c r="N104" s="57">
        <v>5697</v>
      </c>
      <c r="O104" s="57">
        <v>52583</v>
      </c>
      <c r="P104" s="57">
        <v>0</v>
      </c>
      <c r="Q104" s="56">
        <v>2829</v>
      </c>
      <c r="R104" s="57">
        <f t="shared" si="1"/>
        <v>89881</v>
      </c>
      <c r="S104" s="56"/>
      <c r="T104" s="57">
        <v>43453</v>
      </c>
      <c r="U104" s="58">
        <v>37</v>
      </c>
      <c r="V104" s="58">
        <v>43490</v>
      </c>
    </row>
    <row r="105" spans="1:22">
      <c r="A105" s="54">
        <v>91057</v>
      </c>
      <c r="B105" s="55" t="s">
        <v>1486</v>
      </c>
      <c r="C105" s="106">
        <v>1.5E-5</v>
      </c>
      <c r="D105" s="106">
        <v>1.49E-5</v>
      </c>
      <c r="E105" s="56">
        <v>9524.76</v>
      </c>
      <c r="F105" s="56">
        <v>6687</v>
      </c>
      <c r="G105" s="56">
        <v>31835</v>
      </c>
      <c r="H105" s="56"/>
      <c r="I105" s="57">
        <v>598.125</v>
      </c>
      <c r="J105" s="57">
        <v>27897.63</v>
      </c>
      <c r="K105" s="57">
        <v>2180.415</v>
      </c>
      <c r="L105" s="56">
        <v>5494</v>
      </c>
      <c r="M105" s="56"/>
      <c r="N105" s="57">
        <v>1116</v>
      </c>
      <c r="O105" s="57">
        <v>10297</v>
      </c>
      <c r="P105" s="57">
        <v>0</v>
      </c>
      <c r="Q105" s="56">
        <v>0</v>
      </c>
      <c r="R105" s="57">
        <f t="shared" si="1"/>
        <v>17600.63</v>
      </c>
      <c r="S105" s="56"/>
      <c r="T105" s="57">
        <v>8509</v>
      </c>
      <c r="U105" s="58">
        <v>1691</v>
      </c>
      <c r="V105" s="58">
        <v>10200</v>
      </c>
    </row>
    <row r="106" spans="1:22">
      <c r="A106" s="54">
        <v>91061</v>
      </c>
      <c r="B106" s="55" t="s">
        <v>1487</v>
      </c>
      <c r="C106" s="106">
        <v>3.7730000000000001E-4</v>
      </c>
      <c r="D106" s="106">
        <v>3.322E-4</v>
      </c>
      <c r="E106" s="56">
        <v>141049.84</v>
      </c>
      <c r="F106" s="56">
        <v>149089</v>
      </c>
      <c r="G106" s="56">
        <v>800757</v>
      </c>
      <c r="H106" s="56"/>
      <c r="I106" s="57">
        <v>15045</v>
      </c>
      <c r="J106" s="57">
        <v>701718</v>
      </c>
      <c r="K106" s="57">
        <v>54845</v>
      </c>
      <c r="L106" s="56">
        <v>13223</v>
      </c>
      <c r="M106" s="56"/>
      <c r="N106" s="57">
        <v>28059</v>
      </c>
      <c r="O106" s="57">
        <v>259001</v>
      </c>
      <c r="P106" s="57">
        <v>0</v>
      </c>
      <c r="Q106" s="56">
        <v>46977</v>
      </c>
      <c r="R106" s="57">
        <f t="shared" si="1"/>
        <v>442717</v>
      </c>
      <c r="S106" s="56"/>
      <c r="T106" s="57">
        <v>214031</v>
      </c>
      <c r="U106" s="58">
        <v>-15751</v>
      </c>
      <c r="V106" s="58">
        <v>198279</v>
      </c>
    </row>
    <row r="107" spans="1:22">
      <c r="A107" s="54">
        <v>91067</v>
      </c>
      <c r="B107" s="55" t="s">
        <v>1488</v>
      </c>
      <c r="C107" s="106">
        <v>1.8499999999999999E-5</v>
      </c>
      <c r="D107" s="106">
        <v>1.7099999999999999E-5</v>
      </c>
      <c r="E107" s="56">
        <v>8476.0800000000017</v>
      </c>
      <c r="F107" s="56">
        <v>7674</v>
      </c>
      <c r="G107" s="56">
        <v>39263</v>
      </c>
      <c r="H107" s="56"/>
      <c r="I107" s="57">
        <v>737.6875</v>
      </c>
      <c r="J107" s="57">
        <v>34407</v>
      </c>
      <c r="K107" s="57">
        <v>2689</v>
      </c>
      <c r="L107" s="56">
        <v>3670</v>
      </c>
      <c r="M107" s="56"/>
      <c r="N107" s="57">
        <v>1376</v>
      </c>
      <c r="O107" s="57">
        <v>12699</v>
      </c>
      <c r="P107" s="57">
        <v>0</v>
      </c>
      <c r="Q107" s="56">
        <v>0</v>
      </c>
      <c r="R107" s="57">
        <f t="shared" si="1"/>
        <v>21708</v>
      </c>
      <c r="S107" s="56"/>
      <c r="T107" s="57">
        <v>10494</v>
      </c>
      <c r="U107" s="58">
        <v>1258</v>
      </c>
      <c r="V107" s="58">
        <v>11752</v>
      </c>
    </row>
    <row r="108" spans="1:22">
      <c r="A108" s="54">
        <v>91071</v>
      </c>
      <c r="B108" s="55" t="s">
        <v>1489</v>
      </c>
      <c r="C108" s="106">
        <v>2.4379999999999999E-4</v>
      </c>
      <c r="D108" s="106">
        <v>2.321E-4</v>
      </c>
      <c r="E108" s="56">
        <v>89647.999999999985</v>
      </c>
      <c r="F108" s="56">
        <v>104165</v>
      </c>
      <c r="G108" s="56">
        <v>517425</v>
      </c>
      <c r="H108" s="56"/>
      <c r="I108" s="57">
        <v>9722</v>
      </c>
      <c r="J108" s="57">
        <v>453429</v>
      </c>
      <c r="K108" s="57">
        <v>35439</v>
      </c>
      <c r="L108" s="56">
        <v>16829.43</v>
      </c>
      <c r="M108" s="56"/>
      <c r="N108" s="57">
        <v>18131</v>
      </c>
      <c r="O108" s="57">
        <v>167358</v>
      </c>
      <c r="P108" s="57">
        <v>0</v>
      </c>
      <c r="Q108" s="56">
        <v>3799</v>
      </c>
      <c r="R108" s="57">
        <f t="shared" si="1"/>
        <v>286071</v>
      </c>
      <c r="S108" s="56"/>
      <c r="T108" s="57">
        <v>138300</v>
      </c>
      <c r="U108" s="58">
        <v>7310</v>
      </c>
      <c r="V108" s="58">
        <v>145610</v>
      </c>
    </row>
    <row r="109" spans="1:22">
      <c r="A109" s="54">
        <v>91077</v>
      </c>
      <c r="B109" s="55" t="s">
        <v>1490</v>
      </c>
      <c r="C109" s="106">
        <v>3.9999999999999998E-6</v>
      </c>
      <c r="D109" s="106">
        <v>4.7999999999999998E-6</v>
      </c>
      <c r="E109" s="56">
        <v>2964.42</v>
      </c>
      <c r="F109" s="56">
        <v>2154</v>
      </c>
      <c r="G109" s="56">
        <v>8489.34</v>
      </c>
      <c r="H109" s="56"/>
      <c r="I109" s="57">
        <v>159.5</v>
      </c>
      <c r="J109" s="57">
        <v>7439</v>
      </c>
      <c r="K109" s="57">
        <v>581</v>
      </c>
      <c r="L109" s="56">
        <v>1140</v>
      </c>
      <c r="M109" s="56"/>
      <c r="N109" s="57">
        <v>297</v>
      </c>
      <c r="O109" s="57">
        <v>2746</v>
      </c>
      <c r="P109" s="57">
        <v>0</v>
      </c>
      <c r="Q109" s="56">
        <v>103</v>
      </c>
      <c r="R109" s="57">
        <f t="shared" si="1"/>
        <v>4693</v>
      </c>
      <c r="S109" s="56"/>
      <c r="T109" s="57">
        <v>2269</v>
      </c>
      <c r="U109" s="58">
        <v>294</v>
      </c>
      <c r="V109" s="58">
        <v>2563</v>
      </c>
    </row>
    <row r="110" spans="1:22">
      <c r="A110" s="54">
        <v>91081</v>
      </c>
      <c r="B110" s="55" t="s">
        <v>1491</v>
      </c>
      <c r="C110" s="106">
        <v>3.6499999999999998E-4</v>
      </c>
      <c r="D110" s="106">
        <v>3.5750000000000002E-4</v>
      </c>
      <c r="E110" s="56">
        <v>146435.68000000002</v>
      </c>
      <c r="F110" s="56">
        <v>160444</v>
      </c>
      <c r="G110" s="56">
        <v>774652</v>
      </c>
      <c r="H110" s="56"/>
      <c r="I110" s="57">
        <v>14554.375</v>
      </c>
      <c r="J110" s="57">
        <v>678842.33</v>
      </c>
      <c r="K110" s="57">
        <v>53057</v>
      </c>
      <c r="L110" s="56">
        <v>1642</v>
      </c>
      <c r="M110" s="56"/>
      <c r="N110" s="57">
        <v>27145</v>
      </c>
      <c r="O110" s="57">
        <v>250557</v>
      </c>
      <c r="P110" s="57">
        <v>0</v>
      </c>
      <c r="Q110" s="56">
        <v>27235</v>
      </c>
      <c r="R110" s="57">
        <f t="shared" si="1"/>
        <v>428285.32999999996</v>
      </c>
      <c r="S110" s="56"/>
      <c r="T110" s="57">
        <v>207053</v>
      </c>
      <c r="U110" s="58">
        <v>-13214</v>
      </c>
      <c r="V110" s="58">
        <v>193840</v>
      </c>
    </row>
    <row r="111" spans="1:22">
      <c r="A111" s="54">
        <v>91091</v>
      </c>
      <c r="B111" s="55" t="s">
        <v>1492</v>
      </c>
      <c r="C111" s="106">
        <v>5.6380000000000004E-4</v>
      </c>
      <c r="D111" s="106">
        <v>5.3359999999999996E-4</v>
      </c>
      <c r="E111" s="56">
        <v>203382.8</v>
      </c>
      <c r="F111" s="56">
        <v>239476</v>
      </c>
      <c r="G111" s="56">
        <v>1196572</v>
      </c>
      <c r="H111" s="56"/>
      <c r="I111" s="57">
        <v>22482</v>
      </c>
      <c r="J111" s="57">
        <v>1048579</v>
      </c>
      <c r="K111" s="57">
        <v>81955</v>
      </c>
      <c r="L111" s="56">
        <v>0</v>
      </c>
      <c r="M111" s="56"/>
      <c r="N111" s="57">
        <v>41929</v>
      </c>
      <c r="O111" s="57">
        <v>387025</v>
      </c>
      <c r="P111" s="57">
        <v>0</v>
      </c>
      <c r="Q111" s="56">
        <v>54149</v>
      </c>
      <c r="R111" s="57">
        <f t="shared" si="1"/>
        <v>661554</v>
      </c>
      <c r="S111" s="56"/>
      <c r="T111" s="57">
        <v>319826</v>
      </c>
      <c r="U111" s="58">
        <v>-22256</v>
      </c>
      <c r="V111" s="58">
        <v>297571</v>
      </c>
    </row>
    <row r="112" spans="1:22">
      <c r="A112" s="54">
        <v>91101</v>
      </c>
      <c r="B112" s="55" t="s">
        <v>1493</v>
      </c>
      <c r="C112" s="106">
        <v>1.36685E-2</v>
      </c>
      <c r="D112" s="106">
        <v>1.3700499999999999E-2</v>
      </c>
      <c r="E112" s="56">
        <v>5218348.8699999992</v>
      </c>
      <c r="F112" s="56">
        <v>6148702</v>
      </c>
      <c r="G112" s="56">
        <v>29009136</v>
      </c>
      <c r="H112" s="56"/>
      <c r="I112" s="57">
        <v>545031</v>
      </c>
      <c r="J112" s="57">
        <v>25421250</v>
      </c>
      <c r="K112" s="57">
        <v>1986867</v>
      </c>
      <c r="L112" s="56">
        <v>791280</v>
      </c>
      <c r="M112" s="56"/>
      <c r="N112" s="57">
        <v>1016513</v>
      </c>
      <c r="O112" s="57">
        <v>9382851</v>
      </c>
      <c r="P112" s="57">
        <v>0</v>
      </c>
      <c r="Q112" s="56">
        <v>337196</v>
      </c>
      <c r="R112" s="57">
        <f t="shared" si="1"/>
        <v>16038399</v>
      </c>
      <c r="S112" s="56"/>
      <c r="T112" s="57">
        <v>7753716</v>
      </c>
      <c r="U112" s="58">
        <v>232315</v>
      </c>
      <c r="V112" s="58">
        <v>7986031</v>
      </c>
    </row>
    <row r="113" spans="1:22">
      <c r="A113" s="54">
        <v>91102</v>
      </c>
      <c r="B113" s="55" t="s">
        <v>1494</v>
      </c>
      <c r="C113" s="106">
        <v>3.034E-4</v>
      </c>
      <c r="D113" s="106">
        <v>2.834E-4</v>
      </c>
      <c r="E113" s="56">
        <v>133771.11000000002</v>
      </c>
      <c r="F113" s="56">
        <v>127188</v>
      </c>
      <c r="G113" s="56">
        <v>643916</v>
      </c>
      <c r="H113" s="56"/>
      <c r="I113" s="57">
        <v>12098</v>
      </c>
      <c r="J113" s="57">
        <v>564276</v>
      </c>
      <c r="K113" s="57">
        <v>44103</v>
      </c>
      <c r="L113" s="56">
        <v>18534</v>
      </c>
      <c r="M113" s="56"/>
      <c r="N113" s="57">
        <v>22564</v>
      </c>
      <c r="O113" s="57">
        <v>208271</v>
      </c>
      <c r="P113" s="57">
        <v>0</v>
      </c>
      <c r="Q113" s="56">
        <v>52648</v>
      </c>
      <c r="R113" s="57">
        <f t="shared" si="1"/>
        <v>356005</v>
      </c>
      <c r="S113" s="56"/>
      <c r="T113" s="57">
        <v>172109</v>
      </c>
      <c r="U113" s="58">
        <v>-13734</v>
      </c>
      <c r="V113" s="58">
        <v>158376</v>
      </c>
    </row>
    <row r="114" spans="1:22">
      <c r="A114" s="54">
        <v>91104</v>
      </c>
      <c r="B114" s="55" t="s">
        <v>1495</v>
      </c>
      <c r="C114" s="106">
        <v>8.1999999999999994E-6</v>
      </c>
      <c r="D114" s="106">
        <v>9.2E-6</v>
      </c>
      <c r="E114" s="56">
        <v>5034.29</v>
      </c>
      <c r="F114" s="56">
        <v>4129</v>
      </c>
      <c r="G114" s="56">
        <v>17403</v>
      </c>
      <c r="H114" s="56"/>
      <c r="I114" s="57">
        <v>327</v>
      </c>
      <c r="J114" s="57">
        <v>15251</v>
      </c>
      <c r="K114" s="57">
        <v>1192</v>
      </c>
      <c r="L114" s="56">
        <v>993</v>
      </c>
      <c r="M114" s="56"/>
      <c r="N114" s="57">
        <v>610</v>
      </c>
      <c r="O114" s="57">
        <v>5629</v>
      </c>
      <c r="P114" s="57">
        <v>0</v>
      </c>
      <c r="Q114" s="56">
        <v>78</v>
      </c>
      <c r="R114" s="57">
        <f t="shared" si="1"/>
        <v>9622</v>
      </c>
      <c r="S114" s="56"/>
      <c r="T114" s="57">
        <v>4652</v>
      </c>
      <c r="U114" s="58">
        <v>239</v>
      </c>
      <c r="V114" s="58">
        <v>4890</v>
      </c>
    </row>
    <row r="115" spans="1:22">
      <c r="A115" s="54">
        <v>91107</v>
      </c>
      <c r="B115" s="55" t="s">
        <v>2287</v>
      </c>
      <c r="C115" s="106">
        <v>6.7899999999999997E-5</v>
      </c>
      <c r="D115" s="106">
        <v>6.3999999999999997E-5</v>
      </c>
      <c r="E115" s="56">
        <v>34872.559999999998</v>
      </c>
      <c r="F115" s="56">
        <v>28723</v>
      </c>
      <c r="G115" s="56">
        <v>144107</v>
      </c>
      <c r="H115" s="56"/>
      <c r="I115" s="57">
        <v>2708</v>
      </c>
      <c r="J115" s="57">
        <v>126283</v>
      </c>
      <c r="K115" s="57">
        <v>9870</v>
      </c>
      <c r="L115" s="56">
        <v>11761</v>
      </c>
      <c r="M115" s="56"/>
      <c r="N115" s="57">
        <v>5050</v>
      </c>
      <c r="O115" s="57">
        <v>46610</v>
      </c>
      <c r="P115" s="57">
        <v>0</v>
      </c>
      <c r="Q115" s="56">
        <v>0</v>
      </c>
      <c r="R115" s="57">
        <f t="shared" si="1"/>
        <v>79673</v>
      </c>
      <c r="S115" s="56"/>
      <c r="T115" s="57">
        <v>38518</v>
      </c>
      <c r="U115" s="58">
        <v>3853</v>
      </c>
      <c r="V115" s="58">
        <v>42371</v>
      </c>
    </row>
    <row r="116" spans="1:22">
      <c r="A116" s="54">
        <v>91108</v>
      </c>
      <c r="B116" s="55" t="s">
        <v>1497</v>
      </c>
      <c r="C116" s="106">
        <v>1.2622E-3</v>
      </c>
      <c r="D116" s="106">
        <v>1.2565E-3</v>
      </c>
      <c r="E116" s="56">
        <v>552346.72</v>
      </c>
      <c r="F116" s="56">
        <v>563910</v>
      </c>
      <c r="G116" s="56">
        <v>2678811</v>
      </c>
      <c r="H116" s="56"/>
      <c r="I116" s="57">
        <v>50330</v>
      </c>
      <c r="J116" s="57">
        <v>2347493</v>
      </c>
      <c r="K116" s="57">
        <v>183475</v>
      </c>
      <c r="L116" s="56">
        <v>83626</v>
      </c>
      <c r="M116" s="56"/>
      <c r="N116" s="57">
        <v>93869</v>
      </c>
      <c r="O116" s="57">
        <v>866447</v>
      </c>
      <c r="P116" s="57">
        <v>0</v>
      </c>
      <c r="Q116" s="56">
        <v>0</v>
      </c>
      <c r="R116" s="57">
        <f t="shared" si="1"/>
        <v>1481046</v>
      </c>
      <c r="S116" s="56"/>
      <c r="T116" s="57">
        <v>716007</v>
      </c>
      <c r="U116" s="58">
        <v>29649</v>
      </c>
      <c r="V116" s="58">
        <v>745656</v>
      </c>
    </row>
    <row r="117" spans="1:22">
      <c r="A117" s="54">
        <v>91109</v>
      </c>
      <c r="B117" s="55" t="s">
        <v>1498</v>
      </c>
      <c r="C117" s="106">
        <v>9.2100000000000003E-5</v>
      </c>
      <c r="D117" s="106">
        <v>9.6600000000000003E-5</v>
      </c>
      <c r="E117" s="56">
        <v>40329.650000000009</v>
      </c>
      <c r="F117" s="56">
        <v>43354</v>
      </c>
      <c r="G117" s="56">
        <v>195467</v>
      </c>
      <c r="H117" s="56"/>
      <c r="I117" s="57">
        <v>3672</v>
      </c>
      <c r="J117" s="57">
        <v>171291</v>
      </c>
      <c r="K117" s="57">
        <v>13388</v>
      </c>
      <c r="L117" s="56">
        <v>2200</v>
      </c>
      <c r="M117" s="56"/>
      <c r="N117" s="57">
        <v>6849</v>
      </c>
      <c r="O117" s="57">
        <v>63223</v>
      </c>
      <c r="P117" s="57">
        <v>0</v>
      </c>
      <c r="Q117" s="56">
        <v>1611</v>
      </c>
      <c r="R117" s="57">
        <f t="shared" si="1"/>
        <v>108068</v>
      </c>
      <c r="S117" s="56"/>
      <c r="T117" s="57">
        <v>52245</v>
      </c>
      <c r="U117" s="58">
        <v>89</v>
      </c>
      <c r="V117" s="58">
        <v>52335</v>
      </c>
    </row>
    <row r="118" spans="1:22">
      <c r="A118" s="54">
        <v>91111</v>
      </c>
      <c r="B118" s="55" t="s">
        <v>1499</v>
      </c>
      <c r="C118" s="106">
        <v>2.2359999999999999E-4</v>
      </c>
      <c r="D118" s="106">
        <v>2.2049999999999999E-4</v>
      </c>
      <c r="E118" s="56">
        <v>98685.249999999985</v>
      </c>
      <c r="F118" s="56">
        <v>98959</v>
      </c>
      <c r="G118" s="56">
        <v>474554</v>
      </c>
      <c r="H118" s="56"/>
      <c r="I118" s="57">
        <v>8916</v>
      </c>
      <c r="J118" s="57">
        <v>415861</v>
      </c>
      <c r="K118" s="57">
        <v>32503</v>
      </c>
      <c r="L118" s="56">
        <v>26669</v>
      </c>
      <c r="M118" s="56"/>
      <c r="N118" s="57">
        <v>16629</v>
      </c>
      <c r="O118" s="57">
        <v>153492</v>
      </c>
      <c r="P118" s="57">
        <v>0</v>
      </c>
      <c r="Q118" s="56">
        <v>0</v>
      </c>
      <c r="R118" s="57">
        <f t="shared" si="1"/>
        <v>262369</v>
      </c>
      <c r="S118" s="56"/>
      <c r="T118" s="57">
        <v>126841</v>
      </c>
      <c r="U118" s="58">
        <v>8870</v>
      </c>
      <c r="V118" s="58">
        <v>135711</v>
      </c>
    </row>
    <row r="119" spans="1:22">
      <c r="A119" s="54">
        <v>91119</v>
      </c>
      <c r="B119" s="55" t="s">
        <v>131</v>
      </c>
      <c r="C119" s="106">
        <v>0</v>
      </c>
      <c r="D119" s="106">
        <v>0</v>
      </c>
      <c r="E119" s="56">
        <v>0</v>
      </c>
      <c r="F119" s="56">
        <v>0</v>
      </c>
      <c r="G119" s="56">
        <v>0</v>
      </c>
      <c r="H119" s="56"/>
      <c r="I119" s="57">
        <v>0</v>
      </c>
      <c r="J119" s="57">
        <v>0</v>
      </c>
      <c r="K119" s="57">
        <v>0</v>
      </c>
      <c r="L119" s="56">
        <v>0</v>
      </c>
      <c r="M119" s="56"/>
      <c r="N119" s="57">
        <v>0</v>
      </c>
      <c r="O119" s="57">
        <v>0</v>
      </c>
      <c r="P119" s="57">
        <v>0</v>
      </c>
      <c r="Q119" s="56">
        <v>645424.66</v>
      </c>
      <c r="R119" s="57">
        <f t="shared" si="1"/>
        <v>0</v>
      </c>
      <c r="S119" s="56"/>
      <c r="T119" s="57">
        <v>0</v>
      </c>
      <c r="U119" s="58">
        <v>-324334</v>
      </c>
      <c r="V119" s="58">
        <v>-324334</v>
      </c>
    </row>
    <row r="120" spans="1:22">
      <c r="A120" s="54">
        <v>91120</v>
      </c>
      <c r="B120" s="55" t="s">
        <v>1500</v>
      </c>
      <c r="C120" s="106">
        <v>1.184E-4</v>
      </c>
      <c r="D120" s="106">
        <v>1.161E-4</v>
      </c>
      <c r="E120" s="56">
        <v>42592.1</v>
      </c>
      <c r="F120" s="56">
        <v>52105</v>
      </c>
      <c r="G120" s="56">
        <v>251284</v>
      </c>
      <c r="H120" s="56"/>
      <c r="I120" s="57">
        <v>4721.2</v>
      </c>
      <c r="J120" s="57">
        <v>220205</v>
      </c>
      <c r="K120" s="57">
        <v>17211</v>
      </c>
      <c r="L120" s="56">
        <v>0</v>
      </c>
      <c r="M120" s="56"/>
      <c r="N120" s="57">
        <v>8805</v>
      </c>
      <c r="O120" s="57">
        <v>81277</v>
      </c>
      <c r="P120" s="57">
        <v>0</v>
      </c>
      <c r="Q120" s="56">
        <v>29635</v>
      </c>
      <c r="R120" s="57">
        <f t="shared" si="1"/>
        <v>138928</v>
      </c>
      <c r="S120" s="56"/>
      <c r="T120" s="57">
        <v>67165</v>
      </c>
      <c r="U120" s="58">
        <v>-11244</v>
      </c>
      <c r="V120" s="58">
        <v>55921</v>
      </c>
    </row>
    <row r="121" spans="1:22">
      <c r="A121" s="54">
        <v>91121</v>
      </c>
      <c r="B121" s="55" t="s">
        <v>1501</v>
      </c>
      <c r="C121" s="106">
        <v>9.7842999999999992E-3</v>
      </c>
      <c r="D121" s="106">
        <v>1.0167600000000001E-2</v>
      </c>
      <c r="E121" s="56">
        <v>3705845.4499999997</v>
      </c>
      <c r="F121" s="56">
        <v>4563158</v>
      </c>
      <c r="G121" s="56">
        <v>20765562</v>
      </c>
      <c r="H121" s="56"/>
      <c r="I121" s="57">
        <v>390149</v>
      </c>
      <c r="J121" s="57">
        <v>18197252</v>
      </c>
      <c r="K121" s="57">
        <v>1422256</v>
      </c>
      <c r="L121" s="56">
        <v>0</v>
      </c>
      <c r="M121" s="56"/>
      <c r="N121" s="57">
        <v>727649</v>
      </c>
      <c r="O121" s="57">
        <v>6716511</v>
      </c>
      <c r="P121" s="57">
        <v>0</v>
      </c>
      <c r="Q121" s="56">
        <v>834506</v>
      </c>
      <c r="R121" s="57">
        <f t="shared" si="1"/>
        <v>11480741</v>
      </c>
      <c r="S121" s="56"/>
      <c r="T121" s="57">
        <v>5550330</v>
      </c>
      <c r="U121" s="58">
        <v>-296106</v>
      </c>
      <c r="V121" s="58">
        <v>5254224</v>
      </c>
    </row>
    <row r="122" spans="1:22">
      <c r="A122" s="54">
        <v>91127</v>
      </c>
      <c r="B122" s="55" t="s">
        <v>1502</v>
      </c>
      <c r="C122" s="106">
        <v>2.8229999999999998E-4</v>
      </c>
      <c r="D122" s="106">
        <v>2.7680000000000001E-4</v>
      </c>
      <c r="E122" s="56">
        <v>136472.58999999997</v>
      </c>
      <c r="F122" s="56">
        <v>124226</v>
      </c>
      <c r="G122" s="56">
        <v>599135</v>
      </c>
      <c r="H122" s="56"/>
      <c r="I122" s="57">
        <v>11257</v>
      </c>
      <c r="J122" s="57">
        <v>525033</v>
      </c>
      <c r="K122" s="57">
        <v>41035</v>
      </c>
      <c r="L122" s="56">
        <v>59704</v>
      </c>
      <c r="M122" s="56"/>
      <c r="N122" s="57">
        <v>20994</v>
      </c>
      <c r="O122" s="57">
        <v>193787</v>
      </c>
      <c r="P122" s="57">
        <v>0</v>
      </c>
      <c r="Q122" s="56">
        <v>0</v>
      </c>
      <c r="R122" s="57">
        <f t="shared" si="1"/>
        <v>331246</v>
      </c>
      <c r="S122" s="56"/>
      <c r="T122" s="57">
        <v>160140</v>
      </c>
      <c r="U122" s="58">
        <v>22617</v>
      </c>
      <c r="V122" s="58">
        <v>182757</v>
      </c>
    </row>
    <row r="123" spans="1:22">
      <c r="A123" s="54">
        <v>91128</v>
      </c>
      <c r="B123" s="55" t="s">
        <v>1503</v>
      </c>
      <c r="C123" s="106">
        <v>5.0929999999999997E-4</v>
      </c>
      <c r="D123" s="106">
        <v>5.042E-4</v>
      </c>
      <c r="E123" s="56">
        <v>208473.93999999997</v>
      </c>
      <c r="F123" s="56">
        <v>226282</v>
      </c>
      <c r="G123" s="56">
        <v>1080905</v>
      </c>
      <c r="H123" s="56"/>
      <c r="I123" s="57">
        <v>20308</v>
      </c>
      <c r="J123" s="57">
        <v>947218</v>
      </c>
      <c r="K123" s="57">
        <v>74032</v>
      </c>
      <c r="L123" s="56">
        <v>10827</v>
      </c>
      <c r="M123" s="56"/>
      <c r="N123" s="57">
        <v>37876</v>
      </c>
      <c r="O123" s="57">
        <v>349613</v>
      </c>
      <c r="P123" s="57">
        <v>0</v>
      </c>
      <c r="Q123" s="56">
        <v>12589</v>
      </c>
      <c r="R123" s="57">
        <f t="shared" si="1"/>
        <v>597605</v>
      </c>
      <c r="S123" s="56"/>
      <c r="T123" s="57">
        <v>288910</v>
      </c>
      <c r="U123" s="58">
        <v>-2677</v>
      </c>
      <c r="V123" s="58">
        <v>286233</v>
      </c>
    </row>
    <row r="124" spans="1:22">
      <c r="A124" s="54">
        <v>91138</v>
      </c>
      <c r="B124" s="55" t="s">
        <v>1504</v>
      </c>
      <c r="C124" s="106">
        <v>6.2350000000000003E-4</v>
      </c>
      <c r="D124" s="106">
        <v>6.6279999999999996E-4</v>
      </c>
      <c r="E124" s="56">
        <v>190650.29999999996</v>
      </c>
      <c r="F124" s="56">
        <v>297461</v>
      </c>
      <c r="G124" s="56">
        <v>1323276</v>
      </c>
      <c r="H124" s="56"/>
      <c r="I124" s="57">
        <v>24862.0625</v>
      </c>
      <c r="J124" s="57">
        <v>1159611</v>
      </c>
      <c r="K124" s="57">
        <v>90633</v>
      </c>
      <c r="L124" s="56">
        <v>0</v>
      </c>
      <c r="M124" s="56"/>
      <c r="N124" s="57">
        <v>46369</v>
      </c>
      <c r="O124" s="57">
        <v>428007</v>
      </c>
      <c r="P124" s="57">
        <v>0</v>
      </c>
      <c r="Q124" s="56">
        <v>111983</v>
      </c>
      <c r="R124" s="57">
        <f t="shared" si="1"/>
        <v>731604</v>
      </c>
      <c r="S124" s="56"/>
      <c r="T124" s="57">
        <v>353692</v>
      </c>
      <c r="U124" s="58">
        <v>-35624</v>
      </c>
      <c r="V124" s="58">
        <v>318068</v>
      </c>
    </row>
    <row r="125" spans="1:22">
      <c r="A125" s="54">
        <v>91141</v>
      </c>
      <c r="B125" s="55" t="s">
        <v>1505</v>
      </c>
      <c r="C125" s="106">
        <v>5.5679999999999998E-4</v>
      </c>
      <c r="D125" s="106">
        <v>6.2560000000000003E-4</v>
      </c>
      <c r="E125" s="56">
        <v>214309.96</v>
      </c>
      <c r="F125" s="56">
        <v>280766</v>
      </c>
      <c r="G125" s="56">
        <v>1181716</v>
      </c>
      <c r="H125" s="56"/>
      <c r="I125" s="57">
        <v>22202</v>
      </c>
      <c r="J125" s="57">
        <v>1035560</v>
      </c>
      <c r="K125" s="57">
        <v>80937</v>
      </c>
      <c r="L125" s="56">
        <v>0</v>
      </c>
      <c r="M125" s="56"/>
      <c r="N125" s="57">
        <v>41409</v>
      </c>
      <c r="O125" s="57">
        <v>382220</v>
      </c>
      <c r="P125" s="57">
        <v>0</v>
      </c>
      <c r="Q125" s="56">
        <v>106380</v>
      </c>
      <c r="R125" s="57">
        <f t="shared" si="1"/>
        <v>653340</v>
      </c>
      <c r="S125" s="56"/>
      <c r="T125" s="57">
        <v>315855</v>
      </c>
      <c r="U125" s="58">
        <v>-35698</v>
      </c>
      <c r="V125" s="58">
        <v>280157</v>
      </c>
    </row>
    <row r="126" spans="1:22">
      <c r="A126" s="54">
        <v>91147</v>
      </c>
      <c r="B126" s="55" t="s">
        <v>1506</v>
      </c>
      <c r="C126" s="106">
        <v>2.4199999999999999E-5</v>
      </c>
      <c r="D126" s="106">
        <v>2.1399999999999998E-5</v>
      </c>
      <c r="E126" s="56">
        <v>10370.969999999999</v>
      </c>
      <c r="F126" s="56">
        <v>9604</v>
      </c>
      <c r="G126" s="56">
        <v>51361</v>
      </c>
      <c r="H126" s="56"/>
      <c r="I126" s="57">
        <v>965</v>
      </c>
      <c r="J126" s="57">
        <v>45008</v>
      </c>
      <c r="K126" s="57">
        <v>3518</v>
      </c>
      <c r="L126" s="56">
        <v>10859</v>
      </c>
      <c r="M126" s="56"/>
      <c r="N126" s="57">
        <v>1800</v>
      </c>
      <c r="O126" s="57">
        <v>16612</v>
      </c>
      <c r="P126" s="57">
        <v>0</v>
      </c>
      <c r="Q126" s="56">
        <v>0</v>
      </c>
      <c r="R126" s="57">
        <f t="shared" si="1"/>
        <v>28396</v>
      </c>
      <c r="S126" s="56"/>
      <c r="T126" s="57">
        <v>13728</v>
      </c>
      <c r="U126" s="58">
        <v>3941</v>
      </c>
      <c r="V126" s="58">
        <v>17669</v>
      </c>
    </row>
    <row r="127" spans="1:22">
      <c r="A127" s="54">
        <v>91151</v>
      </c>
      <c r="B127" s="55" t="s">
        <v>1507</v>
      </c>
      <c r="C127" s="106">
        <v>6.1180000000000002E-4</v>
      </c>
      <c r="D127" s="106">
        <v>6.4479999999999995E-4</v>
      </c>
      <c r="E127" s="56">
        <v>222681.43</v>
      </c>
      <c r="F127" s="56">
        <v>289382</v>
      </c>
      <c r="G127" s="56">
        <v>1298445</v>
      </c>
      <c r="H127" s="56"/>
      <c r="I127" s="57">
        <v>24396</v>
      </c>
      <c r="J127" s="57">
        <v>1137851</v>
      </c>
      <c r="K127" s="57">
        <v>88932</v>
      </c>
      <c r="L127" s="56">
        <v>10702</v>
      </c>
      <c r="M127" s="56"/>
      <c r="N127" s="57">
        <v>45499</v>
      </c>
      <c r="O127" s="57">
        <v>419975</v>
      </c>
      <c r="P127" s="57">
        <v>0</v>
      </c>
      <c r="Q127" s="56">
        <v>50740</v>
      </c>
      <c r="R127" s="57">
        <f t="shared" si="1"/>
        <v>717876</v>
      </c>
      <c r="S127" s="56"/>
      <c r="T127" s="57">
        <v>347055</v>
      </c>
      <c r="U127" s="58">
        <v>-11759</v>
      </c>
      <c r="V127" s="58">
        <v>335296</v>
      </c>
    </row>
    <row r="128" spans="1:22">
      <c r="A128" s="54">
        <v>91154</v>
      </c>
      <c r="B128" s="55" t="s">
        <v>1508</v>
      </c>
      <c r="C128" s="106">
        <v>1.9599999999999999E-5</v>
      </c>
      <c r="D128" s="106">
        <v>1.59E-5</v>
      </c>
      <c r="E128" s="56">
        <v>8048.64</v>
      </c>
      <c r="F128" s="56">
        <v>7136</v>
      </c>
      <c r="G128" s="56">
        <v>41598</v>
      </c>
      <c r="H128" s="56"/>
      <c r="I128" s="57">
        <v>781.55</v>
      </c>
      <c r="J128" s="57">
        <v>36453</v>
      </c>
      <c r="K128" s="57">
        <v>2849</v>
      </c>
      <c r="L128" s="56">
        <v>5846</v>
      </c>
      <c r="M128" s="56"/>
      <c r="N128" s="57">
        <v>1458</v>
      </c>
      <c r="O128" s="57">
        <v>13455</v>
      </c>
      <c r="P128" s="57">
        <v>0</v>
      </c>
      <c r="Q128" s="56">
        <v>0</v>
      </c>
      <c r="R128" s="57">
        <f t="shared" si="1"/>
        <v>22998</v>
      </c>
      <c r="S128" s="56"/>
      <c r="T128" s="57">
        <v>11118</v>
      </c>
      <c r="U128" s="58">
        <v>2074</v>
      </c>
      <c r="V128" s="58">
        <v>13192</v>
      </c>
    </row>
    <row r="129" spans="1:22">
      <c r="A129" s="54">
        <v>91161</v>
      </c>
      <c r="B129" s="55" t="s">
        <v>1509</v>
      </c>
      <c r="C129" s="106">
        <v>9.4599999999999996E-5</v>
      </c>
      <c r="D129" s="106">
        <v>1.0670000000000001E-4</v>
      </c>
      <c r="E129" s="56">
        <v>44113.630000000005</v>
      </c>
      <c r="F129" s="56">
        <v>47886</v>
      </c>
      <c r="G129" s="56">
        <v>200773</v>
      </c>
      <c r="H129" s="56"/>
      <c r="I129" s="57">
        <v>3772</v>
      </c>
      <c r="J129" s="57">
        <v>175941</v>
      </c>
      <c r="K129" s="57">
        <v>13751</v>
      </c>
      <c r="L129" s="56">
        <v>7920</v>
      </c>
      <c r="M129" s="56"/>
      <c r="N129" s="57">
        <v>7035</v>
      </c>
      <c r="O129" s="57">
        <v>64939</v>
      </c>
      <c r="P129" s="57">
        <v>0</v>
      </c>
      <c r="Q129" s="56">
        <v>5006</v>
      </c>
      <c r="R129" s="57">
        <f t="shared" si="1"/>
        <v>111002</v>
      </c>
      <c r="S129" s="56"/>
      <c r="T129" s="57">
        <v>53664</v>
      </c>
      <c r="U129" s="58">
        <v>881</v>
      </c>
      <c r="V129" s="58">
        <v>54545</v>
      </c>
    </row>
    <row r="130" spans="1:22">
      <c r="A130" s="54">
        <v>91171</v>
      </c>
      <c r="B130" s="55" t="s">
        <v>1510</v>
      </c>
      <c r="C130" s="106">
        <v>2.5589999999999999E-4</v>
      </c>
      <c r="D130" s="106">
        <v>2.5240000000000001E-4</v>
      </c>
      <c r="E130" s="56">
        <v>90093.88</v>
      </c>
      <c r="F130" s="56">
        <v>113276</v>
      </c>
      <c r="G130" s="56">
        <v>543106</v>
      </c>
      <c r="H130" s="56"/>
      <c r="I130" s="57">
        <v>10204</v>
      </c>
      <c r="J130" s="57">
        <v>475934</v>
      </c>
      <c r="K130" s="57">
        <v>37198</v>
      </c>
      <c r="L130" s="56">
        <v>0</v>
      </c>
      <c r="M130" s="56"/>
      <c r="N130" s="57">
        <v>19031</v>
      </c>
      <c r="O130" s="57">
        <v>175665</v>
      </c>
      <c r="P130" s="57">
        <v>0</v>
      </c>
      <c r="Q130" s="56">
        <v>32510</v>
      </c>
      <c r="R130" s="57">
        <f t="shared" si="1"/>
        <v>300269</v>
      </c>
      <c r="S130" s="56"/>
      <c r="T130" s="57">
        <v>145164</v>
      </c>
      <c r="U130" s="58">
        <v>-12018</v>
      </c>
      <c r="V130" s="58">
        <v>133146</v>
      </c>
    </row>
    <row r="131" spans="1:22">
      <c r="A131" s="54">
        <v>91201</v>
      </c>
      <c r="B131" s="55" t="s">
        <v>1511</v>
      </c>
      <c r="C131" s="106">
        <v>2.3127999999999998E-3</v>
      </c>
      <c r="D131" s="106">
        <v>2.2309000000000001E-3</v>
      </c>
      <c r="E131" s="56">
        <v>868643.54000000015</v>
      </c>
      <c r="F131" s="56">
        <v>1001215</v>
      </c>
      <c r="G131" s="56">
        <v>4908536</v>
      </c>
      <c r="H131" s="56"/>
      <c r="I131" s="57">
        <v>92222.9</v>
      </c>
      <c r="J131" s="57">
        <v>4301443</v>
      </c>
      <c r="K131" s="57">
        <v>336191</v>
      </c>
      <c r="L131" s="56">
        <v>65448</v>
      </c>
      <c r="M131" s="56"/>
      <c r="N131" s="57">
        <v>172001</v>
      </c>
      <c r="O131" s="57">
        <v>1587640</v>
      </c>
      <c r="P131" s="57">
        <v>0</v>
      </c>
      <c r="Q131" s="56">
        <v>21142</v>
      </c>
      <c r="R131" s="57">
        <f t="shared" si="1"/>
        <v>2713803</v>
      </c>
      <c r="S131" s="56"/>
      <c r="T131" s="57">
        <v>1311980</v>
      </c>
      <c r="U131" s="58">
        <v>19623</v>
      </c>
      <c r="V131" s="58">
        <v>1331603</v>
      </c>
    </row>
    <row r="132" spans="1:22">
      <c r="A132" s="54">
        <v>91202</v>
      </c>
      <c r="B132" s="55" t="s">
        <v>1512</v>
      </c>
      <c r="C132" s="106">
        <v>1.897E-4</v>
      </c>
      <c r="D132" s="106">
        <v>1.7560000000000001E-4</v>
      </c>
      <c r="E132" s="56">
        <v>85259.9</v>
      </c>
      <c r="F132" s="56">
        <v>78808</v>
      </c>
      <c r="G132" s="56">
        <v>402607</v>
      </c>
      <c r="H132" s="56"/>
      <c r="I132" s="57">
        <v>7564</v>
      </c>
      <c r="J132" s="57">
        <v>352812</v>
      </c>
      <c r="K132" s="57">
        <v>27575</v>
      </c>
      <c r="L132" s="56">
        <v>29505</v>
      </c>
      <c r="M132" s="56"/>
      <c r="N132" s="57">
        <v>14108</v>
      </c>
      <c r="O132" s="57">
        <v>130221</v>
      </c>
      <c r="P132" s="57">
        <v>0</v>
      </c>
      <c r="Q132" s="56">
        <v>0</v>
      </c>
      <c r="R132" s="57">
        <f t="shared" si="1"/>
        <v>222591</v>
      </c>
      <c r="S132" s="56"/>
      <c r="T132" s="57">
        <v>107611</v>
      </c>
      <c r="U132" s="58">
        <v>10216</v>
      </c>
      <c r="V132" s="58">
        <v>117827</v>
      </c>
    </row>
    <row r="133" spans="1:22">
      <c r="A133" s="54">
        <v>91203</v>
      </c>
      <c r="B133" s="55" t="s">
        <v>1513</v>
      </c>
      <c r="C133" s="106">
        <v>2.4479999999999999E-4</v>
      </c>
      <c r="D133" s="106">
        <v>2.4909999999999998E-4</v>
      </c>
      <c r="E133" s="56">
        <v>123805.24999999999</v>
      </c>
      <c r="F133" s="56">
        <v>111795</v>
      </c>
      <c r="G133" s="56">
        <v>519548</v>
      </c>
      <c r="H133" s="56"/>
      <c r="I133" s="57">
        <v>9761.4</v>
      </c>
      <c r="J133" s="57">
        <v>455289</v>
      </c>
      <c r="K133" s="57">
        <v>35584</v>
      </c>
      <c r="L133" s="56">
        <v>32505</v>
      </c>
      <c r="M133" s="56"/>
      <c r="N133" s="57">
        <v>18206</v>
      </c>
      <c r="O133" s="57">
        <v>168045</v>
      </c>
      <c r="P133" s="57">
        <v>0</v>
      </c>
      <c r="Q133" s="56">
        <v>0</v>
      </c>
      <c r="R133" s="57">
        <f t="shared" si="1"/>
        <v>287244</v>
      </c>
      <c r="S133" s="56"/>
      <c r="T133" s="57">
        <v>138867</v>
      </c>
      <c r="U133" s="58">
        <v>11460</v>
      </c>
      <c r="V133" s="58">
        <v>150327</v>
      </c>
    </row>
    <row r="134" spans="1:22">
      <c r="A134" s="54">
        <v>91206</v>
      </c>
      <c r="B134" s="55" t="s">
        <v>1514</v>
      </c>
      <c r="C134" s="106">
        <v>8.2129999999999996E-4</v>
      </c>
      <c r="D134" s="106">
        <v>8.1959999999999997E-4</v>
      </c>
      <c r="E134" s="56">
        <v>334673.01</v>
      </c>
      <c r="F134" s="56">
        <v>367832</v>
      </c>
      <c r="G134" s="56">
        <v>1743074</v>
      </c>
      <c r="H134" s="56"/>
      <c r="I134" s="57">
        <v>32749</v>
      </c>
      <c r="J134" s="57">
        <v>1527488</v>
      </c>
      <c r="K134" s="57">
        <v>119385</v>
      </c>
      <c r="L134" s="56">
        <v>21519</v>
      </c>
      <c r="M134" s="56"/>
      <c r="N134" s="57">
        <v>61079</v>
      </c>
      <c r="O134" s="57">
        <v>563788</v>
      </c>
      <c r="P134" s="57">
        <v>0</v>
      </c>
      <c r="Q134" s="56">
        <v>1526</v>
      </c>
      <c r="R134" s="57">
        <f t="shared" si="1"/>
        <v>963700</v>
      </c>
      <c r="S134" s="56"/>
      <c r="T134" s="57">
        <v>465898</v>
      </c>
      <c r="U134" s="58">
        <v>10203</v>
      </c>
      <c r="V134" s="58">
        <v>476101</v>
      </c>
    </row>
    <row r="135" spans="1:22">
      <c r="A135" s="54">
        <v>91208</v>
      </c>
      <c r="B135" s="55" t="s">
        <v>1515</v>
      </c>
      <c r="C135" s="106">
        <v>1.3699999999999999E-5</v>
      </c>
      <c r="D135" s="106">
        <v>1.2999999999999999E-5</v>
      </c>
      <c r="E135" s="56">
        <v>5593.1099999999988</v>
      </c>
      <c r="F135" s="56">
        <v>5834</v>
      </c>
      <c r="G135" s="56">
        <v>29076</v>
      </c>
      <c r="H135" s="56"/>
      <c r="I135" s="57">
        <v>546.28750000000002</v>
      </c>
      <c r="J135" s="57">
        <v>25480</v>
      </c>
      <c r="K135" s="57">
        <v>1991</v>
      </c>
      <c r="L135" s="56">
        <v>7123</v>
      </c>
      <c r="M135" s="56"/>
      <c r="N135" s="57">
        <v>1019</v>
      </c>
      <c r="O135" s="57">
        <v>9404</v>
      </c>
      <c r="P135" s="57">
        <v>0</v>
      </c>
      <c r="Q135" s="56">
        <v>0</v>
      </c>
      <c r="R135" s="57">
        <f t="shared" ref="R135:R198" si="2">IF(J135&gt;O135,J135-O135,O135-J135)</f>
        <v>16076</v>
      </c>
      <c r="S135" s="56"/>
      <c r="T135" s="57">
        <v>7772</v>
      </c>
      <c r="U135" s="58">
        <v>3401</v>
      </c>
      <c r="V135" s="58">
        <v>11172</v>
      </c>
    </row>
    <row r="136" spans="1:22">
      <c r="A136" s="54">
        <v>91211</v>
      </c>
      <c r="B136" s="55" t="s">
        <v>1516</v>
      </c>
      <c r="C136" s="106">
        <v>4.6789999999999999E-4</v>
      </c>
      <c r="D136" s="106">
        <v>4.6260000000000002E-4</v>
      </c>
      <c r="E136" s="56">
        <v>192012.00000000003</v>
      </c>
      <c r="F136" s="56">
        <v>207612</v>
      </c>
      <c r="G136" s="56">
        <v>993041</v>
      </c>
      <c r="H136" s="56"/>
      <c r="I136" s="57">
        <v>18658</v>
      </c>
      <c r="J136" s="57">
        <v>870220</v>
      </c>
      <c r="K136" s="57">
        <v>68014</v>
      </c>
      <c r="L136" s="56">
        <v>5989</v>
      </c>
      <c r="M136" s="56"/>
      <c r="N136" s="57">
        <v>34797</v>
      </c>
      <c r="O136" s="57">
        <v>321194</v>
      </c>
      <c r="P136" s="57">
        <v>0</v>
      </c>
      <c r="Q136" s="56">
        <v>5137</v>
      </c>
      <c r="R136" s="57">
        <f t="shared" si="2"/>
        <v>549026</v>
      </c>
      <c r="S136" s="56"/>
      <c r="T136" s="57">
        <v>265425</v>
      </c>
      <c r="U136" s="58">
        <v>568</v>
      </c>
      <c r="V136" s="58">
        <v>265993</v>
      </c>
    </row>
    <row r="137" spans="1:22">
      <c r="A137" s="54">
        <v>91213</v>
      </c>
      <c r="B137" s="55" t="s">
        <v>1517</v>
      </c>
      <c r="C137" s="106">
        <v>3.57E-5</v>
      </c>
      <c r="D137" s="106">
        <v>3.5500000000000002E-5</v>
      </c>
      <c r="E137" s="56">
        <v>11312.460000000003</v>
      </c>
      <c r="F137" s="56">
        <v>15932</v>
      </c>
      <c r="G137" s="56">
        <v>75767</v>
      </c>
      <c r="H137" s="56"/>
      <c r="I137" s="57">
        <v>1424</v>
      </c>
      <c r="J137" s="57">
        <v>66396</v>
      </c>
      <c r="K137" s="57">
        <v>5189</v>
      </c>
      <c r="L137" s="56">
        <v>0</v>
      </c>
      <c r="M137" s="56"/>
      <c r="N137" s="57">
        <v>2655</v>
      </c>
      <c r="O137" s="57">
        <v>24507</v>
      </c>
      <c r="P137" s="57">
        <v>0</v>
      </c>
      <c r="Q137" s="56">
        <v>4828</v>
      </c>
      <c r="R137" s="57">
        <f t="shared" si="2"/>
        <v>41889</v>
      </c>
      <c r="S137" s="56"/>
      <c r="T137" s="57">
        <v>20252</v>
      </c>
      <c r="U137" s="58">
        <v>-1558</v>
      </c>
      <c r="V137" s="58">
        <v>18694</v>
      </c>
    </row>
    <row r="138" spans="1:22">
      <c r="A138" s="54">
        <v>91214</v>
      </c>
      <c r="B138" s="55" t="s">
        <v>1518</v>
      </c>
      <c r="C138" s="106">
        <v>2.8200000000000001E-5</v>
      </c>
      <c r="D138" s="106">
        <v>2.6800000000000001E-5</v>
      </c>
      <c r="E138" s="56">
        <v>8296.9500000000007</v>
      </c>
      <c r="F138" s="56">
        <v>12028</v>
      </c>
      <c r="G138" s="56">
        <v>59850</v>
      </c>
      <c r="H138" s="56"/>
      <c r="I138" s="57">
        <v>1124</v>
      </c>
      <c r="J138" s="57">
        <v>52448</v>
      </c>
      <c r="K138" s="57">
        <v>4099</v>
      </c>
      <c r="L138" s="56">
        <v>2071</v>
      </c>
      <c r="M138" s="56"/>
      <c r="N138" s="57">
        <v>2097</v>
      </c>
      <c r="O138" s="57">
        <v>19358</v>
      </c>
      <c r="P138" s="57">
        <v>0</v>
      </c>
      <c r="Q138" s="56">
        <v>1863</v>
      </c>
      <c r="R138" s="57">
        <f t="shared" si="2"/>
        <v>33090</v>
      </c>
      <c r="S138" s="56"/>
      <c r="T138" s="57">
        <v>15997</v>
      </c>
      <c r="U138" s="58">
        <v>289</v>
      </c>
      <c r="V138" s="58">
        <v>16286</v>
      </c>
    </row>
    <row r="139" spans="1:22">
      <c r="A139" s="54">
        <v>91217</v>
      </c>
      <c r="B139" s="55" t="s">
        <v>1519</v>
      </c>
      <c r="C139" s="106">
        <v>2.6699999999999998E-5</v>
      </c>
      <c r="D139" s="106">
        <v>1.8700000000000001E-5</v>
      </c>
      <c r="E139" s="56">
        <v>15053.92</v>
      </c>
      <c r="F139" s="56">
        <v>8392</v>
      </c>
      <c r="G139" s="56">
        <v>56666</v>
      </c>
      <c r="H139" s="56"/>
      <c r="I139" s="57">
        <v>1065</v>
      </c>
      <c r="J139" s="57">
        <v>49658</v>
      </c>
      <c r="K139" s="57">
        <v>3881</v>
      </c>
      <c r="L139" s="56">
        <v>11622</v>
      </c>
      <c r="M139" s="56"/>
      <c r="N139" s="57">
        <v>1986</v>
      </c>
      <c r="O139" s="57">
        <v>18328</v>
      </c>
      <c r="P139" s="57">
        <v>0</v>
      </c>
      <c r="Q139" s="56">
        <v>0</v>
      </c>
      <c r="R139" s="57">
        <f t="shared" si="2"/>
        <v>31330</v>
      </c>
      <c r="S139" s="56"/>
      <c r="T139" s="57">
        <v>15146</v>
      </c>
      <c r="U139" s="58">
        <v>3617</v>
      </c>
      <c r="V139" s="58">
        <v>18763</v>
      </c>
    </row>
    <row r="140" spans="1:22">
      <c r="A140" s="54">
        <v>91221</v>
      </c>
      <c r="B140" s="55" t="s">
        <v>1520</v>
      </c>
      <c r="C140" s="106">
        <v>1.294E-4</v>
      </c>
      <c r="D140" s="106">
        <v>1.404E-4</v>
      </c>
      <c r="E140" s="56">
        <v>50416</v>
      </c>
      <c r="F140" s="56">
        <v>63011</v>
      </c>
      <c r="G140" s="56">
        <v>274630</v>
      </c>
      <c r="H140" s="56"/>
      <c r="I140" s="57">
        <v>5160</v>
      </c>
      <c r="J140" s="57">
        <v>240664</v>
      </c>
      <c r="K140" s="57">
        <v>18810</v>
      </c>
      <c r="L140" s="56">
        <v>7496</v>
      </c>
      <c r="M140" s="56"/>
      <c r="N140" s="57">
        <v>9623</v>
      </c>
      <c r="O140" s="57">
        <v>88828</v>
      </c>
      <c r="P140" s="57">
        <v>0</v>
      </c>
      <c r="Q140" s="56">
        <v>9810</v>
      </c>
      <c r="R140" s="57">
        <f t="shared" si="2"/>
        <v>151836</v>
      </c>
      <c r="S140" s="56"/>
      <c r="T140" s="57">
        <v>73405</v>
      </c>
      <c r="U140" s="58">
        <v>1070</v>
      </c>
      <c r="V140" s="58">
        <v>74475</v>
      </c>
    </row>
    <row r="141" spans="1:22">
      <c r="A141" s="54">
        <v>91231</v>
      </c>
      <c r="B141" s="55" t="s">
        <v>1521</v>
      </c>
      <c r="C141" s="106">
        <v>1.9957E-3</v>
      </c>
      <c r="D141" s="106">
        <v>2.0203999999999999E-3</v>
      </c>
      <c r="E141" s="56">
        <v>763104.33</v>
      </c>
      <c r="F141" s="56">
        <v>906743</v>
      </c>
      <c r="G141" s="56">
        <v>4235544</v>
      </c>
      <c r="H141" s="56"/>
      <c r="I141" s="57">
        <v>79579</v>
      </c>
      <c r="J141" s="57">
        <v>3711687</v>
      </c>
      <c r="K141" s="57">
        <v>290097</v>
      </c>
      <c r="L141" s="56">
        <v>21281.06</v>
      </c>
      <c r="M141" s="56"/>
      <c r="N141" s="57">
        <v>148418</v>
      </c>
      <c r="O141" s="57">
        <v>1369964</v>
      </c>
      <c r="P141" s="57">
        <v>0</v>
      </c>
      <c r="Q141" s="56">
        <v>85796</v>
      </c>
      <c r="R141" s="57">
        <f t="shared" si="2"/>
        <v>2341723</v>
      </c>
      <c r="S141" s="56"/>
      <c r="T141" s="57">
        <v>1132099</v>
      </c>
      <c r="U141" s="58">
        <v>-14080</v>
      </c>
      <c r="V141" s="58">
        <v>1118019</v>
      </c>
    </row>
    <row r="142" spans="1:22">
      <c r="A142" s="54">
        <v>91233</v>
      </c>
      <c r="B142" s="55" t="s">
        <v>1522</v>
      </c>
      <c r="C142" s="106">
        <v>4.5599999999999997E-5</v>
      </c>
      <c r="D142" s="106">
        <v>4.3399999999999998E-5</v>
      </c>
      <c r="E142" s="56">
        <v>17052.530000000002</v>
      </c>
      <c r="F142" s="56">
        <v>19478</v>
      </c>
      <c r="G142" s="56">
        <v>96778</v>
      </c>
      <c r="H142" s="56"/>
      <c r="I142" s="57">
        <v>1818.3</v>
      </c>
      <c r="J142" s="57">
        <v>84809</v>
      </c>
      <c r="K142" s="57">
        <v>6628</v>
      </c>
      <c r="L142" s="56">
        <v>8243</v>
      </c>
      <c r="M142" s="56"/>
      <c r="N142" s="57">
        <v>3391</v>
      </c>
      <c r="O142" s="57">
        <v>31302</v>
      </c>
      <c r="P142" s="57">
        <v>0</v>
      </c>
      <c r="Q142" s="56">
        <v>159</v>
      </c>
      <c r="R142" s="57">
        <f t="shared" si="2"/>
        <v>53507</v>
      </c>
      <c r="S142" s="56"/>
      <c r="T142" s="57">
        <v>25867</v>
      </c>
      <c r="U142" s="58">
        <v>3163</v>
      </c>
      <c r="V142" s="58">
        <v>29031</v>
      </c>
    </row>
    <row r="143" spans="1:22">
      <c r="A143" s="54">
        <v>91241</v>
      </c>
      <c r="B143" s="55" t="s">
        <v>1523</v>
      </c>
      <c r="C143" s="106">
        <v>3.68E-5</v>
      </c>
      <c r="D143" s="106">
        <v>4.0800000000000002E-5</v>
      </c>
      <c r="E143" s="56">
        <v>13967.480000000001</v>
      </c>
      <c r="F143" s="56">
        <v>18311</v>
      </c>
      <c r="G143" s="56">
        <v>78102</v>
      </c>
      <c r="H143" s="56"/>
      <c r="I143" s="57">
        <v>1467.4</v>
      </c>
      <c r="J143" s="57">
        <v>68442</v>
      </c>
      <c r="K143" s="57">
        <v>5349</v>
      </c>
      <c r="L143" s="56">
        <v>0</v>
      </c>
      <c r="M143" s="56"/>
      <c r="N143" s="57">
        <v>2737</v>
      </c>
      <c r="O143" s="57">
        <v>25262</v>
      </c>
      <c r="P143" s="57">
        <v>0</v>
      </c>
      <c r="Q143" s="56">
        <v>6784</v>
      </c>
      <c r="R143" s="57">
        <f t="shared" si="2"/>
        <v>43180</v>
      </c>
      <c r="S143" s="56"/>
      <c r="T143" s="57">
        <v>20875</v>
      </c>
      <c r="U143" s="58">
        <v>-2529</v>
      </c>
      <c r="V143" s="58">
        <v>18346</v>
      </c>
    </row>
    <row r="144" spans="1:22">
      <c r="A144" s="54">
        <v>91251</v>
      </c>
      <c r="B144" s="55" t="s">
        <v>1524</v>
      </c>
      <c r="C144" s="106">
        <v>2.65E-5</v>
      </c>
      <c r="D144" s="106">
        <v>2.6699999999999998E-5</v>
      </c>
      <c r="E144" s="56">
        <v>9988.5700000000015</v>
      </c>
      <c r="F144" s="56">
        <v>11983</v>
      </c>
      <c r="G144" s="56">
        <v>56242</v>
      </c>
      <c r="H144" s="56"/>
      <c r="I144" s="57">
        <v>1056.6875</v>
      </c>
      <c r="J144" s="57">
        <v>49286</v>
      </c>
      <c r="K144" s="57">
        <v>3852</v>
      </c>
      <c r="L144" s="56">
        <v>4706</v>
      </c>
      <c r="M144" s="56"/>
      <c r="N144" s="57">
        <v>1971</v>
      </c>
      <c r="O144" s="57">
        <v>18191</v>
      </c>
      <c r="P144" s="57">
        <v>0</v>
      </c>
      <c r="Q144" s="56">
        <v>1236</v>
      </c>
      <c r="R144" s="57">
        <f t="shared" si="2"/>
        <v>31095</v>
      </c>
      <c r="S144" s="56"/>
      <c r="T144" s="57">
        <v>15033</v>
      </c>
      <c r="U144" s="58">
        <v>2006</v>
      </c>
      <c r="V144" s="58">
        <v>17039</v>
      </c>
    </row>
    <row r="145" spans="1:22">
      <c r="A145" s="54">
        <v>91261</v>
      </c>
      <c r="B145" s="55" t="s">
        <v>1525</v>
      </c>
      <c r="C145" s="106">
        <v>9.5000000000000005E-6</v>
      </c>
      <c r="D145" s="106">
        <v>8.8000000000000004E-6</v>
      </c>
      <c r="E145" s="56">
        <v>4130.1899999999996</v>
      </c>
      <c r="F145" s="56">
        <v>3949</v>
      </c>
      <c r="G145" s="56">
        <v>20162</v>
      </c>
      <c r="H145" s="56"/>
      <c r="I145" s="57">
        <v>378.8125</v>
      </c>
      <c r="J145" s="57">
        <v>17668</v>
      </c>
      <c r="K145" s="57">
        <v>1381</v>
      </c>
      <c r="L145" s="56">
        <v>2027</v>
      </c>
      <c r="M145" s="56"/>
      <c r="N145" s="57">
        <v>707</v>
      </c>
      <c r="O145" s="57">
        <v>6521</v>
      </c>
      <c r="P145" s="57">
        <v>0</v>
      </c>
      <c r="Q145" s="56">
        <v>0</v>
      </c>
      <c r="R145" s="57">
        <f t="shared" si="2"/>
        <v>11147</v>
      </c>
      <c r="S145" s="56"/>
      <c r="T145" s="57">
        <v>5389</v>
      </c>
      <c r="U145" s="58">
        <v>729</v>
      </c>
      <c r="V145" s="58">
        <v>6118</v>
      </c>
    </row>
    <row r="146" spans="1:22">
      <c r="A146" s="59">
        <v>91301</v>
      </c>
      <c r="B146" s="55" t="s">
        <v>1526</v>
      </c>
      <c r="C146" s="106">
        <v>7.7765000000000004E-3</v>
      </c>
      <c r="D146" s="106">
        <v>7.2360999999999997E-3</v>
      </c>
      <c r="E146" s="56">
        <v>2863288.1999999997</v>
      </c>
      <c r="F146" s="56">
        <v>3247518</v>
      </c>
      <c r="G146" s="56">
        <v>16504338</v>
      </c>
      <c r="H146" s="56"/>
      <c r="I146" s="57">
        <v>310088</v>
      </c>
      <c r="J146" s="57">
        <v>14463061</v>
      </c>
      <c r="K146" s="57">
        <v>1130400</v>
      </c>
      <c r="L146" s="56">
        <v>26878</v>
      </c>
      <c r="M146" s="56"/>
      <c r="N146" s="57">
        <v>578331</v>
      </c>
      <c r="O146" s="57">
        <v>5338241</v>
      </c>
      <c r="P146" s="57">
        <v>0</v>
      </c>
      <c r="Q146" s="56">
        <v>184573</v>
      </c>
      <c r="R146" s="57">
        <f t="shared" si="2"/>
        <v>9124820</v>
      </c>
      <c r="S146" s="56"/>
      <c r="T146" s="57">
        <v>4411367</v>
      </c>
      <c r="U146" s="58">
        <v>-64544</v>
      </c>
      <c r="V146" s="58">
        <v>4346824</v>
      </c>
    </row>
    <row r="147" spans="1:22">
      <c r="A147" s="59">
        <v>91302</v>
      </c>
      <c r="B147" s="55" t="s">
        <v>2288</v>
      </c>
      <c r="C147" s="106">
        <v>5.9190000000000002E-4</v>
      </c>
      <c r="D147" s="106">
        <v>5.8169999999999999E-4</v>
      </c>
      <c r="E147" s="56">
        <v>242052.32</v>
      </c>
      <c r="F147" s="56">
        <v>261063</v>
      </c>
      <c r="G147" s="56">
        <v>1256210</v>
      </c>
      <c r="H147" s="56"/>
      <c r="I147" s="57">
        <v>23602</v>
      </c>
      <c r="J147" s="57">
        <v>1100840</v>
      </c>
      <c r="K147" s="57">
        <v>86039</v>
      </c>
      <c r="L147" s="56">
        <v>53000</v>
      </c>
      <c r="M147" s="56"/>
      <c r="N147" s="57">
        <v>44019</v>
      </c>
      <c r="O147" s="57">
        <v>406314</v>
      </c>
      <c r="P147" s="57">
        <v>0</v>
      </c>
      <c r="Q147" s="56">
        <v>0</v>
      </c>
      <c r="R147" s="57">
        <f t="shared" si="2"/>
        <v>694526</v>
      </c>
      <c r="S147" s="56"/>
      <c r="T147" s="57">
        <v>335767</v>
      </c>
      <c r="U147" s="58">
        <v>20102</v>
      </c>
      <c r="V147" s="58">
        <v>355869</v>
      </c>
    </row>
    <row r="148" spans="1:22">
      <c r="A148" s="59">
        <v>91306</v>
      </c>
      <c r="B148" s="55" t="s">
        <v>1528</v>
      </c>
      <c r="C148" s="106">
        <v>1.6676E-3</v>
      </c>
      <c r="D148" s="106">
        <v>1.5539E-3</v>
      </c>
      <c r="E148" s="56">
        <v>693270.79999999993</v>
      </c>
      <c r="F148" s="56">
        <v>697381</v>
      </c>
      <c r="G148" s="56">
        <v>3539206</v>
      </c>
      <c r="H148" s="56"/>
      <c r="I148" s="57">
        <v>66495.55</v>
      </c>
      <c r="J148" s="57">
        <v>3101473</v>
      </c>
      <c r="K148" s="57">
        <v>242404</v>
      </c>
      <c r="L148" s="56">
        <v>174697</v>
      </c>
      <c r="M148" s="56"/>
      <c r="N148" s="57">
        <v>124018</v>
      </c>
      <c r="O148" s="57">
        <v>1144737</v>
      </c>
      <c r="P148" s="57">
        <v>0</v>
      </c>
      <c r="Q148" s="56">
        <v>0</v>
      </c>
      <c r="R148" s="57">
        <f t="shared" si="2"/>
        <v>1956736</v>
      </c>
      <c r="S148" s="56"/>
      <c r="T148" s="57">
        <v>945978</v>
      </c>
      <c r="U148" s="58">
        <v>60990</v>
      </c>
      <c r="V148" s="58">
        <v>1006968</v>
      </c>
    </row>
    <row r="149" spans="1:22">
      <c r="A149" s="54">
        <v>91308</v>
      </c>
      <c r="B149" s="55" t="s">
        <v>1529</v>
      </c>
      <c r="C149" s="106">
        <v>2.05E-4</v>
      </c>
      <c r="D149" s="106">
        <v>1.8650000000000001E-4</v>
      </c>
      <c r="E149" s="56">
        <v>71992.33</v>
      </c>
      <c r="F149" s="56">
        <v>83700</v>
      </c>
      <c r="G149" s="56">
        <v>435079</v>
      </c>
      <c r="H149" s="56"/>
      <c r="I149" s="57">
        <v>8174.375</v>
      </c>
      <c r="J149" s="57">
        <v>381267.61</v>
      </c>
      <c r="K149" s="57">
        <v>29799</v>
      </c>
      <c r="L149" s="56">
        <v>4790</v>
      </c>
      <c r="M149" s="56"/>
      <c r="N149" s="57">
        <v>15246</v>
      </c>
      <c r="O149" s="57">
        <v>140724</v>
      </c>
      <c r="P149" s="57">
        <v>0</v>
      </c>
      <c r="Q149" s="56">
        <v>3858</v>
      </c>
      <c r="R149" s="57">
        <f t="shared" si="2"/>
        <v>240543.61</v>
      </c>
      <c r="S149" s="56"/>
      <c r="T149" s="57">
        <v>116290</v>
      </c>
      <c r="U149" s="58">
        <v>980</v>
      </c>
      <c r="V149" s="58">
        <v>117270</v>
      </c>
    </row>
    <row r="150" spans="1:22">
      <c r="A150" s="54">
        <v>91311</v>
      </c>
      <c r="B150" s="55" t="s">
        <v>1530</v>
      </c>
      <c r="C150" s="106">
        <v>7.6649999999999999E-3</v>
      </c>
      <c r="D150" s="106">
        <v>7.9313999999999999E-3</v>
      </c>
      <c r="E150" s="56">
        <v>2915494.2899999996</v>
      </c>
      <c r="F150" s="56">
        <v>3559565</v>
      </c>
      <c r="G150" s="56">
        <v>16267698</v>
      </c>
      <c r="H150" s="56"/>
      <c r="I150" s="57">
        <v>305642</v>
      </c>
      <c r="J150" s="57">
        <v>14255689</v>
      </c>
      <c r="K150" s="57">
        <v>1114192</v>
      </c>
      <c r="L150" s="56">
        <v>121391</v>
      </c>
      <c r="M150" s="56"/>
      <c r="N150" s="57">
        <v>570038</v>
      </c>
      <c r="O150" s="57">
        <v>5261700.57</v>
      </c>
      <c r="P150" s="57">
        <v>0</v>
      </c>
      <c r="Q150" s="56">
        <v>535505</v>
      </c>
      <c r="R150" s="57">
        <f t="shared" si="2"/>
        <v>8993988.4299999997</v>
      </c>
      <c r="S150" s="56"/>
      <c r="T150" s="57">
        <v>4348117</v>
      </c>
      <c r="U150" s="58">
        <v>-145156</v>
      </c>
      <c r="V150" s="58">
        <v>4202961</v>
      </c>
    </row>
    <row r="151" spans="1:22">
      <c r="A151" s="54">
        <v>91317</v>
      </c>
      <c r="B151" s="55" t="s">
        <v>1531</v>
      </c>
      <c r="C151" s="106">
        <v>9.0500000000000004E-5</v>
      </c>
      <c r="D151" s="106">
        <v>9.59E-5</v>
      </c>
      <c r="E151" s="56">
        <v>39328.85</v>
      </c>
      <c r="F151" s="56">
        <v>43039</v>
      </c>
      <c r="G151" s="56">
        <v>192071</v>
      </c>
      <c r="H151" s="56"/>
      <c r="I151" s="57">
        <v>3608.6875</v>
      </c>
      <c r="J151" s="57">
        <v>168316</v>
      </c>
      <c r="K151" s="57">
        <v>13155</v>
      </c>
      <c r="L151" s="56">
        <v>3623</v>
      </c>
      <c r="M151" s="56"/>
      <c r="N151" s="57">
        <v>6730</v>
      </c>
      <c r="O151" s="57">
        <v>62124</v>
      </c>
      <c r="P151" s="57">
        <v>0</v>
      </c>
      <c r="Q151" s="56">
        <v>2926</v>
      </c>
      <c r="R151" s="57">
        <f t="shared" si="2"/>
        <v>106192</v>
      </c>
      <c r="S151" s="56"/>
      <c r="T151" s="57">
        <v>51338</v>
      </c>
      <c r="U151" s="58">
        <v>118</v>
      </c>
      <c r="V151" s="58">
        <v>51456</v>
      </c>
    </row>
    <row r="152" spans="1:22">
      <c r="A152" s="54">
        <v>91321</v>
      </c>
      <c r="B152" s="55" t="s">
        <v>1532</v>
      </c>
      <c r="C152" s="106">
        <v>4.1999999999999998E-5</v>
      </c>
      <c r="D152" s="106">
        <v>3.1999999999999999E-5</v>
      </c>
      <c r="E152" s="56">
        <v>17122.889999999996</v>
      </c>
      <c r="F152" s="56">
        <v>14361</v>
      </c>
      <c r="G152" s="56">
        <v>89138</v>
      </c>
      <c r="H152" s="56"/>
      <c r="I152" s="57">
        <v>1674.75</v>
      </c>
      <c r="J152" s="57">
        <v>78113</v>
      </c>
      <c r="K152" s="57">
        <v>6105</v>
      </c>
      <c r="L152" s="56">
        <v>6260</v>
      </c>
      <c r="M152" s="56"/>
      <c r="N152" s="57">
        <v>3123</v>
      </c>
      <c r="O152" s="57">
        <v>28831</v>
      </c>
      <c r="P152" s="57">
        <v>0</v>
      </c>
      <c r="Q152" s="56">
        <v>5826</v>
      </c>
      <c r="R152" s="57">
        <f t="shared" si="2"/>
        <v>49282</v>
      </c>
      <c r="S152" s="56"/>
      <c r="T152" s="57">
        <v>23825</v>
      </c>
      <c r="U152" s="58">
        <v>-210</v>
      </c>
      <c r="V152" s="58">
        <v>23615</v>
      </c>
    </row>
    <row r="153" spans="1:22">
      <c r="A153" s="54">
        <v>91327</v>
      </c>
      <c r="B153" s="55" t="s">
        <v>1533</v>
      </c>
      <c r="C153" s="106">
        <v>1.03E-5</v>
      </c>
      <c r="D153" s="106">
        <v>1.13E-5</v>
      </c>
      <c r="E153" s="56">
        <v>4111.5200000000004</v>
      </c>
      <c r="F153" s="56">
        <v>5071</v>
      </c>
      <c r="G153" s="56">
        <v>21860</v>
      </c>
      <c r="H153" s="56"/>
      <c r="I153" s="57">
        <v>410.71249999999998</v>
      </c>
      <c r="J153" s="57">
        <v>19156</v>
      </c>
      <c r="K153" s="57">
        <v>1497</v>
      </c>
      <c r="L153" s="56">
        <v>72</v>
      </c>
      <c r="M153" s="56"/>
      <c r="N153" s="57">
        <v>766</v>
      </c>
      <c r="O153" s="57">
        <v>7071</v>
      </c>
      <c r="P153" s="57">
        <v>0</v>
      </c>
      <c r="Q153" s="56">
        <v>1050</v>
      </c>
      <c r="R153" s="57">
        <f t="shared" si="2"/>
        <v>12085</v>
      </c>
      <c r="S153" s="56"/>
      <c r="T153" s="57">
        <v>5843</v>
      </c>
      <c r="U153" s="58">
        <v>-275</v>
      </c>
      <c r="V153" s="58">
        <v>5568</v>
      </c>
    </row>
    <row r="154" spans="1:22">
      <c r="A154" s="54">
        <v>91331</v>
      </c>
      <c r="B154" s="55" t="s">
        <v>1534</v>
      </c>
      <c r="C154" s="106">
        <v>2.8509999999999998E-3</v>
      </c>
      <c r="D154" s="106">
        <v>3.0317E-3</v>
      </c>
      <c r="E154" s="56">
        <v>1040695.76</v>
      </c>
      <c r="F154" s="56">
        <v>1360609</v>
      </c>
      <c r="G154" s="56">
        <v>6050777</v>
      </c>
      <c r="H154" s="56"/>
      <c r="I154" s="57">
        <v>113684</v>
      </c>
      <c r="J154" s="57">
        <v>5302410</v>
      </c>
      <c r="K154" s="57">
        <v>414424</v>
      </c>
      <c r="L154" s="56">
        <v>0</v>
      </c>
      <c r="M154" s="56"/>
      <c r="N154" s="57">
        <v>212026</v>
      </c>
      <c r="O154" s="57">
        <v>1957092</v>
      </c>
      <c r="P154" s="57">
        <v>0</v>
      </c>
      <c r="Q154" s="56">
        <v>459221</v>
      </c>
      <c r="R154" s="57">
        <f t="shared" si="2"/>
        <v>3345318</v>
      </c>
      <c r="S154" s="56"/>
      <c r="T154" s="57">
        <v>1617284</v>
      </c>
      <c r="U154" s="58">
        <v>-164462</v>
      </c>
      <c r="V154" s="58">
        <v>1452822</v>
      </c>
    </row>
    <row r="155" spans="1:22">
      <c r="A155" s="54">
        <v>91341</v>
      </c>
      <c r="B155" s="55" t="s">
        <v>1535</v>
      </c>
      <c r="C155" s="106">
        <v>1.4399999999999999E-5</v>
      </c>
      <c r="D155" s="106">
        <v>2.1299999999999999E-5</v>
      </c>
      <c r="E155" s="56">
        <v>7639.09</v>
      </c>
      <c r="F155" s="56">
        <v>9559</v>
      </c>
      <c r="G155" s="56">
        <v>30562</v>
      </c>
      <c r="H155" s="56"/>
      <c r="I155" s="57">
        <v>574</v>
      </c>
      <c r="J155" s="57">
        <v>26782</v>
      </c>
      <c r="K155" s="57">
        <v>2093</v>
      </c>
      <c r="L155" s="56">
        <v>514</v>
      </c>
      <c r="M155" s="56"/>
      <c r="N155" s="57">
        <v>1071</v>
      </c>
      <c r="O155" s="57">
        <v>9885</v>
      </c>
      <c r="P155" s="57">
        <v>0</v>
      </c>
      <c r="Q155" s="56">
        <v>2374</v>
      </c>
      <c r="R155" s="57">
        <f t="shared" si="2"/>
        <v>16897</v>
      </c>
      <c r="S155" s="56"/>
      <c r="T155" s="57">
        <v>8169</v>
      </c>
      <c r="U155" s="58">
        <v>-382</v>
      </c>
      <c r="V155" s="58">
        <v>7786</v>
      </c>
    </row>
    <row r="156" spans="1:22">
      <c r="A156" s="54">
        <v>91401</v>
      </c>
      <c r="B156" s="55" t="s">
        <v>1536</v>
      </c>
      <c r="C156" s="106">
        <v>3.6841E-3</v>
      </c>
      <c r="D156" s="106">
        <v>3.5414999999999999E-3</v>
      </c>
      <c r="E156" s="56">
        <v>1403464.74</v>
      </c>
      <c r="F156" s="56">
        <v>1589404</v>
      </c>
      <c r="G156" s="56">
        <v>7818894</v>
      </c>
      <c r="H156" s="56"/>
      <c r="I156" s="57">
        <v>146903</v>
      </c>
      <c r="J156" s="57">
        <v>6851844</v>
      </c>
      <c r="K156" s="57">
        <v>535524</v>
      </c>
      <c r="L156" s="56">
        <v>30858</v>
      </c>
      <c r="M156" s="56"/>
      <c r="N156" s="57">
        <v>273983</v>
      </c>
      <c r="O156" s="57">
        <v>2528980</v>
      </c>
      <c r="P156" s="57">
        <v>0</v>
      </c>
      <c r="Q156" s="56">
        <v>11385</v>
      </c>
      <c r="R156" s="57">
        <f t="shared" si="2"/>
        <v>4322864</v>
      </c>
      <c r="S156" s="56"/>
      <c r="T156" s="57">
        <v>2089876</v>
      </c>
      <c r="U156" s="58">
        <v>10463</v>
      </c>
      <c r="V156" s="58">
        <v>2100338</v>
      </c>
    </row>
    <row r="157" spans="1:22">
      <c r="A157" s="54">
        <v>91411</v>
      </c>
      <c r="B157" s="55" t="s">
        <v>1537</v>
      </c>
      <c r="C157" s="106">
        <v>3.5379999999999998E-4</v>
      </c>
      <c r="D157" s="106">
        <v>3.1189999999999999E-4</v>
      </c>
      <c r="E157" s="56">
        <v>141435.49</v>
      </c>
      <c r="F157" s="56">
        <v>139979</v>
      </c>
      <c r="G157" s="56">
        <v>750882</v>
      </c>
      <c r="H157" s="56"/>
      <c r="I157" s="57">
        <v>14108</v>
      </c>
      <c r="J157" s="57">
        <v>658012</v>
      </c>
      <c r="K157" s="57">
        <v>51429</v>
      </c>
      <c r="L157" s="56">
        <v>22528</v>
      </c>
      <c r="M157" s="56"/>
      <c r="N157" s="57">
        <v>26312</v>
      </c>
      <c r="O157" s="57">
        <v>242869</v>
      </c>
      <c r="P157" s="57">
        <v>0</v>
      </c>
      <c r="Q157" s="56">
        <v>2801.92</v>
      </c>
      <c r="R157" s="57">
        <f t="shared" si="2"/>
        <v>415143</v>
      </c>
      <c r="S157" s="56"/>
      <c r="T157" s="57">
        <v>200700</v>
      </c>
      <c r="U157" s="58">
        <v>4720</v>
      </c>
      <c r="V157" s="58">
        <v>205420</v>
      </c>
    </row>
    <row r="158" spans="1:22">
      <c r="A158" s="54">
        <v>91417</v>
      </c>
      <c r="B158" s="55" t="s">
        <v>1538</v>
      </c>
      <c r="C158" s="106">
        <v>9.9000000000000001E-6</v>
      </c>
      <c r="D158" s="106">
        <v>1.04E-5</v>
      </c>
      <c r="E158" s="56">
        <v>4800.1900000000005</v>
      </c>
      <c r="F158" s="56">
        <v>4667</v>
      </c>
      <c r="G158" s="56">
        <v>21011</v>
      </c>
      <c r="H158" s="56"/>
      <c r="I158" s="57">
        <v>394.76249999999999</v>
      </c>
      <c r="J158" s="57">
        <v>18412</v>
      </c>
      <c r="K158" s="57">
        <v>1439</v>
      </c>
      <c r="L158" s="56">
        <v>3686</v>
      </c>
      <c r="M158" s="56"/>
      <c r="N158" s="57">
        <v>736</v>
      </c>
      <c r="O158" s="57">
        <v>6796</v>
      </c>
      <c r="P158" s="57">
        <v>0</v>
      </c>
      <c r="Q158" s="56">
        <v>0</v>
      </c>
      <c r="R158" s="57">
        <f t="shared" si="2"/>
        <v>11616</v>
      </c>
      <c r="S158" s="56"/>
      <c r="T158" s="57">
        <v>5616</v>
      </c>
      <c r="U158" s="58">
        <v>1711</v>
      </c>
      <c r="V158" s="58">
        <v>7327</v>
      </c>
    </row>
    <row r="159" spans="1:22">
      <c r="A159" s="54">
        <v>91421</v>
      </c>
      <c r="B159" s="55" t="s">
        <v>1539</v>
      </c>
      <c r="C159" s="106">
        <v>7.0400000000000004E-5</v>
      </c>
      <c r="D159" s="106">
        <v>7.3399999999999995E-5</v>
      </c>
      <c r="E159" s="56">
        <v>30682.670000000006</v>
      </c>
      <c r="F159" s="56">
        <v>32941</v>
      </c>
      <c r="G159" s="56">
        <v>149412</v>
      </c>
      <c r="H159" s="56"/>
      <c r="I159" s="57">
        <v>2807</v>
      </c>
      <c r="J159" s="57">
        <v>130933</v>
      </c>
      <c r="K159" s="57">
        <v>10233</v>
      </c>
      <c r="L159" s="56">
        <v>2567</v>
      </c>
      <c r="M159" s="56"/>
      <c r="N159" s="57">
        <v>5236</v>
      </c>
      <c r="O159" s="57">
        <v>48327</v>
      </c>
      <c r="P159" s="57">
        <v>0</v>
      </c>
      <c r="Q159" s="56">
        <v>4833</v>
      </c>
      <c r="R159" s="57">
        <f t="shared" si="2"/>
        <v>82606</v>
      </c>
      <c r="S159" s="56"/>
      <c r="T159" s="57">
        <v>39936</v>
      </c>
      <c r="U159" s="58">
        <v>-400</v>
      </c>
      <c r="V159" s="58">
        <v>39536</v>
      </c>
    </row>
    <row r="160" spans="1:22">
      <c r="A160" s="54">
        <v>91423</v>
      </c>
      <c r="B160" s="55" t="s">
        <v>1540</v>
      </c>
      <c r="C160" s="106">
        <v>3.8699999999999999E-5</v>
      </c>
      <c r="D160" s="106">
        <v>3.9499999999999998E-5</v>
      </c>
      <c r="E160" s="56">
        <v>17177.96</v>
      </c>
      <c r="F160" s="56">
        <v>17727</v>
      </c>
      <c r="G160" s="56">
        <v>82134</v>
      </c>
      <c r="H160" s="56"/>
      <c r="I160" s="57">
        <v>1543</v>
      </c>
      <c r="J160" s="57">
        <v>71976</v>
      </c>
      <c r="K160" s="57">
        <v>5625</v>
      </c>
      <c r="L160" s="56">
        <v>10132</v>
      </c>
      <c r="M160" s="56"/>
      <c r="N160" s="57">
        <v>2878</v>
      </c>
      <c r="O160" s="57">
        <v>26566</v>
      </c>
      <c r="P160" s="57">
        <v>0</v>
      </c>
      <c r="Q160" s="56">
        <v>4072</v>
      </c>
      <c r="R160" s="57">
        <f t="shared" si="2"/>
        <v>45410</v>
      </c>
      <c r="S160" s="56"/>
      <c r="T160" s="57">
        <v>21953</v>
      </c>
      <c r="U160" s="58">
        <v>1493</v>
      </c>
      <c r="V160" s="58">
        <v>23446</v>
      </c>
    </row>
    <row r="161" spans="1:22">
      <c r="A161" s="54">
        <v>91431</v>
      </c>
      <c r="B161" s="55" t="s">
        <v>1541</v>
      </c>
      <c r="C161" s="106">
        <v>1.417E-4</v>
      </c>
      <c r="D161" s="106">
        <v>1.606E-4</v>
      </c>
      <c r="E161" s="56">
        <v>68459.420000000013</v>
      </c>
      <c r="F161" s="56">
        <v>72076</v>
      </c>
      <c r="G161" s="56">
        <v>300735</v>
      </c>
      <c r="H161" s="56"/>
      <c r="I161" s="57">
        <v>5650</v>
      </c>
      <c r="J161" s="57">
        <v>263540</v>
      </c>
      <c r="K161" s="57">
        <v>20598</v>
      </c>
      <c r="L161" s="56">
        <v>1741</v>
      </c>
      <c r="M161" s="56"/>
      <c r="N161" s="57">
        <v>10538</v>
      </c>
      <c r="O161" s="57">
        <v>97271</v>
      </c>
      <c r="P161" s="57">
        <v>0</v>
      </c>
      <c r="Q161" s="56">
        <v>2500</v>
      </c>
      <c r="R161" s="57">
        <f t="shared" si="2"/>
        <v>166269</v>
      </c>
      <c r="S161" s="56"/>
      <c r="T161" s="57">
        <v>80382</v>
      </c>
      <c r="U161" s="58">
        <v>-116</v>
      </c>
      <c r="V161" s="58">
        <v>80266</v>
      </c>
    </row>
    <row r="162" spans="1:22">
      <c r="A162" s="54">
        <v>91441</v>
      </c>
      <c r="B162" s="55" t="s">
        <v>1542</v>
      </c>
      <c r="C162" s="106">
        <v>7.3800000000000005E-4</v>
      </c>
      <c r="D162" s="106">
        <v>8.0199999999999998E-4</v>
      </c>
      <c r="E162" s="56">
        <v>243177.92</v>
      </c>
      <c r="F162" s="56">
        <v>359933</v>
      </c>
      <c r="G162" s="56">
        <v>1566283</v>
      </c>
      <c r="H162" s="56"/>
      <c r="I162" s="57">
        <v>29428</v>
      </c>
      <c r="J162" s="57">
        <v>1372563</v>
      </c>
      <c r="K162" s="57">
        <v>107276</v>
      </c>
      <c r="L162" s="56">
        <v>0</v>
      </c>
      <c r="M162" s="56"/>
      <c r="N162" s="57">
        <v>54884</v>
      </c>
      <c r="O162" s="57">
        <v>506606</v>
      </c>
      <c r="P162" s="57">
        <v>0</v>
      </c>
      <c r="Q162" s="56">
        <v>154968</v>
      </c>
      <c r="R162" s="57">
        <f t="shared" si="2"/>
        <v>865957</v>
      </c>
      <c r="S162" s="56"/>
      <c r="T162" s="57">
        <v>418645</v>
      </c>
      <c r="U162" s="58">
        <v>-51667</v>
      </c>
      <c r="V162" s="58">
        <v>366977</v>
      </c>
    </row>
    <row r="163" spans="1:22">
      <c r="A163" s="54">
        <v>91451</v>
      </c>
      <c r="B163" s="55" t="s">
        <v>1543</v>
      </c>
      <c r="C163" s="106">
        <v>1.5629000000000001E-3</v>
      </c>
      <c r="D163" s="106">
        <v>1.7028E-3</v>
      </c>
      <c r="E163" s="56">
        <v>596684.65999999992</v>
      </c>
      <c r="F163" s="56">
        <v>764206</v>
      </c>
      <c r="G163" s="56">
        <v>3316997</v>
      </c>
      <c r="H163" s="56"/>
      <c r="I163" s="57">
        <v>62321</v>
      </c>
      <c r="J163" s="57">
        <v>2906747</v>
      </c>
      <c r="K163" s="57">
        <v>227185</v>
      </c>
      <c r="L163" s="56">
        <v>0</v>
      </c>
      <c r="M163" s="56"/>
      <c r="N163" s="57">
        <v>116231</v>
      </c>
      <c r="O163" s="57">
        <v>1072865</v>
      </c>
      <c r="P163" s="57">
        <v>0</v>
      </c>
      <c r="Q163" s="56">
        <v>204791</v>
      </c>
      <c r="R163" s="57">
        <f t="shared" si="2"/>
        <v>1833882</v>
      </c>
      <c r="S163" s="56"/>
      <c r="T163" s="57">
        <v>886585</v>
      </c>
      <c r="U163" s="58">
        <v>-69029</v>
      </c>
      <c r="V163" s="58">
        <v>817556</v>
      </c>
    </row>
    <row r="164" spans="1:22">
      <c r="A164" s="54">
        <v>91457</v>
      </c>
      <c r="B164" s="55" t="s">
        <v>1544</v>
      </c>
      <c r="C164" s="106">
        <v>2.58E-5</v>
      </c>
      <c r="D164" s="106">
        <v>2.7500000000000001E-5</v>
      </c>
      <c r="E164" s="56">
        <v>28420.840000000004</v>
      </c>
      <c r="F164" s="56">
        <v>12342</v>
      </c>
      <c r="G164" s="56">
        <v>54756</v>
      </c>
      <c r="H164" s="56"/>
      <c r="I164" s="57">
        <v>1029</v>
      </c>
      <c r="J164" s="57">
        <v>47984</v>
      </c>
      <c r="K164" s="57">
        <v>3750</v>
      </c>
      <c r="L164" s="56">
        <v>24288</v>
      </c>
      <c r="M164" s="56"/>
      <c r="N164" s="57">
        <v>1919</v>
      </c>
      <c r="O164" s="57">
        <v>17711</v>
      </c>
      <c r="P164" s="57">
        <v>0</v>
      </c>
      <c r="Q164" s="56">
        <v>0</v>
      </c>
      <c r="R164" s="57">
        <f t="shared" si="2"/>
        <v>30273</v>
      </c>
      <c r="S164" s="56"/>
      <c r="T164" s="57">
        <v>14636</v>
      </c>
      <c r="U164" s="58">
        <v>7429</v>
      </c>
      <c r="V164" s="58">
        <v>22065</v>
      </c>
    </row>
    <row r="165" spans="1:22">
      <c r="A165" s="54">
        <v>91461</v>
      </c>
      <c r="B165" s="55" t="s">
        <v>1545</v>
      </c>
      <c r="C165" s="106">
        <v>8.6999999999999997E-6</v>
      </c>
      <c r="D165" s="106">
        <v>6.3999999999999997E-6</v>
      </c>
      <c r="E165" s="56">
        <v>2697.2400000000002</v>
      </c>
      <c r="F165" s="56">
        <v>2872</v>
      </c>
      <c r="G165" s="56">
        <v>18464</v>
      </c>
      <c r="H165" s="56"/>
      <c r="I165" s="57">
        <v>347</v>
      </c>
      <c r="J165" s="57">
        <v>16181</v>
      </c>
      <c r="K165" s="57">
        <v>1265</v>
      </c>
      <c r="L165" s="56">
        <v>3156</v>
      </c>
      <c r="M165" s="56"/>
      <c r="N165" s="57">
        <v>647</v>
      </c>
      <c r="O165" s="57">
        <v>5972</v>
      </c>
      <c r="P165" s="57">
        <v>0</v>
      </c>
      <c r="Q165" s="56">
        <v>0</v>
      </c>
      <c r="R165" s="57">
        <f t="shared" si="2"/>
        <v>10209</v>
      </c>
      <c r="S165" s="56"/>
      <c r="T165" s="57">
        <v>4935</v>
      </c>
      <c r="U165" s="58">
        <v>1104</v>
      </c>
      <c r="V165" s="58">
        <v>6039</v>
      </c>
    </row>
    <row r="166" spans="1:22">
      <c r="A166" s="54">
        <v>91501</v>
      </c>
      <c r="B166" s="55" t="s">
        <v>1546</v>
      </c>
      <c r="C166" s="106">
        <v>5.1099999999999995E-4</v>
      </c>
      <c r="D166" s="106">
        <v>4.8660000000000001E-4</v>
      </c>
      <c r="E166" s="56">
        <v>207395.53999999998</v>
      </c>
      <c r="F166" s="56">
        <v>218383</v>
      </c>
      <c r="G166" s="56">
        <v>1084513</v>
      </c>
      <c r="H166" s="56"/>
      <c r="I166" s="57">
        <v>20376</v>
      </c>
      <c r="J166" s="57">
        <v>950379</v>
      </c>
      <c r="K166" s="57">
        <v>74279</v>
      </c>
      <c r="L166" s="56">
        <v>41752</v>
      </c>
      <c r="M166" s="56"/>
      <c r="N166" s="57">
        <v>38003</v>
      </c>
      <c r="O166" s="57">
        <v>350780</v>
      </c>
      <c r="P166" s="57">
        <v>0</v>
      </c>
      <c r="Q166" s="56">
        <v>0</v>
      </c>
      <c r="R166" s="57">
        <f t="shared" si="2"/>
        <v>599599</v>
      </c>
      <c r="S166" s="56"/>
      <c r="T166" s="57">
        <v>289874</v>
      </c>
      <c r="U166" s="58">
        <v>17322</v>
      </c>
      <c r="V166" s="58">
        <v>307197</v>
      </c>
    </row>
    <row r="167" spans="1:22">
      <c r="A167" s="54">
        <v>91504</v>
      </c>
      <c r="B167" s="55" t="s">
        <v>1547</v>
      </c>
      <c r="C167" s="106">
        <v>1.0200000000000001E-5</v>
      </c>
      <c r="D167" s="106">
        <v>9.7999999999999993E-6</v>
      </c>
      <c r="E167" s="56">
        <v>5951.380000000001</v>
      </c>
      <c r="F167" s="56">
        <v>4398</v>
      </c>
      <c r="G167" s="56">
        <v>21648</v>
      </c>
      <c r="H167" s="56"/>
      <c r="I167" s="57">
        <v>406.72500000000002</v>
      </c>
      <c r="J167" s="57">
        <v>18970</v>
      </c>
      <c r="K167" s="57">
        <v>1483</v>
      </c>
      <c r="L167" s="56">
        <v>6563</v>
      </c>
      <c r="M167" s="56"/>
      <c r="N167" s="57">
        <v>759</v>
      </c>
      <c r="O167" s="57">
        <v>7002</v>
      </c>
      <c r="P167" s="57">
        <v>0</v>
      </c>
      <c r="Q167" s="56">
        <v>0</v>
      </c>
      <c r="R167" s="57">
        <f t="shared" si="2"/>
        <v>11968</v>
      </c>
      <c r="S167" s="56"/>
      <c r="T167" s="57">
        <v>5786</v>
      </c>
      <c r="U167" s="58">
        <v>2270</v>
      </c>
      <c r="V167" s="58">
        <v>8056</v>
      </c>
    </row>
    <row r="168" spans="1:22">
      <c r="A168" s="54">
        <v>91601</v>
      </c>
      <c r="B168" s="55" t="s">
        <v>1548</v>
      </c>
      <c r="C168" s="106">
        <v>2.9077999999999999E-3</v>
      </c>
      <c r="D168" s="106">
        <v>2.5893000000000001E-3</v>
      </c>
      <c r="E168" s="56">
        <v>1153048.76</v>
      </c>
      <c r="F168" s="56">
        <v>1162062</v>
      </c>
      <c r="G168" s="56">
        <v>6171326</v>
      </c>
      <c r="H168" s="56"/>
      <c r="I168" s="57">
        <v>115949</v>
      </c>
      <c r="J168" s="57">
        <v>5408049</v>
      </c>
      <c r="K168" s="57">
        <v>422681</v>
      </c>
      <c r="L168" s="56">
        <v>254754</v>
      </c>
      <c r="M168" s="56"/>
      <c r="N168" s="57">
        <v>216250</v>
      </c>
      <c r="O168" s="57">
        <v>1996083</v>
      </c>
      <c r="P168" s="57">
        <v>0</v>
      </c>
      <c r="Q168" s="56">
        <v>0</v>
      </c>
      <c r="R168" s="57">
        <f t="shared" si="2"/>
        <v>3411966</v>
      </c>
      <c r="S168" s="56"/>
      <c r="T168" s="57">
        <v>1649505</v>
      </c>
      <c r="U168" s="58">
        <v>86224</v>
      </c>
      <c r="V168" s="58">
        <v>1735729</v>
      </c>
    </row>
    <row r="169" spans="1:22">
      <c r="A169" s="54">
        <v>91604</v>
      </c>
      <c r="B169" s="55" t="s">
        <v>1549</v>
      </c>
      <c r="C169" s="106">
        <v>8.6799999999999996E-5</v>
      </c>
      <c r="D169" s="106">
        <v>8.5000000000000006E-5</v>
      </c>
      <c r="E169" s="56">
        <v>47160.30999999999</v>
      </c>
      <c r="F169" s="56">
        <v>38147</v>
      </c>
      <c r="G169" s="56">
        <v>184219</v>
      </c>
      <c r="H169" s="56"/>
      <c r="I169" s="57">
        <v>3461</v>
      </c>
      <c r="J169" s="57">
        <v>161434</v>
      </c>
      <c r="K169" s="57">
        <v>12617</v>
      </c>
      <c r="L169" s="56">
        <v>17354</v>
      </c>
      <c r="M169" s="56"/>
      <c r="N169" s="57">
        <v>6455</v>
      </c>
      <c r="O169" s="57">
        <v>59585</v>
      </c>
      <c r="P169" s="57">
        <v>0</v>
      </c>
      <c r="Q169" s="56">
        <v>0</v>
      </c>
      <c r="R169" s="57">
        <f t="shared" si="2"/>
        <v>101849</v>
      </c>
      <c r="S169" s="56"/>
      <c r="T169" s="57">
        <v>49239</v>
      </c>
      <c r="U169" s="58">
        <v>5419</v>
      </c>
      <c r="V169" s="58">
        <v>54658</v>
      </c>
    </row>
    <row r="170" spans="1:22">
      <c r="A170" s="54">
        <v>91608</v>
      </c>
      <c r="B170" s="55" t="s">
        <v>1550</v>
      </c>
      <c r="C170" s="106">
        <v>1.208E-4</v>
      </c>
      <c r="D170" s="106">
        <v>1.178E-4</v>
      </c>
      <c r="E170" s="56">
        <v>33633.730000000003</v>
      </c>
      <c r="F170" s="56">
        <v>52868</v>
      </c>
      <c r="G170" s="56">
        <v>256378</v>
      </c>
      <c r="H170" s="56"/>
      <c r="I170" s="57">
        <v>4817</v>
      </c>
      <c r="J170" s="57">
        <v>224669</v>
      </c>
      <c r="K170" s="57">
        <v>17560</v>
      </c>
      <c r="L170" s="56">
        <v>1751</v>
      </c>
      <c r="M170" s="56"/>
      <c r="N170" s="57">
        <v>8984</v>
      </c>
      <c r="O170" s="57">
        <v>82924</v>
      </c>
      <c r="P170" s="57">
        <v>0</v>
      </c>
      <c r="Q170" s="56">
        <v>42921</v>
      </c>
      <c r="R170" s="57">
        <f t="shared" si="2"/>
        <v>141745</v>
      </c>
      <c r="S170" s="56"/>
      <c r="T170" s="57">
        <v>68526</v>
      </c>
      <c r="U170" s="58">
        <v>-13278</v>
      </c>
      <c r="V170" s="58">
        <v>55248</v>
      </c>
    </row>
    <row r="171" spans="1:22">
      <c r="A171" s="54">
        <v>91611</v>
      </c>
      <c r="B171" s="55" t="s">
        <v>1551</v>
      </c>
      <c r="C171" s="106">
        <v>1.4345E-3</v>
      </c>
      <c r="D171" s="106">
        <v>1.3361E-3</v>
      </c>
      <c r="E171" s="56">
        <v>495191.63999999996</v>
      </c>
      <c r="F171" s="56">
        <v>599634</v>
      </c>
      <c r="G171" s="56">
        <v>3044490</v>
      </c>
      <c r="H171" s="56"/>
      <c r="I171" s="57">
        <v>57201</v>
      </c>
      <c r="J171" s="57">
        <v>2667943</v>
      </c>
      <c r="K171" s="57">
        <v>208520</v>
      </c>
      <c r="L171" s="56">
        <v>36769</v>
      </c>
      <c r="M171" s="56"/>
      <c r="N171" s="57">
        <v>106682</v>
      </c>
      <c r="O171" s="57">
        <v>984724</v>
      </c>
      <c r="P171" s="57">
        <v>0</v>
      </c>
      <c r="Q171" s="56">
        <v>21938</v>
      </c>
      <c r="R171" s="57">
        <f t="shared" si="2"/>
        <v>1683219</v>
      </c>
      <c r="S171" s="56"/>
      <c r="T171" s="57">
        <v>813747</v>
      </c>
      <c r="U171" s="58">
        <v>11752</v>
      </c>
      <c r="V171" s="58">
        <v>825500</v>
      </c>
    </row>
    <row r="172" spans="1:22">
      <c r="A172" s="54">
        <v>91621</v>
      </c>
      <c r="B172" s="55" t="s">
        <v>1552</v>
      </c>
      <c r="C172" s="106">
        <v>2.5240000000000001E-4</v>
      </c>
      <c r="D172" s="106">
        <v>2.6200000000000003E-4</v>
      </c>
      <c r="E172" s="56">
        <v>102643.69999999998</v>
      </c>
      <c r="F172" s="56">
        <v>117584</v>
      </c>
      <c r="G172" s="56">
        <v>535677</v>
      </c>
      <c r="H172" s="56"/>
      <c r="I172" s="57">
        <v>10064</v>
      </c>
      <c r="J172" s="57">
        <v>469424</v>
      </c>
      <c r="K172" s="57">
        <v>36689</v>
      </c>
      <c r="L172" s="56">
        <v>20545</v>
      </c>
      <c r="M172" s="56"/>
      <c r="N172" s="57">
        <v>18771</v>
      </c>
      <c r="O172" s="57">
        <v>173262</v>
      </c>
      <c r="P172" s="57">
        <v>0</v>
      </c>
      <c r="Q172" s="56">
        <v>25591</v>
      </c>
      <c r="R172" s="57">
        <f t="shared" si="2"/>
        <v>296162</v>
      </c>
      <c r="S172" s="56"/>
      <c r="T172" s="57">
        <v>143179</v>
      </c>
      <c r="U172" s="58">
        <v>-4085</v>
      </c>
      <c r="V172" s="58">
        <v>139094</v>
      </c>
    </row>
    <row r="173" spans="1:22">
      <c r="A173" s="54">
        <v>91631</v>
      </c>
      <c r="B173" s="55" t="s">
        <v>1553</v>
      </c>
      <c r="C173" s="106">
        <v>5.3870000000000003E-4</v>
      </c>
      <c r="D173" s="106">
        <v>5.4830000000000005E-4</v>
      </c>
      <c r="E173" s="56">
        <v>189554.94</v>
      </c>
      <c r="F173" s="56">
        <v>246074</v>
      </c>
      <c r="G173" s="56">
        <v>1143302</v>
      </c>
      <c r="H173" s="56"/>
      <c r="I173" s="57">
        <v>21481</v>
      </c>
      <c r="J173" s="57">
        <v>1001897</v>
      </c>
      <c r="K173" s="57">
        <v>78306</v>
      </c>
      <c r="L173" s="56">
        <v>0</v>
      </c>
      <c r="M173" s="56"/>
      <c r="N173" s="57">
        <v>40063</v>
      </c>
      <c r="O173" s="57">
        <v>369795</v>
      </c>
      <c r="P173" s="57">
        <v>0</v>
      </c>
      <c r="Q173" s="56">
        <v>35292</v>
      </c>
      <c r="R173" s="57">
        <f t="shared" si="2"/>
        <v>632102</v>
      </c>
      <c r="S173" s="56"/>
      <c r="T173" s="57">
        <v>305588</v>
      </c>
      <c r="U173" s="58">
        <v>-10001</v>
      </c>
      <c r="V173" s="58">
        <v>295587</v>
      </c>
    </row>
    <row r="174" spans="1:22">
      <c r="A174" s="54">
        <v>91633</v>
      </c>
      <c r="B174" s="55" t="s">
        <v>1554</v>
      </c>
      <c r="C174" s="106">
        <v>2.3799999999999999E-5</v>
      </c>
      <c r="D174" s="106">
        <v>2.3200000000000001E-5</v>
      </c>
      <c r="E174" s="56">
        <v>11149.369999999999</v>
      </c>
      <c r="F174" s="56">
        <v>10412</v>
      </c>
      <c r="G174" s="56">
        <v>50512</v>
      </c>
      <c r="H174" s="56"/>
      <c r="I174" s="57">
        <v>949.02499999999998</v>
      </c>
      <c r="J174" s="57">
        <v>44264</v>
      </c>
      <c r="K174" s="57">
        <v>3460</v>
      </c>
      <c r="L174" s="56">
        <v>1407</v>
      </c>
      <c r="M174" s="56"/>
      <c r="N174" s="57">
        <v>1770</v>
      </c>
      <c r="O174" s="57">
        <v>16338</v>
      </c>
      <c r="P174" s="57">
        <v>0</v>
      </c>
      <c r="Q174" s="56">
        <v>5064</v>
      </c>
      <c r="R174" s="57">
        <f t="shared" si="2"/>
        <v>27926</v>
      </c>
      <c r="S174" s="56"/>
      <c r="T174" s="57">
        <v>13501</v>
      </c>
      <c r="U174" s="58">
        <v>-1485</v>
      </c>
      <c r="V174" s="58">
        <v>12016</v>
      </c>
    </row>
    <row r="175" spans="1:22">
      <c r="A175" s="54">
        <v>91641</v>
      </c>
      <c r="B175" s="55" t="s">
        <v>1555</v>
      </c>
      <c r="C175" s="106">
        <v>2.742E-4</v>
      </c>
      <c r="D175" s="106">
        <v>3.1080000000000002E-4</v>
      </c>
      <c r="E175" s="56">
        <v>90324.84</v>
      </c>
      <c r="F175" s="56">
        <v>139485</v>
      </c>
      <c r="G175" s="56">
        <v>581944</v>
      </c>
      <c r="H175" s="56"/>
      <c r="I175" s="57">
        <v>10934</v>
      </c>
      <c r="J175" s="57">
        <v>509969</v>
      </c>
      <c r="K175" s="57">
        <v>39858</v>
      </c>
      <c r="L175" s="56">
        <v>0</v>
      </c>
      <c r="M175" s="56"/>
      <c r="N175" s="57">
        <v>20392</v>
      </c>
      <c r="O175" s="57">
        <v>188227</v>
      </c>
      <c r="P175" s="57">
        <v>0</v>
      </c>
      <c r="Q175" s="56">
        <v>73613</v>
      </c>
      <c r="R175" s="57">
        <f t="shared" si="2"/>
        <v>321742</v>
      </c>
      <c r="S175" s="56"/>
      <c r="T175" s="57">
        <v>155545</v>
      </c>
      <c r="U175" s="58">
        <v>-24397</v>
      </c>
      <c r="V175" s="58">
        <v>131148</v>
      </c>
    </row>
    <row r="176" spans="1:22">
      <c r="A176" s="54">
        <v>91651</v>
      </c>
      <c r="B176" s="55" t="s">
        <v>1556</v>
      </c>
      <c r="C176" s="106">
        <v>4.6099999999999998E-4</v>
      </c>
      <c r="D176" s="106">
        <v>4.797E-4</v>
      </c>
      <c r="E176" s="56">
        <v>182169.7</v>
      </c>
      <c r="F176" s="56">
        <v>215286</v>
      </c>
      <c r="G176" s="56">
        <v>978396</v>
      </c>
      <c r="H176" s="56"/>
      <c r="I176" s="57">
        <v>18382.375</v>
      </c>
      <c r="J176" s="57">
        <v>857387</v>
      </c>
      <c r="K176" s="57">
        <v>67011</v>
      </c>
      <c r="L176" s="56">
        <v>0</v>
      </c>
      <c r="M176" s="56"/>
      <c r="N176" s="57">
        <v>34284</v>
      </c>
      <c r="O176" s="57">
        <v>316457</v>
      </c>
      <c r="P176" s="57">
        <v>0</v>
      </c>
      <c r="Q176" s="56">
        <v>30276</v>
      </c>
      <c r="R176" s="57">
        <f t="shared" si="2"/>
        <v>540930</v>
      </c>
      <c r="S176" s="56"/>
      <c r="T176" s="57">
        <v>261511</v>
      </c>
      <c r="U176" s="58">
        <v>-9842</v>
      </c>
      <c r="V176" s="58">
        <v>251669</v>
      </c>
    </row>
    <row r="177" spans="1:22">
      <c r="A177" s="54">
        <v>91661</v>
      </c>
      <c r="B177" s="55" t="s">
        <v>1557</v>
      </c>
      <c r="C177" s="106">
        <v>1.6750000000000001E-4</v>
      </c>
      <c r="D177" s="106">
        <v>1.9149999999999999E-4</v>
      </c>
      <c r="E177" s="56">
        <v>50933.13</v>
      </c>
      <c r="F177" s="56">
        <v>85944</v>
      </c>
      <c r="G177" s="56">
        <v>355491</v>
      </c>
      <c r="H177" s="56"/>
      <c r="I177" s="57">
        <v>6679.0625</v>
      </c>
      <c r="J177" s="57">
        <v>311524</v>
      </c>
      <c r="K177" s="57">
        <v>24348</v>
      </c>
      <c r="L177" s="56">
        <v>0</v>
      </c>
      <c r="M177" s="56"/>
      <c r="N177" s="57">
        <v>12457</v>
      </c>
      <c r="O177" s="57">
        <v>114982</v>
      </c>
      <c r="P177" s="57">
        <v>0</v>
      </c>
      <c r="Q177" s="56">
        <v>40976</v>
      </c>
      <c r="R177" s="57">
        <f t="shared" si="2"/>
        <v>196542</v>
      </c>
      <c r="S177" s="56"/>
      <c r="T177" s="57">
        <v>95018</v>
      </c>
      <c r="U177" s="58">
        <v>-12042</v>
      </c>
      <c r="V177" s="58">
        <v>82975</v>
      </c>
    </row>
    <row r="178" spans="1:22">
      <c r="A178" s="54">
        <v>91671</v>
      </c>
      <c r="B178" s="55" t="s">
        <v>1558</v>
      </c>
      <c r="C178" s="106">
        <v>9.7600000000000001E-5</v>
      </c>
      <c r="D178" s="106">
        <v>9.0000000000000006E-5</v>
      </c>
      <c r="E178" s="56">
        <v>40599.14</v>
      </c>
      <c r="F178" s="56">
        <v>40391.46</v>
      </c>
      <c r="G178" s="56">
        <v>207140</v>
      </c>
      <c r="H178" s="56"/>
      <c r="I178" s="57">
        <v>3891.8</v>
      </c>
      <c r="J178" s="57">
        <v>181521</v>
      </c>
      <c r="K178" s="57">
        <v>14187</v>
      </c>
      <c r="L178" s="56">
        <v>17521</v>
      </c>
      <c r="M178" s="56"/>
      <c r="N178" s="57">
        <v>7258</v>
      </c>
      <c r="O178" s="57">
        <v>66998</v>
      </c>
      <c r="P178" s="57">
        <v>0</v>
      </c>
      <c r="Q178" s="56">
        <v>0</v>
      </c>
      <c r="R178" s="57">
        <f t="shared" si="2"/>
        <v>114523</v>
      </c>
      <c r="S178" s="56"/>
      <c r="T178" s="57">
        <v>55365</v>
      </c>
      <c r="U178" s="58">
        <v>6024</v>
      </c>
      <c r="V178" s="58">
        <v>61390</v>
      </c>
    </row>
    <row r="179" spans="1:22">
      <c r="A179" s="54">
        <v>91681</v>
      </c>
      <c r="B179" s="55" t="s">
        <v>1559</v>
      </c>
      <c r="C179" s="106">
        <v>4.7130000000000002E-4</v>
      </c>
      <c r="D179" s="106">
        <v>5.2590000000000004E-4</v>
      </c>
      <c r="E179" s="56">
        <v>361073.65</v>
      </c>
      <c r="F179" s="56">
        <v>236021</v>
      </c>
      <c r="G179" s="56">
        <v>1000256</v>
      </c>
      <c r="H179" s="56"/>
      <c r="I179" s="57">
        <v>18793</v>
      </c>
      <c r="J179" s="57">
        <v>876544</v>
      </c>
      <c r="K179" s="57">
        <v>68509</v>
      </c>
      <c r="L179" s="56">
        <v>196447</v>
      </c>
      <c r="M179" s="56"/>
      <c r="N179" s="57">
        <v>35050</v>
      </c>
      <c r="O179" s="57">
        <v>323528</v>
      </c>
      <c r="P179" s="57">
        <v>0</v>
      </c>
      <c r="Q179" s="56">
        <v>9078</v>
      </c>
      <c r="R179" s="57">
        <f t="shared" si="2"/>
        <v>553016</v>
      </c>
      <c r="S179" s="56"/>
      <c r="T179" s="57">
        <v>267354</v>
      </c>
      <c r="U179" s="58">
        <v>55234</v>
      </c>
      <c r="V179" s="58">
        <v>322588</v>
      </c>
    </row>
    <row r="180" spans="1:22">
      <c r="A180" s="54">
        <v>91691</v>
      </c>
      <c r="B180" s="55" t="s">
        <v>1560</v>
      </c>
      <c r="C180" s="106">
        <v>2.4199999999999999E-5</v>
      </c>
      <c r="D180" s="106">
        <v>1.8700000000000001E-5</v>
      </c>
      <c r="E180" s="56">
        <v>9113.6699999999983</v>
      </c>
      <c r="F180" s="56">
        <v>8392</v>
      </c>
      <c r="G180" s="56">
        <v>51361</v>
      </c>
      <c r="H180" s="56"/>
      <c r="I180" s="57">
        <v>965</v>
      </c>
      <c r="J180" s="57">
        <v>45008</v>
      </c>
      <c r="K180" s="57">
        <v>3518</v>
      </c>
      <c r="L180" s="56">
        <v>2449</v>
      </c>
      <c r="M180" s="56"/>
      <c r="N180" s="57">
        <v>1800</v>
      </c>
      <c r="O180" s="57">
        <v>16612</v>
      </c>
      <c r="P180" s="57">
        <v>0</v>
      </c>
      <c r="Q180" s="56">
        <v>801</v>
      </c>
      <c r="R180" s="57">
        <f t="shared" si="2"/>
        <v>28396</v>
      </c>
      <c r="S180" s="56"/>
      <c r="T180" s="57">
        <v>13728</v>
      </c>
      <c r="U180" s="58">
        <v>383</v>
      </c>
      <c r="V180" s="58">
        <v>14111</v>
      </c>
    </row>
    <row r="181" spans="1:22">
      <c r="A181" s="54">
        <v>91701</v>
      </c>
      <c r="B181" s="55" t="s">
        <v>1561</v>
      </c>
      <c r="C181" s="106">
        <v>1.0897000000000001E-3</v>
      </c>
      <c r="D181" s="106">
        <v>1.0575999999999999E-3</v>
      </c>
      <c r="E181" s="56">
        <v>448773.31999999995</v>
      </c>
      <c r="F181" s="56">
        <v>474645</v>
      </c>
      <c r="G181" s="56">
        <v>2312708</v>
      </c>
      <c r="H181" s="56"/>
      <c r="I181" s="57">
        <v>43452</v>
      </c>
      <c r="J181" s="57">
        <v>2026670</v>
      </c>
      <c r="K181" s="57">
        <v>158400</v>
      </c>
      <c r="L181" s="56">
        <v>20132</v>
      </c>
      <c r="M181" s="56"/>
      <c r="N181" s="57">
        <v>81040</v>
      </c>
      <c r="O181" s="57">
        <v>748033</v>
      </c>
      <c r="P181" s="57">
        <v>0</v>
      </c>
      <c r="Q181" s="56">
        <v>13968</v>
      </c>
      <c r="R181" s="57">
        <f t="shared" si="2"/>
        <v>1278637</v>
      </c>
      <c r="S181" s="56"/>
      <c r="T181" s="57">
        <v>618153</v>
      </c>
      <c r="U181" s="58">
        <v>-1590</v>
      </c>
      <c r="V181" s="58">
        <v>616563</v>
      </c>
    </row>
    <row r="182" spans="1:22">
      <c r="A182" s="54">
        <v>91704</v>
      </c>
      <c r="B182" s="55" t="s">
        <v>1562</v>
      </c>
      <c r="C182" s="106">
        <v>1.6699999999999999E-5</v>
      </c>
      <c r="D182" s="106">
        <v>1.66E-5</v>
      </c>
      <c r="E182" s="56">
        <v>6924.2000000000016</v>
      </c>
      <c r="F182" s="56">
        <v>7450</v>
      </c>
      <c r="G182" s="56">
        <v>35443</v>
      </c>
      <c r="H182" s="56"/>
      <c r="I182" s="57">
        <v>665.91250000000002</v>
      </c>
      <c r="J182" s="57">
        <v>31059</v>
      </c>
      <c r="K182" s="57">
        <v>2428</v>
      </c>
      <c r="L182" s="56">
        <v>1658</v>
      </c>
      <c r="M182" s="56"/>
      <c r="N182" s="57">
        <v>1242</v>
      </c>
      <c r="O182" s="57">
        <v>11464</v>
      </c>
      <c r="P182" s="57">
        <v>0</v>
      </c>
      <c r="Q182" s="56">
        <v>0</v>
      </c>
      <c r="R182" s="57">
        <f t="shared" si="2"/>
        <v>19595</v>
      </c>
      <c r="S182" s="56"/>
      <c r="T182" s="57">
        <v>9473</v>
      </c>
      <c r="U182" s="58">
        <v>628</v>
      </c>
      <c r="V182" s="58">
        <v>10101</v>
      </c>
    </row>
    <row r="183" spans="1:22">
      <c r="A183" s="54">
        <v>91706</v>
      </c>
      <c r="B183" s="55" t="s">
        <v>1563</v>
      </c>
      <c r="C183" s="106">
        <v>2.4279999999999999E-4</v>
      </c>
      <c r="D183" s="106">
        <v>2.565E-4</v>
      </c>
      <c r="E183" s="56">
        <v>104554.31999999999</v>
      </c>
      <c r="F183" s="56">
        <v>115116</v>
      </c>
      <c r="G183" s="56">
        <v>515303</v>
      </c>
      <c r="H183" s="56"/>
      <c r="I183" s="57">
        <v>9681.65</v>
      </c>
      <c r="J183" s="57">
        <v>451570</v>
      </c>
      <c r="K183" s="57">
        <v>35294</v>
      </c>
      <c r="L183" s="56">
        <v>807</v>
      </c>
      <c r="M183" s="56"/>
      <c r="N183" s="57">
        <v>18057</v>
      </c>
      <c r="O183" s="57">
        <v>166672</v>
      </c>
      <c r="P183" s="57">
        <v>0</v>
      </c>
      <c r="Q183" s="56">
        <v>14823</v>
      </c>
      <c r="R183" s="57">
        <f t="shared" si="2"/>
        <v>284898</v>
      </c>
      <c r="S183" s="56"/>
      <c r="T183" s="57">
        <v>137733</v>
      </c>
      <c r="U183" s="58">
        <v>-6265</v>
      </c>
      <c r="V183" s="58">
        <v>131468</v>
      </c>
    </row>
    <row r="184" spans="1:22">
      <c r="A184" s="54">
        <v>91719</v>
      </c>
      <c r="B184" s="55" t="s">
        <v>1564</v>
      </c>
      <c r="C184" s="106">
        <v>4.9299999999999999E-5</v>
      </c>
      <c r="D184" s="106">
        <v>4.4199999999999997E-5</v>
      </c>
      <c r="E184" s="56">
        <v>15848.369999999997</v>
      </c>
      <c r="F184" s="56">
        <v>19837</v>
      </c>
      <c r="G184" s="56">
        <v>104631</v>
      </c>
      <c r="H184" s="56"/>
      <c r="I184" s="57">
        <v>1966</v>
      </c>
      <c r="J184" s="57">
        <v>91690</v>
      </c>
      <c r="K184" s="57">
        <v>7166</v>
      </c>
      <c r="L184" s="56">
        <v>6810</v>
      </c>
      <c r="M184" s="56"/>
      <c r="N184" s="57">
        <v>3666</v>
      </c>
      <c r="O184" s="57">
        <v>33842</v>
      </c>
      <c r="P184" s="57">
        <v>0</v>
      </c>
      <c r="Q184" s="56">
        <v>3972</v>
      </c>
      <c r="R184" s="57">
        <f t="shared" si="2"/>
        <v>57848</v>
      </c>
      <c r="S184" s="56"/>
      <c r="T184" s="57">
        <v>27966</v>
      </c>
      <c r="U184" s="58">
        <v>602</v>
      </c>
      <c r="V184" s="58">
        <v>28568</v>
      </c>
    </row>
    <row r="185" spans="1:22">
      <c r="A185" s="54">
        <v>91801</v>
      </c>
      <c r="B185" s="55" t="s">
        <v>1565</v>
      </c>
      <c r="C185" s="106">
        <v>8.3853999999999995E-3</v>
      </c>
      <c r="D185" s="106">
        <v>8.1784000000000006E-3</v>
      </c>
      <c r="E185" s="56">
        <v>3229080.93</v>
      </c>
      <c r="F185" s="56">
        <v>3670417</v>
      </c>
      <c r="G185" s="56">
        <v>17796628</v>
      </c>
      <c r="H185" s="56"/>
      <c r="I185" s="57">
        <v>334368</v>
      </c>
      <c r="J185" s="57">
        <v>15595519</v>
      </c>
      <c r="K185" s="57">
        <v>1218910</v>
      </c>
      <c r="L185" s="56">
        <v>0</v>
      </c>
      <c r="M185" s="56"/>
      <c r="N185" s="57">
        <v>623614</v>
      </c>
      <c r="O185" s="57">
        <v>5756225</v>
      </c>
      <c r="P185" s="57">
        <v>0</v>
      </c>
      <c r="Q185" s="56">
        <v>122778</v>
      </c>
      <c r="R185" s="57">
        <f t="shared" si="2"/>
        <v>9839294</v>
      </c>
      <c r="S185" s="56"/>
      <c r="T185" s="57">
        <v>4756777</v>
      </c>
      <c r="U185" s="58">
        <v>-45736</v>
      </c>
      <c r="V185" s="58">
        <v>4711042</v>
      </c>
    </row>
    <row r="186" spans="1:22">
      <c r="A186" s="54">
        <v>91804</v>
      </c>
      <c r="B186" s="55" t="s">
        <v>1566</v>
      </c>
      <c r="C186" s="106">
        <v>1.462E-4</v>
      </c>
      <c r="D186" s="106">
        <v>1.4349999999999999E-4</v>
      </c>
      <c r="E186" s="56">
        <v>90420.56</v>
      </c>
      <c r="F186" s="56">
        <v>64402</v>
      </c>
      <c r="G186" s="56">
        <v>310285</v>
      </c>
      <c r="H186" s="56"/>
      <c r="I186" s="57">
        <v>5830</v>
      </c>
      <c r="J186" s="57">
        <v>271909</v>
      </c>
      <c r="K186" s="57">
        <v>21252</v>
      </c>
      <c r="L186" s="56">
        <v>55024</v>
      </c>
      <c r="M186" s="56"/>
      <c r="N186" s="57">
        <v>10873</v>
      </c>
      <c r="O186" s="57">
        <v>100360</v>
      </c>
      <c r="P186" s="57">
        <v>0</v>
      </c>
      <c r="Q186" s="56">
        <v>0</v>
      </c>
      <c r="R186" s="57">
        <f t="shared" si="2"/>
        <v>171549</v>
      </c>
      <c r="S186" s="56"/>
      <c r="T186" s="57">
        <v>82935</v>
      </c>
      <c r="U186" s="58">
        <v>18762</v>
      </c>
      <c r="V186" s="58">
        <v>101697</v>
      </c>
    </row>
    <row r="187" spans="1:22">
      <c r="A187" s="54">
        <v>91811</v>
      </c>
      <c r="B187" s="55" t="s">
        <v>1567</v>
      </c>
      <c r="C187" s="106">
        <v>4.6454000000000001E-3</v>
      </c>
      <c r="D187" s="106">
        <v>5.0266E-3</v>
      </c>
      <c r="E187" s="56">
        <v>1763087.8699999999</v>
      </c>
      <c r="F187" s="56">
        <v>2255908</v>
      </c>
      <c r="G187" s="56">
        <v>9859095</v>
      </c>
      <c r="H187" s="56"/>
      <c r="I187" s="57">
        <v>185235</v>
      </c>
      <c r="J187" s="57">
        <v>8639710</v>
      </c>
      <c r="K187" s="57">
        <v>675260</v>
      </c>
      <c r="L187" s="56">
        <v>0</v>
      </c>
      <c r="M187" s="56"/>
      <c r="N187" s="57">
        <v>345474</v>
      </c>
      <c r="O187" s="57">
        <v>3188872</v>
      </c>
      <c r="P187" s="57">
        <v>0</v>
      </c>
      <c r="Q187" s="56">
        <v>514506</v>
      </c>
      <c r="R187" s="57">
        <f t="shared" si="2"/>
        <v>5450838</v>
      </c>
      <c r="S187" s="56"/>
      <c r="T187" s="57">
        <v>2635191</v>
      </c>
      <c r="U187" s="58">
        <v>-157089</v>
      </c>
      <c r="V187" s="58">
        <v>2478102</v>
      </c>
    </row>
    <row r="188" spans="1:22">
      <c r="A188" s="54">
        <v>91812</v>
      </c>
      <c r="B188" s="55" t="s">
        <v>1568</v>
      </c>
      <c r="C188" s="106">
        <v>5.8199999999999998E-5</v>
      </c>
      <c r="D188" s="106">
        <v>4.1499999999999999E-5</v>
      </c>
      <c r="E188" s="56">
        <v>24707.129999999997</v>
      </c>
      <c r="F188" s="56">
        <v>18625</v>
      </c>
      <c r="G188" s="56">
        <v>123520</v>
      </c>
      <c r="H188" s="56"/>
      <c r="I188" s="57">
        <v>2320.7249999999999</v>
      </c>
      <c r="J188" s="57">
        <v>108243</v>
      </c>
      <c r="K188" s="57">
        <v>8460</v>
      </c>
      <c r="L188" s="56">
        <v>16587</v>
      </c>
      <c r="M188" s="56"/>
      <c r="N188" s="57">
        <v>4328</v>
      </c>
      <c r="O188" s="57">
        <v>39952</v>
      </c>
      <c r="P188" s="57">
        <v>0</v>
      </c>
      <c r="Q188" s="56">
        <v>0</v>
      </c>
      <c r="R188" s="57">
        <f t="shared" si="2"/>
        <v>68291</v>
      </c>
      <c r="S188" s="56"/>
      <c r="T188" s="57">
        <v>33015</v>
      </c>
      <c r="U188" s="58">
        <v>5261</v>
      </c>
      <c r="V188" s="58">
        <v>38276</v>
      </c>
    </row>
    <row r="189" spans="1:22">
      <c r="A189" s="54">
        <v>91813</v>
      </c>
      <c r="B189" s="55" t="s">
        <v>1569</v>
      </c>
      <c r="C189" s="106">
        <v>1.083E-4</v>
      </c>
      <c r="D189" s="106">
        <v>9.6100000000000005E-5</v>
      </c>
      <c r="E189" s="56">
        <v>43088.72</v>
      </c>
      <c r="F189" s="56">
        <v>43129</v>
      </c>
      <c r="G189" s="56">
        <v>229849</v>
      </c>
      <c r="H189" s="56"/>
      <c r="I189" s="57">
        <v>4318</v>
      </c>
      <c r="J189" s="57">
        <v>201421</v>
      </c>
      <c r="K189" s="57">
        <v>15743</v>
      </c>
      <c r="L189" s="56">
        <v>16214</v>
      </c>
      <c r="M189" s="56"/>
      <c r="N189" s="57">
        <v>8054</v>
      </c>
      <c r="O189" s="57">
        <v>74343</v>
      </c>
      <c r="P189" s="57">
        <v>0</v>
      </c>
      <c r="Q189" s="56">
        <v>5268</v>
      </c>
      <c r="R189" s="57">
        <f t="shared" si="2"/>
        <v>127078</v>
      </c>
      <c r="S189" s="56"/>
      <c r="T189" s="57">
        <v>61435</v>
      </c>
      <c r="U189" s="58">
        <v>2581</v>
      </c>
      <c r="V189" s="58">
        <v>64016</v>
      </c>
    </row>
    <row r="190" spans="1:22">
      <c r="A190" s="54">
        <v>91818</v>
      </c>
      <c r="B190" s="55" t="s">
        <v>1570</v>
      </c>
      <c r="C190" s="106">
        <v>3.8559999999999999E-4</v>
      </c>
      <c r="D190" s="106">
        <v>3.8890000000000002E-4</v>
      </c>
      <c r="E190" s="56">
        <v>416376.07000000007</v>
      </c>
      <c r="F190" s="56">
        <v>174536</v>
      </c>
      <c r="G190" s="56">
        <v>818372</v>
      </c>
      <c r="H190" s="56"/>
      <c r="I190" s="57">
        <v>15375.8</v>
      </c>
      <c r="J190" s="57">
        <v>717155</v>
      </c>
      <c r="K190" s="57">
        <v>56051</v>
      </c>
      <c r="L190" s="56">
        <v>347266</v>
      </c>
      <c r="M190" s="56"/>
      <c r="N190" s="57">
        <v>28677</v>
      </c>
      <c r="O190" s="57">
        <v>264698</v>
      </c>
      <c r="P190" s="57">
        <v>0</v>
      </c>
      <c r="Q190" s="56">
        <v>10099</v>
      </c>
      <c r="R190" s="57">
        <f t="shared" si="2"/>
        <v>452457</v>
      </c>
      <c r="S190" s="56"/>
      <c r="T190" s="57">
        <v>218739</v>
      </c>
      <c r="U190" s="58">
        <v>98677</v>
      </c>
      <c r="V190" s="58">
        <v>317416</v>
      </c>
    </row>
    <row r="191" spans="1:22">
      <c r="A191" s="54">
        <v>91819</v>
      </c>
      <c r="B191" s="55" t="s">
        <v>1571</v>
      </c>
      <c r="C191" s="106">
        <v>2.8200000000000002E-4</v>
      </c>
      <c r="D191" s="106">
        <v>2.9609999999999999E-4</v>
      </c>
      <c r="E191" s="56">
        <v>118267.02</v>
      </c>
      <c r="F191" s="56">
        <v>132888</v>
      </c>
      <c r="G191" s="56">
        <v>598498</v>
      </c>
      <c r="H191" s="56"/>
      <c r="I191" s="57">
        <v>11245</v>
      </c>
      <c r="J191" s="57">
        <v>524475</v>
      </c>
      <c r="K191" s="57">
        <v>40992</v>
      </c>
      <c r="L191" s="56">
        <v>13743</v>
      </c>
      <c r="M191" s="56"/>
      <c r="N191" s="57">
        <v>20972</v>
      </c>
      <c r="O191" s="57">
        <v>193581</v>
      </c>
      <c r="P191" s="57">
        <v>0</v>
      </c>
      <c r="Q191" s="56">
        <v>11963</v>
      </c>
      <c r="R191" s="57">
        <f t="shared" si="2"/>
        <v>330894</v>
      </c>
      <c r="S191" s="56"/>
      <c r="T191" s="57">
        <v>159970</v>
      </c>
      <c r="U191" s="58">
        <v>3219</v>
      </c>
      <c r="V191" s="58">
        <v>163189</v>
      </c>
    </row>
    <row r="192" spans="1:22">
      <c r="A192" s="54">
        <v>91821</v>
      </c>
      <c r="B192" s="55" t="s">
        <v>1572</v>
      </c>
      <c r="C192" s="106">
        <v>1.63E-4</v>
      </c>
      <c r="D192" s="106">
        <v>1.5799999999999999E-4</v>
      </c>
      <c r="E192" s="56">
        <v>61732.91</v>
      </c>
      <c r="F192" s="56">
        <v>70909</v>
      </c>
      <c r="G192" s="56">
        <v>345941</v>
      </c>
      <c r="H192" s="56"/>
      <c r="I192" s="57">
        <v>6499.625</v>
      </c>
      <c r="J192" s="57">
        <v>303154</v>
      </c>
      <c r="K192" s="57">
        <v>23694</v>
      </c>
      <c r="L192" s="56">
        <v>4196</v>
      </c>
      <c r="M192" s="56"/>
      <c r="N192" s="57">
        <v>12122</v>
      </c>
      <c r="O192" s="57">
        <v>111893</v>
      </c>
      <c r="P192" s="57">
        <v>0</v>
      </c>
      <c r="Q192" s="56">
        <v>1501</v>
      </c>
      <c r="R192" s="57">
        <f t="shared" si="2"/>
        <v>191261</v>
      </c>
      <c r="S192" s="56"/>
      <c r="T192" s="57">
        <v>92465</v>
      </c>
      <c r="U192" s="58">
        <v>1532</v>
      </c>
      <c r="V192" s="58">
        <v>93997</v>
      </c>
    </row>
    <row r="193" spans="1:22">
      <c r="A193" s="54">
        <v>91831</v>
      </c>
      <c r="B193" s="55" t="s">
        <v>1573</v>
      </c>
      <c r="C193" s="106">
        <v>3.414E-4</v>
      </c>
      <c r="D193" s="106">
        <v>3.344E-4</v>
      </c>
      <c r="E193" s="56">
        <v>124107.91</v>
      </c>
      <c r="F193" s="56">
        <v>150077</v>
      </c>
      <c r="G193" s="56">
        <v>724565</v>
      </c>
      <c r="H193" s="56"/>
      <c r="I193" s="57">
        <v>13613</v>
      </c>
      <c r="J193" s="57">
        <v>634950</v>
      </c>
      <c r="K193" s="57">
        <v>49626</v>
      </c>
      <c r="L193" s="56">
        <v>12411</v>
      </c>
      <c r="M193" s="56"/>
      <c r="N193" s="57">
        <v>25390</v>
      </c>
      <c r="O193" s="57">
        <v>234357</v>
      </c>
      <c r="P193" s="57">
        <v>0</v>
      </c>
      <c r="Q193" s="56">
        <v>9146</v>
      </c>
      <c r="R193" s="57">
        <f t="shared" si="2"/>
        <v>400593</v>
      </c>
      <c r="S193" s="56"/>
      <c r="T193" s="57">
        <v>193666</v>
      </c>
      <c r="U193" s="58">
        <v>2194</v>
      </c>
      <c r="V193" s="58">
        <v>195860</v>
      </c>
    </row>
    <row r="194" spans="1:22">
      <c r="A194" s="54">
        <v>91841</v>
      </c>
      <c r="B194" s="55" t="s">
        <v>1574</v>
      </c>
      <c r="C194" s="106">
        <v>2.63E-4</v>
      </c>
      <c r="D194" s="106">
        <v>2.7290000000000002E-4</v>
      </c>
      <c r="E194" s="56">
        <v>112188.05</v>
      </c>
      <c r="F194" s="56">
        <v>122476</v>
      </c>
      <c r="G194" s="56">
        <v>558174</v>
      </c>
      <c r="H194" s="56"/>
      <c r="I194" s="57">
        <v>10487.125</v>
      </c>
      <c r="J194" s="57">
        <v>489138</v>
      </c>
      <c r="K194" s="57">
        <v>38230</v>
      </c>
      <c r="L194" s="56">
        <v>0</v>
      </c>
      <c r="M194" s="56"/>
      <c r="N194" s="57">
        <v>19559</v>
      </c>
      <c r="O194" s="57">
        <v>180538</v>
      </c>
      <c r="P194" s="57">
        <v>0</v>
      </c>
      <c r="Q194" s="56">
        <v>24859</v>
      </c>
      <c r="R194" s="57">
        <f t="shared" si="2"/>
        <v>308600</v>
      </c>
      <c r="S194" s="56"/>
      <c r="T194" s="57">
        <v>149192</v>
      </c>
      <c r="U194" s="58">
        <v>-10148</v>
      </c>
      <c r="V194" s="58">
        <v>139044</v>
      </c>
    </row>
    <row r="195" spans="1:22">
      <c r="A195" s="54">
        <v>91851</v>
      </c>
      <c r="B195" s="55" t="s">
        <v>1575</v>
      </c>
      <c r="C195" s="106">
        <v>7.2059999999999995E-4</v>
      </c>
      <c r="D195" s="106">
        <v>7.8410000000000003E-4</v>
      </c>
      <c r="E195" s="56">
        <v>289167.15999999997</v>
      </c>
      <c r="F195" s="56">
        <v>351899</v>
      </c>
      <c r="G195" s="56">
        <v>1529355</v>
      </c>
      <c r="H195" s="56"/>
      <c r="I195" s="57">
        <v>28734</v>
      </c>
      <c r="J195" s="57">
        <v>1340202</v>
      </c>
      <c r="K195" s="57">
        <v>104747</v>
      </c>
      <c r="L195" s="56">
        <v>7182</v>
      </c>
      <c r="M195" s="56"/>
      <c r="N195" s="57">
        <v>53590</v>
      </c>
      <c r="O195" s="57">
        <v>494662</v>
      </c>
      <c r="P195" s="57">
        <v>0</v>
      </c>
      <c r="Q195" s="56">
        <v>62684</v>
      </c>
      <c r="R195" s="57">
        <f t="shared" si="2"/>
        <v>845540</v>
      </c>
      <c r="S195" s="56"/>
      <c r="T195" s="57">
        <v>408774</v>
      </c>
      <c r="U195" s="58">
        <v>-14788</v>
      </c>
      <c r="V195" s="58">
        <v>393986</v>
      </c>
    </row>
    <row r="196" spans="1:22">
      <c r="A196" s="54">
        <v>91861</v>
      </c>
      <c r="B196" s="55" t="s">
        <v>1576</v>
      </c>
      <c r="C196" s="106">
        <v>1.9899999999999999E-5</v>
      </c>
      <c r="D196" s="106">
        <v>1.8499999999999999E-5</v>
      </c>
      <c r="E196" s="56">
        <v>7957.7099999999991</v>
      </c>
      <c r="F196" s="56">
        <v>8303</v>
      </c>
      <c r="G196" s="56">
        <v>42234</v>
      </c>
      <c r="H196" s="56"/>
      <c r="I196" s="57">
        <v>794</v>
      </c>
      <c r="J196" s="57">
        <v>37011</v>
      </c>
      <c r="K196" s="57">
        <v>2893</v>
      </c>
      <c r="L196" s="56">
        <v>3091</v>
      </c>
      <c r="M196" s="56"/>
      <c r="N196" s="57">
        <v>1480</v>
      </c>
      <c r="O196" s="57">
        <v>13661</v>
      </c>
      <c r="P196" s="57">
        <v>0</v>
      </c>
      <c r="Q196" s="56">
        <v>221</v>
      </c>
      <c r="R196" s="57">
        <f t="shared" si="2"/>
        <v>23350</v>
      </c>
      <c r="S196" s="56"/>
      <c r="T196" s="57">
        <v>11289</v>
      </c>
      <c r="U196" s="58">
        <v>930</v>
      </c>
      <c r="V196" s="58">
        <v>12219</v>
      </c>
    </row>
    <row r="197" spans="1:22">
      <c r="A197" s="54">
        <v>91871</v>
      </c>
      <c r="B197" s="55" t="s">
        <v>1577</v>
      </c>
      <c r="C197" s="106">
        <v>1.2712000000000001E-3</v>
      </c>
      <c r="D197" s="106">
        <v>1.3523000000000001E-3</v>
      </c>
      <c r="E197" s="56">
        <v>508749.63</v>
      </c>
      <c r="F197" s="56">
        <v>606904</v>
      </c>
      <c r="G197" s="56">
        <v>2697912</v>
      </c>
      <c r="H197" s="56"/>
      <c r="I197" s="57">
        <v>50689</v>
      </c>
      <c r="J197" s="57">
        <v>2364231</v>
      </c>
      <c r="K197" s="57">
        <v>184783</v>
      </c>
      <c r="L197" s="56">
        <v>0</v>
      </c>
      <c r="M197" s="56"/>
      <c r="N197" s="57">
        <v>94538</v>
      </c>
      <c r="O197" s="57">
        <v>872625</v>
      </c>
      <c r="P197" s="57">
        <v>0</v>
      </c>
      <c r="Q197" s="56">
        <v>108234</v>
      </c>
      <c r="R197" s="57">
        <f t="shared" si="2"/>
        <v>1491606</v>
      </c>
      <c r="S197" s="56"/>
      <c r="T197" s="57">
        <v>721112</v>
      </c>
      <c r="U197" s="58">
        <v>-34437</v>
      </c>
      <c r="V197" s="58">
        <v>686676</v>
      </c>
    </row>
    <row r="198" spans="1:22">
      <c r="A198" s="54">
        <v>91881</v>
      </c>
      <c r="B198" s="55" t="s">
        <v>1578</v>
      </c>
      <c r="C198" s="106">
        <v>1.01E-5</v>
      </c>
      <c r="D198" s="106">
        <v>2.1399999999999998E-5</v>
      </c>
      <c r="E198" s="56">
        <v>5881.13</v>
      </c>
      <c r="F198" s="56">
        <v>9604</v>
      </c>
      <c r="G198" s="56">
        <v>21436</v>
      </c>
      <c r="H198" s="56"/>
      <c r="I198" s="57">
        <v>402.73750000000001</v>
      </c>
      <c r="J198" s="57">
        <v>18784</v>
      </c>
      <c r="K198" s="57">
        <v>1468</v>
      </c>
      <c r="L198" s="56">
        <v>0</v>
      </c>
      <c r="M198" s="56"/>
      <c r="N198" s="57">
        <v>751</v>
      </c>
      <c r="O198" s="57">
        <v>6933</v>
      </c>
      <c r="P198" s="57">
        <v>0</v>
      </c>
      <c r="Q198" s="56">
        <v>14714</v>
      </c>
      <c r="R198" s="57">
        <f t="shared" si="2"/>
        <v>11851</v>
      </c>
      <c r="S198" s="56"/>
      <c r="T198" s="57">
        <v>5729</v>
      </c>
      <c r="U198" s="58">
        <v>-5904</v>
      </c>
      <c r="V198" s="58">
        <v>-175</v>
      </c>
    </row>
    <row r="199" spans="1:22">
      <c r="A199" s="54">
        <v>91901</v>
      </c>
      <c r="B199" s="55" t="s">
        <v>1579</v>
      </c>
      <c r="C199" s="106">
        <v>3.6564000000000002E-3</v>
      </c>
      <c r="D199" s="106">
        <v>3.4198000000000002E-3</v>
      </c>
      <c r="E199" s="56">
        <v>1388384.1</v>
      </c>
      <c r="F199" s="56">
        <v>1534786</v>
      </c>
      <c r="G199" s="56">
        <v>7760106</v>
      </c>
      <c r="H199" s="56"/>
      <c r="I199" s="57">
        <v>145799</v>
      </c>
      <c r="J199" s="57">
        <v>6800326</v>
      </c>
      <c r="K199" s="57">
        <v>531498</v>
      </c>
      <c r="L199" s="56">
        <v>147570</v>
      </c>
      <c r="M199" s="56"/>
      <c r="N199" s="57">
        <v>271923</v>
      </c>
      <c r="O199" s="57">
        <v>2509965</v>
      </c>
      <c r="P199" s="57">
        <v>0</v>
      </c>
      <c r="Q199" s="56">
        <v>0</v>
      </c>
      <c r="R199" s="57">
        <f t="shared" ref="R199:R262" si="3">IF(J199&gt;O199,J199-O199,O199-J199)</f>
        <v>4290361</v>
      </c>
      <c r="S199" s="56"/>
      <c r="T199" s="57">
        <v>2074162</v>
      </c>
      <c r="U199" s="58">
        <v>57850</v>
      </c>
      <c r="V199" s="58">
        <v>2132013</v>
      </c>
    </row>
    <row r="200" spans="1:22">
      <c r="A200" s="54">
        <v>91903</v>
      </c>
      <c r="B200" s="55" t="s">
        <v>1580</v>
      </c>
      <c r="C200" s="106">
        <v>8.3999999999999992E-6</v>
      </c>
      <c r="D200" s="106">
        <v>9.5000000000000005E-6</v>
      </c>
      <c r="E200" s="56">
        <v>4422.4000000000005</v>
      </c>
      <c r="F200" s="56">
        <v>4264</v>
      </c>
      <c r="G200" s="56">
        <v>17828</v>
      </c>
      <c r="H200" s="56"/>
      <c r="I200" s="57">
        <v>334.95</v>
      </c>
      <c r="J200" s="57">
        <v>15623</v>
      </c>
      <c r="K200" s="57">
        <v>1221</v>
      </c>
      <c r="L200" s="56">
        <v>656</v>
      </c>
      <c r="M200" s="56"/>
      <c r="N200" s="57">
        <v>625</v>
      </c>
      <c r="O200" s="57">
        <v>5766</v>
      </c>
      <c r="P200" s="57">
        <v>0</v>
      </c>
      <c r="Q200" s="56">
        <v>6052</v>
      </c>
      <c r="R200" s="57">
        <f t="shared" si="3"/>
        <v>9857</v>
      </c>
      <c r="S200" s="56"/>
      <c r="T200" s="57">
        <v>4765</v>
      </c>
      <c r="U200" s="58">
        <v>-2825</v>
      </c>
      <c r="V200" s="58">
        <v>1940</v>
      </c>
    </row>
    <row r="201" spans="1:22">
      <c r="A201" s="54">
        <v>91904</v>
      </c>
      <c r="B201" s="55" t="s">
        <v>1581</v>
      </c>
      <c r="C201" s="106">
        <v>2.3300000000000001E-5</v>
      </c>
      <c r="D201" s="106">
        <v>1.1600000000000001E-5</v>
      </c>
      <c r="E201" s="56">
        <v>9195.409999999998</v>
      </c>
      <c r="F201" s="56">
        <v>5206</v>
      </c>
      <c r="G201" s="56">
        <v>49450</v>
      </c>
      <c r="H201" s="56"/>
      <c r="I201" s="57">
        <v>929.08749999999998</v>
      </c>
      <c r="J201" s="57">
        <v>43334</v>
      </c>
      <c r="K201" s="57">
        <v>3387</v>
      </c>
      <c r="L201" s="56">
        <v>9161</v>
      </c>
      <c r="M201" s="56"/>
      <c r="N201" s="57">
        <v>1733</v>
      </c>
      <c r="O201" s="57">
        <v>15994</v>
      </c>
      <c r="P201" s="57">
        <v>0</v>
      </c>
      <c r="Q201" s="56">
        <v>0</v>
      </c>
      <c r="R201" s="57">
        <f t="shared" si="3"/>
        <v>27340</v>
      </c>
      <c r="S201" s="56"/>
      <c r="T201" s="57">
        <v>13217</v>
      </c>
      <c r="U201" s="58">
        <v>3062</v>
      </c>
      <c r="V201" s="58">
        <v>16279</v>
      </c>
    </row>
    <row r="202" spans="1:22">
      <c r="A202" s="54">
        <v>91908</v>
      </c>
      <c r="B202" s="55" t="s">
        <v>1582</v>
      </c>
      <c r="C202" s="106">
        <v>1.3699999999999999E-5</v>
      </c>
      <c r="D202" s="106">
        <v>1.73E-5</v>
      </c>
      <c r="E202" s="56">
        <v>3751.2</v>
      </c>
      <c r="F202" s="56">
        <v>7764</v>
      </c>
      <c r="G202" s="56">
        <v>29076</v>
      </c>
      <c r="H202" s="56"/>
      <c r="I202" s="57">
        <v>546.28750000000002</v>
      </c>
      <c r="J202" s="57">
        <v>25480</v>
      </c>
      <c r="K202" s="57">
        <v>1991</v>
      </c>
      <c r="L202" s="56">
        <v>1638</v>
      </c>
      <c r="M202" s="56"/>
      <c r="N202" s="57">
        <v>1019</v>
      </c>
      <c r="O202" s="57">
        <v>9404</v>
      </c>
      <c r="P202" s="57">
        <v>0</v>
      </c>
      <c r="Q202" s="56">
        <v>3446</v>
      </c>
      <c r="R202" s="57">
        <f t="shared" si="3"/>
        <v>16076</v>
      </c>
      <c r="S202" s="56"/>
      <c r="T202" s="57">
        <v>7772</v>
      </c>
      <c r="U202" s="58">
        <v>-83</v>
      </c>
      <c r="V202" s="58">
        <v>7689</v>
      </c>
    </row>
    <row r="203" spans="1:22">
      <c r="A203" s="54">
        <v>91911</v>
      </c>
      <c r="B203" s="55" t="s">
        <v>1583</v>
      </c>
      <c r="C203" s="106">
        <v>4.639E-4</v>
      </c>
      <c r="D203" s="106">
        <v>4.4079999999999998E-4</v>
      </c>
      <c r="E203" s="56">
        <v>186806.7</v>
      </c>
      <c r="F203" s="56">
        <v>197828</v>
      </c>
      <c r="G203" s="56">
        <v>984551</v>
      </c>
      <c r="H203" s="56"/>
      <c r="I203" s="57">
        <v>18498</v>
      </c>
      <c r="J203" s="57">
        <v>862781</v>
      </c>
      <c r="K203" s="57">
        <v>67433</v>
      </c>
      <c r="L203" s="56">
        <v>9361</v>
      </c>
      <c r="M203" s="56"/>
      <c r="N203" s="57">
        <v>34500</v>
      </c>
      <c r="O203" s="57">
        <v>318448</v>
      </c>
      <c r="P203" s="57">
        <v>0</v>
      </c>
      <c r="Q203" s="56">
        <v>8482</v>
      </c>
      <c r="R203" s="57">
        <f t="shared" si="3"/>
        <v>544333</v>
      </c>
      <c r="S203" s="56"/>
      <c r="T203" s="57">
        <v>263156</v>
      </c>
      <c r="U203" s="58">
        <v>-1046</v>
      </c>
      <c r="V203" s="58">
        <v>262110</v>
      </c>
    </row>
    <row r="204" spans="1:22">
      <c r="A204" s="54">
        <v>91917</v>
      </c>
      <c r="B204" s="55" t="s">
        <v>1584</v>
      </c>
      <c r="C204" s="106">
        <v>1.36E-5</v>
      </c>
      <c r="D204" s="106">
        <v>1.42E-5</v>
      </c>
      <c r="E204" s="56">
        <v>6743.42</v>
      </c>
      <c r="F204" s="56">
        <v>6373</v>
      </c>
      <c r="G204" s="56">
        <v>28864</v>
      </c>
      <c r="H204" s="56"/>
      <c r="I204" s="57">
        <v>542</v>
      </c>
      <c r="J204" s="57">
        <v>25294</v>
      </c>
      <c r="K204" s="57">
        <v>1977</v>
      </c>
      <c r="L204" s="56">
        <v>731</v>
      </c>
      <c r="M204" s="56"/>
      <c r="N204" s="57">
        <v>1011</v>
      </c>
      <c r="O204" s="57">
        <v>9336</v>
      </c>
      <c r="P204" s="57">
        <v>0</v>
      </c>
      <c r="Q204" s="56">
        <v>0</v>
      </c>
      <c r="R204" s="57">
        <f t="shared" si="3"/>
        <v>15958</v>
      </c>
      <c r="S204" s="56"/>
      <c r="T204" s="57">
        <v>7715</v>
      </c>
      <c r="U204" s="58">
        <v>203</v>
      </c>
      <c r="V204" s="58">
        <v>7918</v>
      </c>
    </row>
    <row r="205" spans="1:22">
      <c r="A205" s="54">
        <v>91921</v>
      </c>
      <c r="B205" s="55" t="s">
        <v>1585</v>
      </c>
      <c r="C205" s="106">
        <v>3.6600000000000001E-4</v>
      </c>
      <c r="D205" s="106">
        <v>3.4840000000000001E-4</v>
      </c>
      <c r="E205" s="56">
        <v>136994.49</v>
      </c>
      <c r="F205" s="56">
        <v>156360</v>
      </c>
      <c r="G205" s="56">
        <v>776774.61</v>
      </c>
      <c r="H205" s="56"/>
      <c r="I205" s="57">
        <v>14594.25</v>
      </c>
      <c r="J205" s="57">
        <v>680702</v>
      </c>
      <c r="K205" s="57">
        <v>53202</v>
      </c>
      <c r="L205" s="56">
        <v>0</v>
      </c>
      <c r="M205" s="56"/>
      <c r="N205" s="57">
        <v>27219</v>
      </c>
      <c r="O205" s="57">
        <v>251244</v>
      </c>
      <c r="P205" s="57">
        <v>0</v>
      </c>
      <c r="Q205" s="56">
        <v>12578</v>
      </c>
      <c r="R205" s="57">
        <f t="shared" si="3"/>
        <v>429458</v>
      </c>
      <c r="S205" s="56"/>
      <c r="T205" s="57">
        <v>207620</v>
      </c>
      <c r="U205" s="58">
        <v>-4638</v>
      </c>
      <c r="V205" s="58">
        <v>202982</v>
      </c>
    </row>
    <row r="206" spans="1:22">
      <c r="A206" s="54">
        <v>92001</v>
      </c>
      <c r="B206" s="55" t="s">
        <v>1586</v>
      </c>
      <c r="C206" s="106">
        <v>1.9604000000000002E-3</v>
      </c>
      <c r="D206" s="106">
        <v>1.7531000000000001E-3</v>
      </c>
      <c r="E206" s="56">
        <v>743048.49</v>
      </c>
      <c r="F206" s="56">
        <v>786781</v>
      </c>
      <c r="G206" s="56">
        <v>4160626</v>
      </c>
      <c r="H206" s="56"/>
      <c r="I206" s="57">
        <v>78171</v>
      </c>
      <c r="J206" s="57">
        <v>3646034</v>
      </c>
      <c r="K206" s="57">
        <v>284966</v>
      </c>
      <c r="L206" s="56">
        <v>65513</v>
      </c>
      <c r="M206" s="56"/>
      <c r="N206" s="57">
        <v>145793</v>
      </c>
      <c r="O206" s="57">
        <v>1345732</v>
      </c>
      <c r="P206" s="57">
        <v>0</v>
      </c>
      <c r="Q206" s="56">
        <v>52440.480000000003</v>
      </c>
      <c r="R206" s="57">
        <f t="shared" si="3"/>
        <v>2300302</v>
      </c>
      <c r="S206" s="56"/>
      <c r="T206" s="57">
        <v>1112074</v>
      </c>
      <c r="U206" s="58">
        <v>-9057</v>
      </c>
      <c r="V206" s="58">
        <v>1103017</v>
      </c>
    </row>
    <row r="207" spans="1:22">
      <c r="A207" s="54">
        <v>92005</v>
      </c>
      <c r="B207" s="55" t="s">
        <v>1587</v>
      </c>
      <c r="C207" s="106">
        <v>4.6499999999999999E-5</v>
      </c>
      <c r="D207" s="106">
        <v>4.5800000000000002E-5</v>
      </c>
      <c r="E207" s="56">
        <v>20891.13</v>
      </c>
      <c r="F207" s="56">
        <v>20555</v>
      </c>
      <c r="G207" s="56">
        <v>98689</v>
      </c>
      <c r="H207" s="56"/>
      <c r="I207" s="57">
        <v>1854.1875</v>
      </c>
      <c r="J207" s="57">
        <v>86483</v>
      </c>
      <c r="K207" s="57">
        <v>6759</v>
      </c>
      <c r="L207" s="56">
        <v>2627</v>
      </c>
      <c r="M207" s="56"/>
      <c r="N207" s="57">
        <v>3458</v>
      </c>
      <c r="O207" s="57">
        <v>31920</v>
      </c>
      <c r="P207" s="57">
        <v>0</v>
      </c>
      <c r="Q207" s="56">
        <v>597</v>
      </c>
      <c r="R207" s="57">
        <f t="shared" si="3"/>
        <v>54563</v>
      </c>
      <c r="S207" s="56"/>
      <c r="T207" s="57">
        <v>26378</v>
      </c>
      <c r="U207" s="58">
        <v>674</v>
      </c>
      <c r="V207" s="58">
        <v>27053</v>
      </c>
    </row>
    <row r="208" spans="1:22">
      <c r="A208" s="54">
        <v>92011</v>
      </c>
      <c r="B208" s="55" t="s">
        <v>1588</v>
      </c>
      <c r="C208" s="106">
        <v>1.8660000000000001E-4</v>
      </c>
      <c r="D208" s="106">
        <v>1.8230000000000001E-4</v>
      </c>
      <c r="E208" s="56">
        <v>77715.649999999994</v>
      </c>
      <c r="F208" s="56">
        <v>81815</v>
      </c>
      <c r="G208" s="56">
        <v>396028</v>
      </c>
      <c r="H208" s="56"/>
      <c r="I208" s="57">
        <v>7441</v>
      </c>
      <c r="J208" s="57">
        <v>347047</v>
      </c>
      <c r="K208" s="57">
        <v>27124</v>
      </c>
      <c r="L208" s="56">
        <v>17408</v>
      </c>
      <c r="M208" s="56"/>
      <c r="N208" s="57">
        <v>13877</v>
      </c>
      <c r="O208" s="57">
        <v>128093</v>
      </c>
      <c r="P208" s="57">
        <v>0</v>
      </c>
      <c r="Q208" s="56">
        <v>0</v>
      </c>
      <c r="R208" s="57">
        <f t="shared" si="3"/>
        <v>218954</v>
      </c>
      <c r="S208" s="56"/>
      <c r="T208" s="57">
        <v>105852</v>
      </c>
      <c r="U208" s="58">
        <v>7783</v>
      </c>
      <c r="V208" s="58">
        <v>113635</v>
      </c>
    </row>
    <row r="209" spans="1:22">
      <c r="A209" s="54">
        <v>92017</v>
      </c>
      <c r="B209" s="55" t="s">
        <v>1589</v>
      </c>
      <c r="C209" s="106">
        <v>3.5099999999999999E-5</v>
      </c>
      <c r="D209" s="106">
        <v>3.7100000000000001E-5</v>
      </c>
      <c r="E209" s="56">
        <v>14855.15</v>
      </c>
      <c r="F209" s="56">
        <v>16650</v>
      </c>
      <c r="G209" s="56">
        <v>74494</v>
      </c>
      <c r="H209" s="56"/>
      <c r="I209" s="57">
        <v>1400</v>
      </c>
      <c r="J209" s="57">
        <v>65280</v>
      </c>
      <c r="K209" s="57">
        <v>5102</v>
      </c>
      <c r="L209" s="56">
        <v>388</v>
      </c>
      <c r="M209" s="56"/>
      <c r="N209" s="57">
        <v>2610</v>
      </c>
      <c r="O209" s="57">
        <v>24095</v>
      </c>
      <c r="P209" s="57">
        <v>0</v>
      </c>
      <c r="Q209" s="56">
        <v>2160</v>
      </c>
      <c r="R209" s="57">
        <f t="shared" si="3"/>
        <v>41185</v>
      </c>
      <c r="S209" s="56"/>
      <c r="T209" s="57">
        <v>19911</v>
      </c>
      <c r="U209" s="58">
        <v>-766</v>
      </c>
      <c r="V209" s="58">
        <v>19146</v>
      </c>
    </row>
    <row r="210" spans="1:22">
      <c r="A210" s="54">
        <v>92021</v>
      </c>
      <c r="B210" s="55" t="s">
        <v>1590</v>
      </c>
      <c r="C210" s="106">
        <v>1.4249999999999999E-4</v>
      </c>
      <c r="D210" s="106">
        <v>9.8999999999999994E-5</v>
      </c>
      <c r="E210" s="56">
        <v>63076.850000000006</v>
      </c>
      <c r="F210" s="56">
        <v>44431</v>
      </c>
      <c r="G210" s="56">
        <v>302433</v>
      </c>
      <c r="H210" s="56"/>
      <c r="I210" s="57">
        <v>5682.1875</v>
      </c>
      <c r="J210" s="57">
        <v>265027</v>
      </c>
      <c r="K210" s="57">
        <v>20714</v>
      </c>
      <c r="L210" s="56">
        <v>27119</v>
      </c>
      <c r="M210" s="56"/>
      <c r="N210" s="57">
        <v>10598</v>
      </c>
      <c r="O210" s="57">
        <v>97820</v>
      </c>
      <c r="P210" s="57">
        <v>0</v>
      </c>
      <c r="Q210" s="56">
        <v>18999</v>
      </c>
      <c r="R210" s="57">
        <f t="shared" si="3"/>
        <v>167207</v>
      </c>
      <c r="S210" s="56"/>
      <c r="T210" s="57">
        <v>80836</v>
      </c>
      <c r="U210" s="58">
        <v>-831</v>
      </c>
      <c r="V210" s="58">
        <v>80004</v>
      </c>
    </row>
    <row r="211" spans="1:22">
      <c r="A211" s="54">
        <v>92101</v>
      </c>
      <c r="B211" s="55" t="s">
        <v>1591</v>
      </c>
      <c r="C211" s="106">
        <v>8.6870000000000003E-4</v>
      </c>
      <c r="D211" s="106">
        <v>9.1750000000000002E-4</v>
      </c>
      <c r="E211" s="56">
        <v>332881.28999999998</v>
      </c>
      <c r="F211" s="56">
        <v>411768</v>
      </c>
      <c r="G211" s="56">
        <v>1843672</v>
      </c>
      <c r="H211" s="56"/>
      <c r="I211" s="57">
        <v>34639</v>
      </c>
      <c r="J211" s="57">
        <v>1615645</v>
      </c>
      <c r="K211" s="57">
        <v>126275</v>
      </c>
      <c r="L211" s="56">
        <v>18519</v>
      </c>
      <c r="M211" s="56"/>
      <c r="N211" s="57">
        <v>64604</v>
      </c>
      <c r="O211" s="57">
        <v>596326</v>
      </c>
      <c r="P211" s="57">
        <v>0</v>
      </c>
      <c r="Q211" s="56">
        <v>45788</v>
      </c>
      <c r="R211" s="57">
        <f t="shared" si="3"/>
        <v>1019319</v>
      </c>
      <c r="S211" s="56"/>
      <c r="T211" s="57">
        <v>492787</v>
      </c>
      <c r="U211" s="58">
        <v>-2848</v>
      </c>
      <c r="V211" s="58">
        <v>489939</v>
      </c>
    </row>
    <row r="212" spans="1:22">
      <c r="A212" s="54">
        <v>92104</v>
      </c>
      <c r="B212" s="55" t="s">
        <v>1592</v>
      </c>
      <c r="C212" s="106">
        <v>8.8000000000000004E-6</v>
      </c>
      <c r="D212" s="106">
        <v>8.1000000000000004E-6</v>
      </c>
      <c r="E212" s="56">
        <v>4595.5199999999995</v>
      </c>
      <c r="F212" s="56">
        <v>3635</v>
      </c>
      <c r="G212" s="56">
        <v>18677</v>
      </c>
      <c r="H212" s="56"/>
      <c r="I212" s="57">
        <v>351</v>
      </c>
      <c r="J212" s="57">
        <v>16367</v>
      </c>
      <c r="K212" s="57">
        <v>1279</v>
      </c>
      <c r="L212" s="56">
        <v>4163</v>
      </c>
      <c r="M212" s="56"/>
      <c r="N212" s="57">
        <v>654</v>
      </c>
      <c r="O212" s="57">
        <v>6041</v>
      </c>
      <c r="P212" s="57">
        <v>0</v>
      </c>
      <c r="Q212" s="56">
        <v>0</v>
      </c>
      <c r="R212" s="57">
        <f t="shared" si="3"/>
        <v>10326</v>
      </c>
      <c r="S212" s="56"/>
      <c r="T212" s="57">
        <v>4992</v>
      </c>
      <c r="U212" s="58">
        <v>1637</v>
      </c>
      <c r="V212" s="58">
        <v>6629</v>
      </c>
    </row>
    <row r="213" spans="1:22">
      <c r="A213" s="54">
        <v>92109</v>
      </c>
      <c r="B213" s="55" t="s">
        <v>1593</v>
      </c>
      <c r="C213" s="106">
        <v>1.7909999999999999E-4</v>
      </c>
      <c r="D213" s="106">
        <v>1.7310000000000001E-4</v>
      </c>
      <c r="E213" s="56">
        <v>70342.320000000007</v>
      </c>
      <c r="F213" s="56">
        <v>77686</v>
      </c>
      <c r="G213" s="56">
        <v>380110</v>
      </c>
      <c r="H213" s="56"/>
      <c r="I213" s="57">
        <v>7142</v>
      </c>
      <c r="J213" s="57">
        <v>333098</v>
      </c>
      <c r="K213" s="57">
        <v>26034</v>
      </c>
      <c r="L213" s="56">
        <v>3189</v>
      </c>
      <c r="M213" s="56"/>
      <c r="N213" s="57">
        <v>13319</v>
      </c>
      <c r="O213" s="57">
        <v>122945</v>
      </c>
      <c r="P213" s="57">
        <v>0</v>
      </c>
      <c r="Q213" s="56">
        <v>19542</v>
      </c>
      <c r="R213" s="57">
        <f t="shared" si="3"/>
        <v>210153</v>
      </c>
      <c r="S213" s="56"/>
      <c r="T213" s="57">
        <v>101598</v>
      </c>
      <c r="U213" s="58">
        <v>-5478</v>
      </c>
      <c r="V213" s="58">
        <v>96120</v>
      </c>
    </row>
    <row r="214" spans="1:22">
      <c r="A214" s="54">
        <v>92111</v>
      </c>
      <c r="B214" s="55" t="s">
        <v>1594</v>
      </c>
      <c r="C214" s="106">
        <v>5.0009999999999996E-4</v>
      </c>
      <c r="D214" s="106">
        <v>5.3319999999999995E-4</v>
      </c>
      <c r="E214" s="56">
        <v>205690.42</v>
      </c>
      <c r="F214" s="56">
        <v>239297</v>
      </c>
      <c r="G214" s="56">
        <v>1061380</v>
      </c>
      <c r="H214" s="56"/>
      <c r="I214" s="57">
        <v>19941</v>
      </c>
      <c r="J214" s="57">
        <v>930107</v>
      </c>
      <c r="K214" s="57">
        <v>72695</v>
      </c>
      <c r="L214" s="56">
        <v>14524</v>
      </c>
      <c r="M214" s="56"/>
      <c r="N214" s="57">
        <v>37192</v>
      </c>
      <c r="O214" s="57">
        <v>343298</v>
      </c>
      <c r="P214" s="57">
        <v>0</v>
      </c>
      <c r="Q214" s="56">
        <v>17909</v>
      </c>
      <c r="R214" s="57">
        <f t="shared" si="3"/>
        <v>586809</v>
      </c>
      <c r="S214" s="56"/>
      <c r="T214" s="57">
        <v>283691</v>
      </c>
      <c r="U214" s="58">
        <v>1816</v>
      </c>
      <c r="V214" s="58">
        <v>285507</v>
      </c>
    </row>
    <row r="215" spans="1:22">
      <c r="A215" s="54">
        <v>92113</v>
      </c>
      <c r="B215" s="55" t="s">
        <v>1595</v>
      </c>
      <c r="C215" s="106">
        <v>2.2099999999999998E-5</v>
      </c>
      <c r="D215" s="106">
        <v>2.2900000000000001E-5</v>
      </c>
      <c r="E215" s="56">
        <v>27799.939999999995</v>
      </c>
      <c r="F215" s="56">
        <v>10277</v>
      </c>
      <c r="G215" s="56">
        <v>46904</v>
      </c>
      <c r="H215" s="56"/>
      <c r="I215" s="57">
        <v>881.23749999999995</v>
      </c>
      <c r="J215" s="57">
        <v>41103</v>
      </c>
      <c r="K215" s="57">
        <v>3212</v>
      </c>
      <c r="L215" s="56">
        <v>25322</v>
      </c>
      <c r="M215" s="56"/>
      <c r="N215" s="57">
        <v>1644</v>
      </c>
      <c r="O215" s="57">
        <v>15171</v>
      </c>
      <c r="P215" s="57">
        <v>0</v>
      </c>
      <c r="Q215" s="56">
        <v>0</v>
      </c>
      <c r="R215" s="57">
        <f t="shared" si="3"/>
        <v>25932</v>
      </c>
      <c r="S215" s="56"/>
      <c r="T215" s="57">
        <v>12537</v>
      </c>
      <c r="U215" s="58">
        <v>7718</v>
      </c>
      <c r="V215" s="58">
        <v>20255</v>
      </c>
    </row>
    <row r="216" spans="1:22">
      <c r="A216" s="54">
        <v>92201</v>
      </c>
      <c r="B216" s="55" t="s">
        <v>1596</v>
      </c>
      <c r="C216" s="106">
        <v>1.0267E-3</v>
      </c>
      <c r="D216" s="106">
        <v>9.8930000000000003E-4</v>
      </c>
      <c r="E216" s="56">
        <v>411544.93999999994</v>
      </c>
      <c r="F216" s="56">
        <v>443992</v>
      </c>
      <c r="G216" s="56">
        <v>2179001</v>
      </c>
      <c r="H216" s="56"/>
      <c r="I216" s="57">
        <v>40940</v>
      </c>
      <c r="J216" s="57">
        <v>1909500</v>
      </c>
      <c r="K216" s="57">
        <v>149242</v>
      </c>
      <c r="L216" s="56">
        <v>60698</v>
      </c>
      <c r="M216" s="56"/>
      <c r="N216" s="57">
        <v>76355</v>
      </c>
      <c r="O216" s="57">
        <v>704786</v>
      </c>
      <c r="P216" s="57">
        <v>0</v>
      </c>
      <c r="Q216" s="56">
        <v>0</v>
      </c>
      <c r="R216" s="57">
        <f t="shared" si="3"/>
        <v>1204714</v>
      </c>
      <c r="S216" s="56"/>
      <c r="T216" s="57">
        <v>582415</v>
      </c>
      <c r="U216" s="58">
        <v>23895</v>
      </c>
      <c r="V216" s="58">
        <v>606310</v>
      </c>
    </row>
    <row r="217" spans="1:22">
      <c r="A217" s="54">
        <v>92301</v>
      </c>
      <c r="B217" s="55" t="s">
        <v>1597</v>
      </c>
      <c r="C217" s="106">
        <v>5.2411000000000003E-3</v>
      </c>
      <c r="D217" s="106">
        <v>5.0804999999999999E-3</v>
      </c>
      <c r="E217" s="56">
        <v>2094643.33</v>
      </c>
      <c r="F217" s="56">
        <v>2280098</v>
      </c>
      <c r="G217" s="56">
        <v>11123370</v>
      </c>
      <c r="H217" s="56"/>
      <c r="I217" s="57">
        <v>208989</v>
      </c>
      <c r="J217" s="57">
        <v>9747618</v>
      </c>
      <c r="K217" s="57">
        <v>761852</v>
      </c>
      <c r="L217" s="56">
        <v>77417</v>
      </c>
      <c r="M217" s="56"/>
      <c r="N217" s="57">
        <v>389775</v>
      </c>
      <c r="O217" s="57">
        <v>3597795</v>
      </c>
      <c r="P217" s="57">
        <v>0</v>
      </c>
      <c r="Q217" s="56">
        <v>16658.29</v>
      </c>
      <c r="R217" s="57">
        <f t="shared" si="3"/>
        <v>6149823</v>
      </c>
      <c r="S217" s="56"/>
      <c r="T217" s="57">
        <v>2973114</v>
      </c>
      <c r="U217" s="58">
        <v>15378</v>
      </c>
      <c r="V217" s="58">
        <v>2988491</v>
      </c>
    </row>
    <row r="218" spans="1:22">
      <c r="A218" s="54">
        <v>92302</v>
      </c>
      <c r="B218" s="55" t="s">
        <v>2289</v>
      </c>
      <c r="C218" s="106">
        <v>3.168E-4</v>
      </c>
      <c r="D218" s="106">
        <v>2.9910000000000001E-4</v>
      </c>
      <c r="E218" s="56">
        <v>116637.46000000002</v>
      </c>
      <c r="F218" s="56">
        <v>134234</v>
      </c>
      <c r="G218" s="56">
        <v>672356</v>
      </c>
      <c r="H218" s="56"/>
      <c r="I218" s="57">
        <v>12632.4</v>
      </c>
      <c r="J218" s="57">
        <v>589198</v>
      </c>
      <c r="K218" s="57">
        <v>46050</v>
      </c>
      <c r="L218" s="56">
        <v>0</v>
      </c>
      <c r="M218" s="56"/>
      <c r="N218" s="57">
        <v>23560</v>
      </c>
      <c r="O218" s="57">
        <v>217470</v>
      </c>
      <c r="P218" s="57">
        <v>0</v>
      </c>
      <c r="Q218" s="56">
        <v>9658</v>
      </c>
      <c r="R218" s="57">
        <f t="shared" si="3"/>
        <v>371728</v>
      </c>
      <c r="S218" s="56"/>
      <c r="T218" s="57">
        <v>179711</v>
      </c>
      <c r="U218" s="58">
        <v>-3995</v>
      </c>
      <c r="V218" s="58">
        <v>175716</v>
      </c>
    </row>
    <row r="219" spans="1:22">
      <c r="A219" s="54">
        <v>92311</v>
      </c>
      <c r="B219" s="55" t="s">
        <v>1599</v>
      </c>
      <c r="C219" s="106">
        <v>2.1857000000000001E-3</v>
      </c>
      <c r="D219" s="106">
        <v>2.1316E-3</v>
      </c>
      <c r="E219" s="56">
        <v>841005.71</v>
      </c>
      <c r="F219" s="56">
        <v>956649</v>
      </c>
      <c r="G219" s="56">
        <v>4638788</v>
      </c>
      <c r="H219" s="56"/>
      <c r="I219" s="57">
        <v>87155</v>
      </c>
      <c r="J219" s="57">
        <v>4065057</v>
      </c>
      <c r="K219" s="57">
        <v>317716</v>
      </c>
      <c r="L219" s="56">
        <v>0</v>
      </c>
      <c r="M219" s="56"/>
      <c r="N219" s="57">
        <v>162548</v>
      </c>
      <c r="O219" s="57">
        <v>1500391</v>
      </c>
      <c r="P219" s="57">
        <v>0</v>
      </c>
      <c r="Q219" s="56">
        <v>92864</v>
      </c>
      <c r="R219" s="57">
        <f t="shared" si="3"/>
        <v>2564666</v>
      </c>
      <c r="S219" s="56"/>
      <c r="T219" s="57">
        <v>1239880</v>
      </c>
      <c r="U219" s="58">
        <v>-38618</v>
      </c>
      <c r="V219" s="58">
        <v>1201261</v>
      </c>
    </row>
    <row r="220" spans="1:22">
      <c r="A220" s="54">
        <v>92317</v>
      </c>
      <c r="B220" s="55" t="s">
        <v>1600</v>
      </c>
      <c r="C220" s="106">
        <v>2.9600000000000001E-5</v>
      </c>
      <c r="D220" s="106">
        <v>3.3300000000000003E-5</v>
      </c>
      <c r="E220" s="56">
        <v>20481.990000000002</v>
      </c>
      <c r="F220" s="56">
        <v>14945</v>
      </c>
      <c r="G220" s="56">
        <v>62821</v>
      </c>
      <c r="H220" s="56"/>
      <c r="I220" s="57">
        <v>1180.3</v>
      </c>
      <c r="J220" s="57">
        <v>55051</v>
      </c>
      <c r="K220" s="57">
        <v>4303</v>
      </c>
      <c r="L220" s="56">
        <v>12749</v>
      </c>
      <c r="M220" s="56"/>
      <c r="N220" s="57">
        <v>2201</v>
      </c>
      <c r="O220" s="57">
        <v>20319</v>
      </c>
      <c r="P220" s="57">
        <v>0</v>
      </c>
      <c r="Q220" s="56">
        <v>0</v>
      </c>
      <c r="R220" s="57">
        <f t="shared" si="3"/>
        <v>34732</v>
      </c>
      <c r="S220" s="56"/>
      <c r="T220" s="57">
        <v>16791</v>
      </c>
      <c r="U220" s="58">
        <v>4401</v>
      </c>
      <c r="V220" s="58">
        <v>21192</v>
      </c>
    </row>
    <row r="221" spans="1:22">
      <c r="A221" s="54">
        <v>92321</v>
      </c>
      <c r="B221" s="55" t="s">
        <v>1601</v>
      </c>
      <c r="C221" s="106">
        <v>1.2218999999999999E-3</v>
      </c>
      <c r="D221" s="106">
        <v>1.1936E-3</v>
      </c>
      <c r="E221" s="56">
        <v>481504.52</v>
      </c>
      <c r="F221" s="56">
        <v>535681</v>
      </c>
      <c r="G221" s="56">
        <v>2593281</v>
      </c>
      <c r="H221" s="56"/>
      <c r="I221" s="57">
        <v>48723</v>
      </c>
      <c r="J221" s="57">
        <v>2272541</v>
      </c>
      <c r="K221" s="57">
        <v>177617</v>
      </c>
      <c r="L221" s="56">
        <v>61228</v>
      </c>
      <c r="M221" s="56"/>
      <c r="N221" s="57">
        <v>90871</v>
      </c>
      <c r="O221" s="57">
        <v>838783</v>
      </c>
      <c r="P221" s="57">
        <v>0</v>
      </c>
      <c r="Q221" s="56">
        <v>1343</v>
      </c>
      <c r="R221" s="57">
        <f t="shared" si="3"/>
        <v>1433758</v>
      </c>
      <c r="S221" s="56"/>
      <c r="T221" s="57">
        <v>693146</v>
      </c>
      <c r="U221" s="58">
        <v>25416</v>
      </c>
      <c r="V221" s="58">
        <v>718562</v>
      </c>
    </row>
    <row r="222" spans="1:22">
      <c r="A222" s="54">
        <v>92327</v>
      </c>
      <c r="B222" s="55" t="s">
        <v>1602</v>
      </c>
      <c r="C222" s="106">
        <v>7.6000000000000001E-6</v>
      </c>
      <c r="D222" s="106">
        <v>7.7999999999999999E-6</v>
      </c>
      <c r="E222" s="56">
        <v>5004.42</v>
      </c>
      <c r="F222" s="56">
        <v>3501</v>
      </c>
      <c r="G222" s="56">
        <v>16130</v>
      </c>
      <c r="H222" s="56"/>
      <c r="I222" s="57">
        <v>303.05</v>
      </c>
      <c r="J222" s="57">
        <v>14135</v>
      </c>
      <c r="K222" s="57">
        <v>1105</v>
      </c>
      <c r="L222" s="56">
        <v>2630</v>
      </c>
      <c r="M222" s="56"/>
      <c r="N222" s="57">
        <v>565</v>
      </c>
      <c r="O222" s="57">
        <v>5217</v>
      </c>
      <c r="P222" s="57">
        <v>0</v>
      </c>
      <c r="Q222" s="56">
        <v>0</v>
      </c>
      <c r="R222" s="57">
        <f t="shared" si="3"/>
        <v>8918</v>
      </c>
      <c r="S222" s="56"/>
      <c r="T222" s="57">
        <v>4311</v>
      </c>
      <c r="U222" s="58">
        <v>853</v>
      </c>
      <c r="V222" s="58">
        <v>5165</v>
      </c>
    </row>
    <row r="223" spans="1:22">
      <c r="A223" s="54">
        <v>92331</v>
      </c>
      <c r="B223" s="55" t="s">
        <v>1603</v>
      </c>
      <c r="C223" s="106">
        <v>1.393E-4</v>
      </c>
      <c r="D223" s="106">
        <v>1.4789999999999999E-4</v>
      </c>
      <c r="E223" s="56">
        <v>54278.720000000001</v>
      </c>
      <c r="F223" s="56">
        <v>66377</v>
      </c>
      <c r="G223" s="56">
        <v>295641</v>
      </c>
      <c r="H223" s="56"/>
      <c r="I223" s="57">
        <v>5555</v>
      </c>
      <c r="J223" s="57">
        <v>259076</v>
      </c>
      <c r="K223" s="57">
        <v>20249</v>
      </c>
      <c r="L223" s="56">
        <v>3725</v>
      </c>
      <c r="M223" s="56"/>
      <c r="N223" s="57">
        <v>10360</v>
      </c>
      <c r="O223" s="57">
        <v>95624</v>
      </c>
      <c r="P223" s="57">
        <v>0</v>
      </c>
      <c r="Q223" s="56">
        <v>7047</v>
      </c>
      <c r="R223" s="57">
        <f t="shared" si="3"/>
        <v>163452</v>
      </c>
      <c r="S223" s="56"/>
      <c r="T223" s="57">
        <v>79021</v>
      </c>
      <c r="U223" s="58">
        <v>-171</v>
      </c>
      <c r="V223" s="58">
        <v>78850</v>
      </c>
    </row>
    <row r="224" spans="1:22">
      <c r="A224" s="54">
        <v>92341</v>
      </c>
      <c r="B224" s="55" t="s">
        <v>1604</v>
      </c>
      <c r="C224" s="106">
        <v>7.9000000000000006E-6</v>
      </c>
      <c r="D224" s="106">
        <v>6.3999999999999997E-6</v>
      </c>
      <c r="E224" s="56">
        <v>2572.1800000000003</v>
      </c>
      <c r="F224" s="56">
        <v>2872</v>
      </c>
      <c r="G224" s="56">
        <v>16766</v>
      </c>
      <c r="H224" s="56"/>
      <c r="I224" s="57">
        <v>315</v>
      </c>
      <c r="J224" s="57">
        <v>14693</v>
      </c>
      <c r="K224" s="57">
        <v>1148</v>
      </c>
      <c r="L224" s="56">
        <v>478</v>
      </c>
      <c r="M224" s="56"/>
      <c r="N224" s="57">
        <v>588</v>
      </c>
      <c r="O224" s="57">
        <v>5423</v>
      </c>
      <c r="P224" s="57">
        <v>0</v>
      </c>
      <c r="Q224" s="56">
        <v>3063</v>
      </c>
      <c r="R224" s="57">
        <f t="shared" si="3"/>
        <v>9270</v>
      </c>
      <c r="S224" s="56"/>
      <c r="T224" s="57">
        <v>4481</v>
      </c>
      <c r="U224" s="58">
        <v>-913</v>
      </c>
      <c r="V224" s="58">
        <v>3568</v>
      </c>
    </row>
    <row r="225" spans="1:22">
      <c r="A225" s="54">
        <v>92351</v>
      </c>
      <c r="B225" s="55" t="s">
        <v>1605</v>
      </c>
      <c r="C225" s="106">
        <v>1.95E-5</v>
      </c>
      <c r="D225" s="106">
        <v>2.8399999999999999E-5</v>
      </c>
      <c r="E225" s="56">
        <v>8511.8499999999985</v>
      </c>
      <c r="F225" s="56">
        <v>12746</v>
      </c>
      <c r="G225" s="56">
        <v>41386</v>
      </c>
      <c r="H225" s="56"/>
      <c r="I225" s="57">
        <v>777.5625</v>
      </c>
      <c r="J225" s="57">
        <v>36267</v>
      </c>
      <c r="K225" s="57">
        <v>2835</v>
      </c>
      <c r="L225" s="56">
        <v>1156.19</v>
      </c>
      <c r="M225" s="56"/>
      <c r="N225" s="57">
        <v>1450</v>
      </c>
      <c r="O225" s="57">
        <v>13386</v>
      </c>
      <c r="P225" s="57">
        <v>0</v>
      </c>
      <c r="Q225" s="56">
        <v>5799</v>
      </c>
      <c r="R225" s="57">
        <f t="shared" si="3"/>
        <v>22881</v>
      </c>
      <c r="S225" s="56"/>
      <c r="T225" s="57">
        <v>11062</v>
      </c>
      <c r="U225" s="58">
        <v>-1052</v>
      </c>
      <c r="V225" s="58">
        <v>10010</v>
      </c>
    </row>
    <row r="226" spans="1:22">
      <c r="A226" s="54">
        <v>92401</v>
      </c>
      <c r="B226" s="55" t="s">
        <v>1606</v>
      </c>
      <c r="C226" s="106">
        <v>2.7449000000000002E-3</v>
      </c>
      <c r="D226" s="106">
        <v>2.7921999999999999E-3</v>
      </c>
      <c r="E226" s="56">
        <v>1162718.6200000001</v>
      </c>
      <c r="F226" s="56">
        <v>1253123</v>
      </c>
      <c r="G226" s="56">
        <v>5825597</v>
      </c>
      <c r="H226" s="56"/>
      <c r="I226" s="57">
        <v>109453</v>
      </c>
      <c r="J226" s="57">
        <v>5105080</v>
      </c>
      <c r="K226" s="57">
        <v>399001</v>
      </c>
      <c r="L226" s="56">
        <v>33227</v>
      </c>
      <c r="M226" s="56"/>
      <c r="N226" s="57">
        <v>204135</v>
      </c>
      <c r="O226" s="57">
        <v>1884259</v>
      </c>
      <c r="P226" s="57">
        <v>0</v>
      </c>
      <c r="Q226" s="56">
        <v>5343</v>
      </c>
      <c r="R226" s="57">
        <f t="shared" si="3"/>
        <v>3220821</v>
      </c>
      <c r="S226" s="56"/>
      <c r="T226" s="57">
        <v>1557097</v>
      </c>
      <c r="U226" s="58">
        <v>14486</v>
      </c>
      <c r="V226" s="58">
        <v>1571583</v>
      </c>
    </row>
    <row r="227" spans="1:22">
      <c r="A227" s="54">
        <v>92403</v>
      </c>
      <c r="B227" s="55" t="s">
        <v>1607</v>
      </c>
      <c r="C227" s="106">
        <v>9.7999999999999993E-6</v>
      </c>
      <c r="D227" s="106">
        <v>1.59E-5</v>
      </c>
      <c r="E227" s="56">
        <v>5969.3199999999988</v>
      </c>
      <c r="F227" s="56">
        <v>7136</v>
      </c>
      <c r="G227" s="56">
        <v>20799</v>
      </c>
      <c r="H227" s="56"/>
      <c r="I227" s="57">
        <v>390.77499999999998</v>
      </c>
      <c r="J227" s="57">
        <v>18226</v>
      </c>
      <c r="K227" s="57">
        <v>1425</v>
      </c>
      <c r="L227" s="56">
        <v>564</v>
      </c>
      <c r="M227" s="56"/>
      <c r="N227" s="57">
        <v>729</v>
      </c>
      <c r="O227" s="57">
        <v>6727</v>
      </c>
      <c r="P227" s="57">
        <v>0</v>
      </c>
      <c r="Q227" s="56">
        <v>1764</v>
      </c>
      <c r="R227" s="57">
        <f t="shared" si="3"/>
        <v>11499</v>
      </c>
      <c r="S227" s="56"/>
      <c r="T227" s="57">
        <v>5559</v>
      </c>
      <c r="U227" s="58">
        <v>-243</v>
      </c>
      <c r="V227" s="58">
        <v>5317</v>
      </c>
    </row>
    <row r="228" spans="1:22">
      <c r="A228" s="54">
        <v>92411</v>
      </c>
      <c r="B228" s="55" t="s">
        <v>1608</v>
      </c>
      <c r="C228" s="106">
        <v>4.8030000000000002E-4</v>
      </c>
      <c r="D228" s="106">
        <v>5.2820000000000005E-4</v>
      </c>
      <c r="E228" s="56">
        <v>173749.71</v>
      </c>
      <c r="F228" s="56">
        <v>237053</v>
      </c>
      <c r="G228" s="56">
        <v>1019358</v>
      </c>
      <c r="H228" s="56"/>
      <c r="I228" s="57">
        <v>19152</v>
      </c>
      <c r="J228" s="57">
        <v>893282</v>
      </c>
      <c r="K228" s="57">
        <v>69817</v>
      </c>
      <c r="L228" s="56">
        <v>572</v>
      </c>
      <c r="M228" s="56"/>
      <c r="N228" s="57">
        <v>35719</v>
      </c>
      <c r="O228" s="57">
        <v>329706</v>
      </c>
      <c r="P228" s="57">
        <v>0</v>
      </c>
      <c r="Q228" s="56">
        <v>54750</v>
      </c>
      <c r="R228" s="57">
        <f t="shared" si="3"/>
        <v>563576</v>
      </c>
      <c r="S228" s="56"/>
      <c r="T228" s="57">
        <v>272459</v>
      </c>
      <c r="U228" s="58">
        <v>-16396</v>
      </c>
      <c r="V228" s="58">
        <v>256063</v>
      </c>
    </row>
    <row r="229" spans="1:22">
      <c r="A229" s="54">
        <v>92414</v>
      </c>
      <c r="B229" s="55" t="s">
        <v>239</v>
      </c>
      <c r="C229" s="106">
        <v>0</v>
      </c>
      <c r="D229" s="106">
        <v>9.7999999999999993E-6</v>
      </c>
      <c r="E229" s="56">
        <v>0</v>
      </c>
      <c r="F229" s="56">
        <v>4398</v>
      </c>
      <c r="G229" s="56">
        <v>0</v>
      </c>
      <c r="H229" s="56"/>
      <c r="I229" s="57">
        <v>0</v>
      </c>
      <c r="J229" s="57">
        <v>0</v>
      </c>
      <c r="K229" s="57">
        <v>0</v>
      </c>
      <c r="L229" s="56">
        <v>0</v>
      </c>
      <c r="M229" s="56"/>
      <c r="N229" s="57">
        <v>0</v>
      </c>
      <c r="O229" s="57">
        <v>0</v>
      </c>
      <c r="P229" s="57">
        <v>0</v>
      </c>
      <c r="Q229" s="56">
        <v>8157</v>
      </c>
      <c r="R229" s="57">
        <f t="shared" si="3"/>
        <v>0</v>
      </c>
      <c r="S229" s="56"/>
      <c r="T229" s="57">
        <v>0</v>
      </c>
      <c r="U229" s="58">
        <v>-2445</v>
      </c>
      <c r="V229" s="58">
        <v>-2445</v>
      </c>
    </row>
    <row r="230" spans="1:22">
      <c r="A230" s="54">
        <v>92417</v>
      </c>
      <c r="B230" s="55" t="s">
        <v>1609</v>
      </c>
      <c r="C230" s="106">
        <v>1.77E-5</v>
      </c>
      <c r="D230" s="106">
        <v>1.6699999999999999E-5</v>
      </c>
      <c r="E230" s="56">
        <v>5354.85</v>
      </c>
      <c r="F230" s="56">
        <v>7495</v>
      </c>
      <c r="G230" s="56">
        <v>37565</v>
      </c>
      <c r="H230" s="56"/>
      <c r="I230" s="57">
        <v>705.78750000000002</v>
      </c>
      <c r="J230" s="57">
        <v>32919</v>
      </c>
      <c r="K230" s="57">
        <v>2573</v>
      </c>
      <c r="L230" s="56">
        <v>0</v>
      </c>
      <c r="M230" s="56"/>
      <c r="N230" s="57">
        <v>1316</v>
      </c>
      <c r="O230" s="57">
        <v>12150</v>
      </c>
      <c r="P230" s="57">
        <v>0</v>
      </c>
      <c r="Q230" s="56">
        <v>1694</v>
      </c>
      <c r="R230" s="57">
        <f t="shared" si="3"/>
        <v>20769</v>
      </c>
      <c r="S230" s="56"/>
      <c r="T230" s="57">
        <v>10041</v>
      </c>
      <c r="U230" s="58">
        <v>-509</v>
      </c>
      <c r="V230" s="58">
        <v>9531</v>
      </c>
    </row>
    <row r="231" spans="1:22">
      <c r="A231" s="54">
        <v>92421</v>
      </c>
      <c r="B231" s="55" t="s">
        <v>1610</v>
      </c>
      <c r="C231" s="106">
        <v>9.0000000000000002E-6</v>
      </c>
      <c r="D231" s="106">
        <v>1.98E-5</v>
      </c>
      <c r="E231" s="56">
        <v>9114.76</v>
      </c>
      <c r="F231" s="56">
        <v>8886</v>
      </c>
      <c r="G231" s="56">
        <v>19101</v>
      </c>
      <c r="H231" s="56"/>
      <c r="I231" s="57">
        <v>358.875</v>
      </c>
      <c r="J231" s="57">
        <v>16739</v>
      </c>
      <c r="K231" s="57">
        <v>1308</v>
      </c>
      <c r="L231" s="56">
        <v>1510</v>
      </c>
      <c r="M231" s="56"/>
      <c r="N231" s="57">
        <v>669</v>
      </c>
      <c r="O231" s="57">
        <v>6178</v>
      </c>
      <c r="P231" s="57">
        <v>0</v>
      </c>
      <c r="Q231" s="56">
        <v>1551</v>
      </c>
      <c r="R231" s="57">
        <f t="shared" si="3"/>
        <v>10561</v>
      </c>
      <c r="S231" s="56"/>
      <c r="T231" s="57">
        <v>5105</v>
      </c>
      <c r="U231" s="58">
        <v>261</v>
      </c>
      <c r="V231" s="58">
        <v>5366</v>
      </c>
    </row>
    <row r="232" spans="1:22">
      <c r="A232" s="54">
        <v>92427</v>
      </c>
      <c r="B232" s="55" t="s">
        <v>1611</v>
      </c>
      <c r="C232" s="106">
        <v>6.9999999999999997E-7</v>
      </c>
      <c r="D232" s="106">
        <v>8.9999999999999996E-7</v>
      </c>
      <c r="E232" s="56">
        <v>1425.53</v>
      </c>
      <c r="F232" s="56">
        <v>404</v>
      </c>
      <c r="G232" s="56">
        <v>1486</v>
      </c>
      <c r="H232" s="56"/>
      <c r="I232" s="57">
        <v>28</v>
      </c>
      <c r="J232" s="57">
        <v>1302</v>
      </c>
      <c r="K232" s="57">
        <v>102</v>
      </c>
      <c r="L232" s="56">
        <v>1812</v>
      </c>
      <c r="M232" s="56"/>
      <c r="N232" s="57">
        <v>52</v>
      </c>
      <c r="O232" s="57">
        <v>481</v>
      </c>
      <c r="P232" s="57">
        <v>0</v>
      </c>
      <c r="Q232" s="56">
        <v>0</v>
      </c>
      <c r="R232" s="57">
        <f t="shared" si="3"/>
        <v>821</v>
      </c>
      <c r="S232" s="56"/>
      <c r="T232" s="57">
        <v>397</v>
      </c>
      <c r="U232" s="58">
        <v>636</v>
      </c>
      <c r="V232" s="58">
        <v>1033</v>
      </c>
    </row>
    <row r="233" spans="1:22">
      <c r="A233" s="54">
        <v>92431</v>
      </c>
      <c r="B233" s="55" t="s">
        <v>1612</v>
      </c>
      <c r="C233" s="106">
        <v>1.8499999999999999E-5</v>
      </c>
      <c r="D233" s="106">
        <v>4.0800000000000002E-5</v>
      </c>
      <c r="E233" s="56">
        <v>17502.95</v>
      </c>
      <c r="F233" s="56">
        <v>18311</v>
      </c>
      <c r="G233" s="56">
        <v>39263</v>
      </c>
      <c r="H233" s="56"/>
      <c r="I233" s="57">
        <v>737.6875</v>
      </c>
      <c r="J233" s="57">
        <v>34407</v>
      </c>
      <c r="K233" s="57">
        <v>2689</v>
      </c>
      <c r="L233" s="56">
        <v>6093</v>
      </c>
      <c r="M233" s="56"/>
      <c r="N233" s="57">
        <v>1376</v>
      </c>
      <c r="O233" s="57">
        <v>12699</v>
      </c>
      <c r="P233" s="57">
        <v>0</v>
      </c>
      <c r="Q233" s="56">
        <v>5505</v>
      </c>
      <c r="R233" s="57">
        <f t="shared" si="3"/>
        <v>21708</v>
      </c>
      <c r="S233" s="56"/>
      <c r="T233" s="57">
        <v>10494</v>
      </c>
      <c r="U233" s="58">
        <v>422</v>
      </c>
      <c r="V233" s="58">
        <v>10917</v>
      </c>
    </row>
    <row r="234" spans="1:22">
      <c r="A234" s="54">
        <v>92441</v>
      </c>
      <c r="B234" s="55" t="s">
        <v>1613</v>
      </c>
      <c r="C234" s="106">
        <v>9.2299999999999994E-5</v>
      </c>
      <c r="D234" s="106">
        <v>1.0170000000000001E-4</v>
      </c>
      <c r="E234" s="56">
        <v>38127.360000000001</v>
      </c>
      <c r="F234" s="56">
        <v>45642</v>
      </c>
      <c r="G234" s="56">
        <v>195892</v>
      </c>
      <c r="H234" s="56"/>
      <c r="I234" s="57">
        <v>3680</v>
      </c>
      <c r="J234" s="57">
        <v>171663</v>
      </c>
      <c r="K234" s="57">
        <v>13417</v>
      </c>
      <c r="L234" s="56">
        <v>0</v>
      </c>
      <c r="M234" s="56"/>
      <c r="N234" s="57">
        <v>6864</v>
      </c>
      <c r="O234" s="57">
        <v>63360</v>
      </c>
      <c r="P234" s="57">
        <v>0</v>
      </c>
      <c r="Q234" s="56">
        <v>12688</v>
      </c>
      <c r="R234" s="57">
        <f t="shared" si="3"/>
        <v>108303</v>
      </c>
      <c r="S234" s="56"/>
      <c r="T234" s="57">
        <v>52359</v>
      </c>
      <c r="U234" s="58">
        <v>-5069</v>
      </c>
      <c r="V234" s="58">
        <v>47290</v>
      </c>
    </row>
    <row r="235" spans="1:22">
      <c r="A235" s="54">
        <v>92444</v>
      </c>
      <c r="B235" s="55" t="s">
        <v>1614</v>
      </c>
      <c r="C235" s="106">
        <v>1.9999999999999999E-6</v>
      </c>
      <c r="D235" s="106">
        <v>1.7999999999999999E-6</v>
      </c>
      <c r="E235" s="56">
        <v>1966.0700000000004</v>
      </c>
      <c r="F235" s="56">
        <v>808</v>
      </c>
      <c r="G235" s="56">
        <v>4244.67</v>
      </c>
      <c r="H235" s="56"/>
      <c r="I235" s="57">
        <v>79.75</v>
      </c>
      <c r="J235" s="57">
        <v>3720</v>
      </c>
      <c r="K235" s="57">
        <v>291</v>
      </c>
      <c r="L235" s="56">
        <v>2653</v>
      </c>
      <c r="M235" s="56"/>
      <c r="N235" s="57">
        <v>149</v>
      </c>
      <c r="O235" s="57">
        <v>1373</v>
      </c>
      <c r="P235" s="57">
        <v>0</v>
      </c>
      <c r="Q235" s="56">
        <v>0</v>
      </c>
      <c r="R235" s="57">
        <f t="shared" si="3"/>
        <v>2347</v>
      </c>
      <c r="S235" s="56"/>
      <c r="T235" s="57">
        <v>1135</v>
      </c>
      <c r="U235" s="58">
        <v>971</v>
      </c>
      <c r="V235" s="58">
        <v>2106</v>
      </c>
    </row>
    <row r="236" spans="1:22">
      <c r="A236" s="54">
        <v>92451</v>
      </c>
      <c r="B236" s="55" t="s">
        <v>1615</v>
      </c>
      <c r="C236" s="106">
        <v>1.4559999999999999E-4</v>
      </c>
      <c r="D236" s="106">
        <v>1.132E-4</v>
      </c>
      <c r="E236" s="56">
        <v>67281.149999999994</v>
      </c>
      <c r="F236" s="56">
        <v>50803</v>
      </c>
      <c r="G236" s="56">
        <v>309012</v>
      </c>
      <c r="H236" s="56"/>
      <c r="I236" s="57">
        <v>5806</v>
      </c>
      <c r="J236" s="57">
        <v>270793</v>
      </c>
      <c r="K236" s="57">
        <v>21165</v>
      </c>
      <c r="L236" s="56">
        <v>36170</v>
      </c>
      <c r="M236" s="56"/>
      <c r="N236" s="57">
        <v>10828</v>
      </c>
      <c r="O236" s="57">
        <v>99948</v>
      </c>
      <c r="P236" s="57">
        <v>0</v>
      </c>
      <c r="Q236" s="56">
        <v>0</v>
      </c>
      <c r="R236" s="57">
        <f t="shared" si="3"/>
        <v>170845</v>
      </c>
      <c r="S236" s="56"/>
      <c r="T236" s="57">
        <v>82594</v>
      </c>
      <c r="U236" s="58">
        <v>11273</v>
      </c>
      <c r="V236" s="58">
        <v>93868</v>
      </c>
    </row>
    <row r="237" spans="1:22">
      <c r="A237" s="54">
        <v>92461</v>
      </c>
      <c r="B237" s="55" t="s">
        <v>1616</v>
      </c>
      <c r="C237" s="106">
        <v>7.2999999999999999E-5</v>
      </c>
      <c r="D237" s="106">
        <v>6.3499999999999999E-5</v>
      </c>
      <c r="E237" s="56">
        <v>36576.240000000005</v>
      </c>
      <c r="F237" s="56">
        <v>28498</v>
      </c>
      <c r="G237" s="56">
        <v>154930</v>
      </c>
      <c r="H237" s="56"/>
      <c r="I237" s="57">
        <v>2910.875</v>
      </c>
      <c r="J237" s="57">
        <v>135768</v>
      </c>
      <c r="K237" s="57">
        <v>10611</v>
      </c>
      <c r="L237" s="56">
        <v>10353</v>
      </c>
      <c r="M237" s="56"/>
      <c r="N237" s="57">
        <v>5429</v>
      </c>
      <c r="O237" s="57">
        <v>50111</v>
      </c>
      <c r="P237" s="57">
        <v>0</v>
      </c>
      <c r="Q237" s="56">
        <v>7817</v>
      </c>
      <c r="R237" s="57">
        <f t="shared" si="3"/>
        <v>85657</v>
      </c>
      <c r="S237" s="56"/>
      <c r="T237" s="57">
        <v>41411</v>
      </c>
      <c r="U237" s="58">
        <v>-170</v>
      </c>
      <c r="V237" s="58">
        <v>41240</v>
      </c>
    </row>
    <row r="238" spans="1:22">
      <c r="A238" s="54">
        <v>92501</v>
      </c>
      <c r="B238" s="55" t="s">
        <v>1617</v>
      </c>
      <c r="C238" s="106">
        <v>3.8141E-3</v>
      </c>
      <c r="D238" s="106">
        <v>3.8955999999999999E-3</v>
      </c>
      <c r="E238" s="56">
        <v>1660692.83</v>
      </c>
      <c r="F238" s="56">
        <v>1748322</v>
      </c>
      <c r="G238" s="56">
        <v>8094798</v>
      </c>
      <c r="H238" s="56"/>
      <c r="I238" s="57">
        <v>152087</v>
      </c>
      <c r="J238" s="57">
        <v>7093623</v>
      </c>
      <c r="K238" s="57">
        <v>554421</v>
      </c>
      <c r="L238" s="56">
        <v>65347</v>
      </c>
      <c r="M238" s="56"/>
      <c r="N238" s="57">
        <v>283651</v>
      </c>
      <c r="O238" s="57">
        <v>2618219</v>
      </c>
      <c r="P238" s="57">
        <v>0</v>
      </c>
      <c r="Q238" s="56">
        <v>13995</v>
      </c>
      <c r="R238" s="57">
        <f t="shared" si="3"/>
        <v>4475404</v>
      </c>
      <c r="S238" s="56"/>
      <c r="T238" s="57">
        <v>2163621</v>
      </c>
      <c r="U238" s="58">
        <v>20802</v>
      </c>
      <c r="V238" s="58">
        <v>2184422</v>
      </c>
    </row>
    <row r="239" spans="1:22">
      <c r="A239" s="54">
        <v>92502</v>
      </c>
      <c r="B239" s="55" t="s">
        <v>1618</v>
      </c>
      <c r="C239" s="106">
        <v>2.8799999999999999E-5</v>
      </c>
      <c r="D239" s="106">
        <v>2.1399999999999998E-5</v>
      </c>
      <c r="E239" s="56">
        <v>12881.239999999998</v>
      </c>
      <c r="F239" s="56">
        <v>9604</v>
      </c>
      <c r="G239" s="56">
        <v>61123</v>
      </c>
      <c r="H239" s="56"/>
      <c r="I239" s="57">
        <v>1148</v>
      </c>
      <c r="J239" s="57">
        <v>53563</v>
      </c>
      <c r="K239" s="57">
        <v>4186</v>
      </c>
      <c r="L239" s="56">
        <v>4833</v>
      </c>
      <c r="M239" s="56"/>
      <c r="N239" s="57">
        <v>2142</v>
      </c>
      <c r="O239" s="57">
        <v>19770</v>
      </c>
      <c r="P239" s="57">
        <v>0</v>
      </c>
      <c r="Q239" s="56">
        <v>3509</v>
      </c>
      <c r="R239" s="57">
        <f t="shared" si="3"/>
        <v>33793</v>
      </c>
      <c r="S239" s="56"/>
      <c r="T239" s="57">
        <v>16337</v>
      </c>
      <c r="U239" s="58">
        <v>-103</v>
      </c>
      <c r="V239" s="58">
        <v>16234</v>
      </c>
    </row>
    <row r="240" spans="1:22">
      <c r="A240" s="54">
        <v>92504</v>
      </c>
      <c r="B240" s="55" t="s">
        <v>1619</v>
      </c>
      <c r="C240" s="106">
        <v>7.2799999999999994E-5</v>
      </c>
      <c r="D240" s="106">
        <v>7.3499999999999998E-5</v>
      </c>
      <c r="E240" s="56">
        <v>38688.999999999993</v>
      </c>
      <c r="F240" s="56">
        <v>32986</v>
      </c>
      <c r="G240" s="56">
        <v>154506</v>
      </c>
      <c r="H240" s="56"/>
      <c r="I240" s="57">
        <v>2903</v>
      </c>
      <c r="J240" s="57">
        <v>135396</v>
      </c>
      <c r="K240" s="57">
        <v>10582</v>
      </c>
      <c r="L240" s="56">
        <v>18501</v>
      </c>
      <c r="M240" s="56"/>
      <c r="N240" s="57">
        <v>5414</v>
      </c>
      <c r="O240" s="57">
        <v>49974</v>
      </c>
      <c r="P240" s="57">
        <v>0</v>
      </c>
      <c r="Q240" s="56">
        <v>54</v>
      </c>
      <c r="R240" s="57">
        <f t="shared" si="3"/>
        <v>85422</v>
      </c>
      <c r="S240" s="56"/>
      <c r="T240" s="57">
        <v>41297</v>
      </c>
      <c r="U240" s="58">
        <v>5906</v>
      </c>
      <c r="V240" s="58">
        <v>47203</v>
      </c>
    </row>
    <row r="241" spans="1:22">
      <c r="A241" s="54">
        <v>92505</v>
      </c>
      <c r="B241" s="55" t="s">
        <v>1620</v>
      </c>
      <c r="C241" s="106">
        <v>1.8709999999999999E-4</v>
      </c>
      <c r="D241" s="106">
        <v>1.9699999999999999E-4</v>
      </c>
      <c r="E241" s="56">
        <v>106739.73</v>
      </c>
      <c r="F241" s="56">
        <v>88412</v>
      </c>
      <c r="G241" s="56">
        <v>397089</v>
      </c>
      <c r="H241" s="56"/>
      <c r="I241" s="57">
        <v>7461</v>
      </c>
      <c r="J241" s="57">
        <v>347976</v>
      </c>
      <c r="K241" s="57">
        <v>27197</v>
      </c>
      <c r="L241" s="56">
        <v>47178</v>
      </c>
      <c r="M241" s="56"/>
      <c r="N241" s="57">
        <v>13914</v>
      </c>
      <c r="O241" s="57">
        <v>128436</v>
      </c>
      <c r="P241" s="57">
        <v>0</v>
      </c>
      <c r="Q241" s="56">
        <v>0</v>
      </c>
      <c r="R241" s="57">
        <f t="shared" si="3"/>
        <v>219540</v>
      </c>
      <c r="S241" s="56"/>
      <c r="T241" s="57">
        <v>106136</v>
      </c>
      <c r="U241" s="58">
        <v>16270</v>
      </c>
      <c r="V241" s="58">
        <v>122406</v>
      </c>
    </row>
    <row r="242" spans="1:22">
      <c r="A242" s="54">
        <v>92506</v>
      </c>
      <c r="B242" s="55" t="s">
        <v>1621</v>
      </c>
      <c r="C242" s="106">
        <v>4.3699999999999998E-5</v>
      </c>
      <c r="D242" s="106">
        <v>3.8999999999999999E-5</v>
      </c>
      <c r="E242" s="56">
        <v>23625.559999999998</v>
      </c>
      <c r="F242" s="56">
        <v>17503</v>
      </c>
      <c r="G242" s="56">
        <v>92746</v>
      </c>
      <c r="H242" s="56"/>
      <c r="I242" s="57">
        <v>1743</v>
      </c>
      <c r="J242" s="57">
        <v>81275</v>
      </c>
      <c r="K242" s="57">
        <v>6352</v>
      </c>
      <c r="L242" s="56">
        <v>17344</v>
      </c>
      <c r="M242" s="56"/>
      <c r="N242" s="57">
        <v>3250</v>
      </c>
      <c r="O242" s="57">
        <v>29998</v>
      </c>
      <c r="P242" s="57">
        <v>0</v>
      </c>
      <c r="Q242" s="56">
        <v>0</v>
      </c>
      <c r="R242" s="57">
        <f t="shared" si="3"/>
        <v>51277</v>
      </c>
      <c r="S242" s="56"/>
      <c r="T242" s="57">
        <v>24790</v>
      </c>
      <c r="U242" s="58">
        <v>5809</v>
      </c>
      <c r="V242" s="58">
        <v>30599</v>
      </c>
    </row>
    <row r="243" spans="1:22">
      <c r="A243" s="54">
        <v>92507</v>
      </c>
      <c r="B243" s="55" t="s">
        <v>1622</v>
      </c>
      <c r="C243" s="106">
        <v>7.6799999999999997E-5</v>
      </c>
      <c r="D243" s="106">
        <v>1.032E-4</v>
      </c>
      <c r="E243" s="56">
        <v>33480.47</v>
      </c>
      <c r="F243" s="56">
        <v>46316</v>
      </c>
      <c r="G243" s="56">
        <v>162995</v>
      </c>
      <c r="H243" s="56"/>
      <c r="I243" s="57">
        <v>3062</v>
      </c>
      <c r="J243" s="57">
        <v>142836</v>
      </c>
      <c r="K243" s="57">
        <v>11164</v>
      </c>
      <c r="L243" s="56">
        <v>348</v>
      </c>
      <c r="M243" s="56"/>
      <c r="N243" s="57">
        <v>5712</v>
      </c>
      <c r="O243" s="57">
        <v>52720</v>
      </c>
      <c r="P243" s="57">
        <v>0</v>
      </c>
      <c r="Q243" s="56">
        <v>22450</v>
      </c>
      <c r="R243" s="57">
        <f t="shared" si="3"/>
        <v>90116</v>
      </c>
      <c r="S243" s="56"/>
      <c r="T243" s="57">
        <v>43566</v>
      </c>
      <c r="U243" s="58">
        <v>-8043</v>
      </c>
      <c r="V243" s="58">
        <v>35523</v>
      </c>
    </row>
    <row r="244" spans="1:22">
      <c r="A244" s="54">
        <v>92508</v>
      </c>
      <c r="B244" s="55" t="s">
        <v>1623</v>
      </c>
      <c r="C244" s="106">
        <v>3.1930000000000001E-4</v>
      </c>
      <c r="D244" s="106">
        <v>3.2959999999999999E-4</v>
      </c>
      <c r="E244" s="56">
        <v>135944.95000000001</v>
      </c>
      <c r="F244" s="56">
        <v>147923</v>
      </c>
      <c r="G244" s="56">
        <v>677662</v>
      </c>
      <c r="H244" s="56"/>
      <c r="I244" s="57">
        <v>12732</v>
      </c>
      <c r="J244" s="57">
        <v>593848</v>
      </c>
      <c r="K244" s="57">
        <v>46414</v>
      </c>
      <c r="L244" s="56">
        <v>7876</v>
      </c>
      <c r="M244" s="56"/>
      <c r="N244" s="57">
        <v>23746</v>
      </c>
      <c r="O244" s="57">
        <v>219186</v>
      </c>
      <c r="P244" s="57">
        <v>0</v>
      </c>
      <c r="Q244" s="56">
        <v>1898</v>
      </c>
      <c r="R244" s="57">
        <f t="shared" si="3"/>
        <v>374662</v>
      </c>
      <c r="S244" s="56"/>
      <c r="T244" s="57">
        <v>181129</v>
      </c>
      <c r="U244" s="58">
        <v>3029</v>
      </c>
      <c r="V244" s="58">
        <v>184158</v>
      </c>
    </row>
    <row r="245" spans="1:22">
      <c r="A245" s="54">
        <v>92509</v>
      </c>
      <c r="B245" s="55" t="s">
        <v>2290</v>
      </c>
      <c r="C245" s="106">
        <v>0</v>
      </c>
      <c r="D245" s="106">
        <v>2.1614E-3</v>
      </c>
      <c r="E245" s="56">
        <v>0</v>
      </c>
      <c r="F245" s="56">
        <v>970023</v>
      </c>
      <c r="G245" s="56">
        <v>0</v>
      </c>
      <c r="H245" s="56"/>
      <c r="I245" s="57">
        <v>0</v>
      </c>
      <c r="J245" s="57">
        <v>0</v>
      </c>
      <c r="K245" s="57">
        <v>0</v>
      </c>
      <c r="L245" s="56">
        <v>166634</v>
      </c>
      <c r="M245" s="56"/>
      <c r="N245" s="57">
        <v>0</v>
      </c>
      <c r="O245" s="57">
        <v>0</v>
      </c>
      <c r="P245" s="57">
        <v>0</v>
      </c>
      <c r="Q245" s="56">
        <v>1170867</v>
      </c>
      <c r="R245" s="57">
        <f t="shared" si="3"/>
        <v>0</v>
      </c>
      <c r="S245" s="56"/>
      <c r="T245" s="57">
        <v>0</v>
      </c>
      <c r="U245" s="58">
        <v>-223763</v>
      </c>
      <c r="V245" s="58">
        <v>-223763</v>
      </c>
    </row>
    <row r="246" spans="1:22">
      <c r="A246" s="54">
        <v>92511</v>
      </c>
      <c r="B246" s="55" t="s">
        <v>1624</v>
      </c>
      <c r="C246" s="106">
        <v>3.4164E-3</v>
      </c>
      <c r="D246" s="106">
        <v>3.6713000000000002E-3</v>
      </c>
      <c r="E246" s="56">
        <v>1353008.7800000003</v>
      </c>
      <c r="F246" s="56">
        <v>1647657</v>
      </c>
      <c r="G246" s="56">
        <v>7250745</v>
      </c>
      <c r="H246" s="56"/>
      <c r="I246" s="57">
        <v>136229</v>
      </c>
      <c r="J246" s="57">
        <v>6353964</v>
      </c>
      <c r="K246" s="57">
        <v>496611</v>
      </c>
      <c r="L246" s="56">
        <v>24415.31</v>
      </c>
      <c r="M246" s="56"/>
      <c r="N246" s="57">
        <v>254074</v>
      </c>
      <c r="O246" s="57">
        <v>2345215</v>
      </c>
      <c r="P246" s="57">
        <v>0</v>
      </c>
      <c r="Q246" s="56">
        <v>243809</v>
      </c>
      <c r="R246" s="57">
        <f t="shared" si="3"/>
        <v>4008749</v>
      </c>
      <c r="S246" s="56"/>
      <c r="T246" s="57">
        <v>1938018</v>
      </c>
      <c r="U246" s="58">
        <v>-57052</v>
      </c>
      <c r="V246" s="58">
        <v>1880965</v>
      </c>
    </row>
    <row r="247" spans="1:22">
      <c r="A247" s="54">
        <v>92513</v>
      </c>
      <c r="B247" s="55" t="s">
        <v>1625</v>
      </c>
      <c r="C247" s="106">
        <v>3.9753000000000002E-3</v>
      </c>
      <c r="D247" s="106">
        <v>0</v>
      </c>
      <c r="E247" s="56">
        <v>1441012.6800000002</v>
      </c>
      <c r="F247" s="56">
        <v>0</v>
      </c>
      <c r="G247" s="56">
        <v>8436918</v>
      </c>
      <c r="H247" s="56"/>
      <c r="I247" s="57">
        <v>158515</v>
      </c>
      <c r="J247" s="57">
        <v>7393430</v>
      </c>
      <c r="K247" s="57">
        <v>577854</v>
      </c>
      <c r="L247" s="56">
        <v>1999562</v>
      </c>
      <c r="M247" s="56"/>
      <c r="N247" s="57">
        <v>295639</v>
      </c>
      <c r="O247" s="57">
        <v>2728876</v>
      </c>
      <c r="P247" s="57">
        <v>0</v>
      </c>
      <c r="Q247" s="56">
        <v>0</v>
      </c>
      <c r="R247" s="57">
        <f t="shared" si="3"/>
        <v>4664554</v>
      </c>
      <c r="S247" s="56"/>
      <c r="T247" s="57">
        <v>2255064</v>
      </c>
      <c r="U247" s="58">
        <v>518021</v>
      </c>
      <c r="V247" s="58">
        <v>2773086</v>
      </c>
    </row>
    <row r="248" spans="1:22">
      <c r="A248" s="54">
        <v>92521</v>
      </c>
      <c r="B248" s="55" t="s">
        <v>1626</v>
      </c>
      <c r="C248" s="106">
        <v>8.9800000000000001E-5</v>
      </c>
      <c r="D248" s="106">
        <v>9.59E-5</v>
      </c>
      <c r="E248" s="56">
        <v>32294.23</v>
      </c>
      <c r="F248" s="56">
        <v>43039</v>
      </c>
      <c r="G248" s="56">
        <v>190586</v>
      </c>
      <c r="H248" s="56"/>
      <c r="I248" s="57">
        <v>3581</v>
      </c>
      <c r="J248" s="57">
        <v>167014</v>
      </c>
      <c r="K248" s="57">
        <v>13053</v>
      </c>
      <c r="L248" s="56">
        <v>4908</v>
      </c>
      <c r="M248" s="56"/>
      <c r="N248" s="57">
        <v>6678</v>
      </c>
      <c r="O248" s="57">
        <v>61644</v>
      </c>
      <c r="P248" s="57">
        <v>0</v>
      </c>
      <c r="Q248" s="56">
        <v>9965</v>
      </c>
      <c r="R248" s="57">
        <f t="shared" si="3"/>
        <v>105370</v>
      </c>
      <c r="S248" s="56"/>
      <c r="T248" s="57">
        <v>50941</v>
      </c>
      <c r="U248" s="58">
        <v>-1566</v>
      </c>
      <c r="V248" s="58">
        <v>49374</v>
      </c>
    </row>
    <row r="249" spans="1:22">
      <c r="A249" s="54">
        <v>92531</v>
      </c>
      <c r="B249" s="55" t="s">
        <v>1627</v>
      </c>
      <c r="C249" s="106">
        <v>8.3779999999999998E-4</v>
      </c>
      <c r="D249" s="106">
        <v>9.3610000000000004E-4</v>
      </c>
      <c r="E249" s="56">
        <v>310253.15000000002</v>
      </c>
      <c r="F249" s="56">
        <v>420116</v>
      </c>
      <c r="G249" s="56">
        <v>1778092</v>
      </c>
      <c r="H249" s="56"/>
      <c r="I249" s="57">
        <v>33407</v>
      </c>
      <c r="J249" s="57">
        <v>1558176</v>
      </c>
      <c r="K249" s="57">
        <v>121783</v>
      </c>
      <c r="L249" s="56">
        <v>0</v>
      </c>
      <c r="M249" s="56"/>
      <c r="N249" s="57">
        <v>62306</v>
      </c>
      <c r="O249" s="57">
        <v>575115</v>
      </c>
      <c r="P249" s="57">
        <v>0</v>
      </c>
      <c r="Q249" s="56">
        <v>169554</v>
      </c>
      <c r="R249" s="57">
        <f t="shared" si="3"/>
        <v>983061</v>
      </c>
      <c r="S249" s="56"/>
      <c r="T249" s="57">
        <v>475258</v>
      </c>
      <c r="U249" s="58">
        <v>-58220</v>
      </c>
      <c r="V249" s="58">
        <v>417038</v>
      </c>
    </row>
    <row r="250" spans="1:22">
      <c r="A250" s="54">
        <v>92541</v>
      </c>
      <c r="B250" s="55" t="s">
        <v>1628</v>
      </c>
      <c r="C250" s="106">
        <v>1.4300000000000001E-4</v>
      </c>
      <c r="D250" s="106">
        <v>1.2679999999999999E-4</v>
      </c>
      <c r="E250" s="56">
        <v>54919.090000000004</v>
      </c>
      <c r="F250" s="56">
        <v>56907</v>
      </c>
      <c r="G250" s="56">
        <v>303494</v>
      </c>
      <c r="H250" s="56"/>
      <c r="I250" s="57">
        <v>5702.125</v>
      </c>
      <c r="J250" s="57">
        <v>265957</v>
      </c>
      <c r="K250" s="57">
        <v>20787</v>
      </c>
      <c r="L250" s="56">
        <v>11874</v>
      </c>
      <c r="M250" s="56"/>
      <c r="N250" s="57">
        <v>10635</v>
      </c>
      <c r="O250" s="57">
        <v>98163</v>
      </c>
      <c r="P250" s="57">
        <v>0</v>
      </c>
      <c r="Q250" s="56">
        <v>3822</v>
      </c>
      <c r="R250" s="57">
        <f t="shared" si="3"/>
        <v>167794</v>
      </c>
      <c r="S250" s="56"/>
      <c r="T250" s="57">
        <v>81119</v>
      </c>
      <c r="U250" s="58">
        <v>3227</v>
      </c>
      <c r="V250" s="58">
        <v>84346</v>
      </c>
    </row>
    <row r="251" spans="1:22">
      <c r="A251" s="54">
        <v>92551</v>
      </c>
      <c r="B251" s="55" t="s">
        <v>1629</v>
      </c>
      <c r="C251" s="106">
        <v>4.18E-5</v>
      </c>
      <c r="D251" s="106">
        <v>5.4799999999999997E-5</v>
      </c>
      <c r="E251" s="56">
        <v>16805.93</v>
      </c>
      <c r="F251" s="56">
        <v>24594</v>
      </c>
      <c r="G251" s="56">
        <v>88714</v>
      </c>
      <c r="H251" s="56"/>
      <c r="I251" s="57">
        <v>1666.7750000000001</v>
      </c>
      <c r="J251" s="57">
        <v>77741</v>
      </c>
      <c r="K251" s="57">
        <v>6076</v>
      </c>
      <c r="L251" s="56">
        <v>6834</v>
      </c>
      <c r="M251" s="56"/>
      <c r="N251" s="57">
        <v>3109</v>
      </c>
      <c r="O251" s="57">
        <v>28694</v>
      </c>
      <c r="P251" s="57">
        <v>0</v>
      </c>
      <c r="Q251" s="56">
        <v>11864</v>
      </c>
      <c r="R251" s="57">
        <f t="shared" si="3"/>
        <v>49047</v>
      </c>
      <c r="S251" s="56"/>
      <c r="T251" s="57">
        <v>23712</v>
      </c>
      <c r="U251" s="58">
        <v>-71</v>
      </c>
      <c r="V251" s="58">
        <v>23641</v>
      </c>
    </row>
    <row r="252" spans="1:22">
      <c r="A252" s="54">
        <v>92561</v>
      </c>
      <c r="B252" s="55" t="s">
        <v>1630</v>
      </c>
      <c r="C252" s="106">
        <v>2.2900000000000001E-5</v>
      </c>
      <c r="D252" s="106">
        <v>2.1800000000000001E-5</v>
      </c>
      <c r="E252" s="56">
        <v>12865.05</v>
      </c>
      <c r="F252" s="56">
        <v>9784</v>
      </c>
      <c r="G252" s="56">
        <v>48601</v>
      </c>
      <c r="H252" s="56"/>
      <c r="I252" s="57">
        <v>913.13750000000005</v>
      </c>
      <c r="J252" s="57">
        <v>42590</v>
      </c>
      <c r="K252" s="57">
        <v>3329</v>
      </c>
      <c r="L252" s="56">
        <v>7071</v>
      </c>
      <c r="M252" s="56"/>
      <c r="N252" s="57">
        <v>1703</v>
      </c>
      <c r="O252" s="57">
        <v>15720</v>
      </c>
      <c r="P252" s="57">
        <v>0</v>
      </c>
      <c r="Q252" s="56">
        <v>0</v>
      </c>
      <c r="R252" s="57">
        <f t="shared" si="3"/>
        <v>26870</v>
      </c>
      <c r="S252" s="56"/>
      <c r="T252" s="57">
        <v>12990</v>
      </c>
      <c r="U252" s="58">
        <v>2451</v>
      </c>
      <c r="V252" s="58">
        <v>15442</v>
      </c>
    </row>
    <row r="253" spans="1:22">
      <c r="A253" s="54">
        <v>92571</v>
      </c>
      <c r="B253" s="55" t="s">
        <v>1631</v>
      </c>
      <c r="C253" s="106">
        <v>3.1E-6</v>
      </c>
      <c r="D253" s="106">
        <v>3.8E-6</v>
      </c>
      <c r="E253" s="56">
        <v>6092.6399999999994</v>
      </c>
      <c r="F253" s="56">
        <v>1705</v>
      </c>
      <c r="G253" s="56">
        <v>6579</v>
      </c>
      <c r="H253" s="56"/>
      <c r="I253" s="57">
        <v>123.6125</v>
      </c>
      <c r="J253" s="57">
        <v>5766</v>
      </c>
      <c r="K253" s="57">
        <v>451</v>
      </c>
      <c r="L253" s="56">
        <v>4439</v>
      </c>
      <c r="M253" s="56"/>
      <c r="N253" s="57">
        <v>231</v>
      </c>
      <c r="O253" s="57">
        <v>2128</v>
      </c>
      <c r="P253" s="57">
        <v>0</v>
      </c>
      <c r="Q253" s="56">
        <v>200.99</v>
      </c>
      <c r="R253" s="57">
        <f t="shared" si="3"/>
        <v>3638</v>
      </c>
      <c r="S253" s="56"/>
      <c r="T253" s="57">
        <v>1759</v>
      </c>
      <c r="U253" s="58">
        <v>1144</v>
      </c>
      <c r="V253" s="58">
        <v>2902</v>
      </c>
    </row>
    <row r="254" spans="1:22">
      <c r="A254" s="54">
        <v>92601</v>
      </c>
      <c r="B254" s="55" t="s">
        <v>1632</v>
      </c>
      <c r="C254" s="106">
        <v>1.54185E-2</v>
      </c>
      <c r="D254" s="106">
        <v>1.5052899999999999E-2</v>
      </c>
      <c r="E254" s="56">
        <v>6115435.6399999997</v>
      </c>
      <c r="F254" s="56">
        <v>6755651</v>
      </c>
      <c r="G254" s="56">
        <v>32723222</v>
      </c>
      <c r="H254" s="56"/>
      <c r="I254" s="57">
        <v>614813</v>
      </c>
      <c r="J254" s="57">
        <v>28675974</v>
      </c>
      <c r="K254" s="57">
        <v>2241249</v>
      </c>
      <c r="L254" s="56">
        <v>258399</v>
      </c>
      <c r="M254" s="56"/>
      <c r="N254" s="57">
        <v>1146658</v>
      </c>
      <c r="O254" s="57">
        <v>10584153</v>
      </c>
      <c r="P254" s="57">
        <v>0</v>
      </c>
      <c r="Q254" s="56">
        <v>0</v>
      </c>
      <c r="R254" s="57">
        <f t="shared" si="3"/>
        <v>18091821</v>
      </c>
      <c r="S254" s="56"/>
      <c r="T254" s="57">
        <v>8746437</v>
      </c>
      <c r="U254" s="58">
        <v>123589</v>
      </c>
      <c r="V254" s="58">
        <v>8870026</v>
      </c>
    </row>
    <row r="255" spans="1:22">
      <c r="A255" s="54">
        <v>92602</v>
      </c>
      <c r="B255" s="55" t="s">
        <v>1633</v>
      </c>
      <c r="C255" s="106">
        <v>8.1999999999999994E-6</v>
      </c>
      <c r="D255" s="106">
        <v>8.3999999999999992E-6</v>
      </c>
      <c r="E255" s="56">
        <v>3297.75</v>
      </c>
      <c r="F255" s="56">
        <v>3770</v>
      </c>
      <c r="G255" s="56">
        <v>17403</v>
      </c>
      <c r="H255" s="56"/>
      <c r="I255" s="57">
        <v>327</v>
      </c>
      <c r="J255" s="57">
        <v>15251</v>
      </c>
      <c r="K255" s="57">
        <v>1192</v>
      </c>
      <c r="L255" s="56">
        <v>708.44</v>
      </c>
      <c r="M255" s="56"/>
      <c r="N255" s="57">
        <v>610</v>
      </c>
      <c r="O255" s="57">
        <v>5629</v>
      </c>
      <c r="P255" s="57">
        <v>0</v>
      </c>
      <c r="Q255" s="56">
        <v>1260</v>
      </c>
      <c r="R255" s="57">
        <f t="shared" si="3"/>
        <v>9622</v>
      </c>
      <c r="S255" s="56"/>
      <c r="T255" s="57">
        <v>4652</v>
      </c>
      <c r="U255" s="58">
        <v>-75</v>
      </c>
      <c r="V255" s="58">
        <v>4577</v>
      </c>
    </row>
    <row r="256" spans="1:22">
      <c r="A256" s="54">
        <v>92604</v>
      </c>
      <c r="B256" s="55" t="s">
        <v>1634</v>
      </c>
      <c r="C256" s="106">
        <v>3.4380000000000001E-4</v>
      </c>
      <c r="D256" s="106">
        <v>3.2019999999999998E-4</v>
      </c>
      <c r="E256" s="56">
        <v>164085.82999999996</v>
      </c>
      <c r="F256" s="56">
        <v>143704</v>
      </c>
      <c r="G256" s="56">
        <v>729659</v>
      </c>
      <c r="H256" s="56"/>
      <c r="I256" s="57">
        <v>13709</v>
      </c>
      <c r="J256" s="57">
        <v>639414</v>
      </c>
      <c r="K256" s="57">
        <v>49975</v>
      </c>
      <c r="L256" s="56">
        <v>56939</v>
      </c>
      <c r="M256" s="56"/>
      <c r="N256" s="57">
        <v>25568</v>
      </c>
      <c r="O256" s="57">
        <v>236004</v>
      </c>
      <c r="P256" s="57">
        <v>0</v>
      </c>
      <c r="Q256" s="56">
        <v>0</v>
      </c>
      <c r="R256" s="57">
        <f t="shared" si="3"/>
        <v>403410</v>
      </c>
      <c r="S256" s="56"/>
      <c r="T256" s="57">
        <v>195027</v>
      </c>
      <c r="U256" s="58">
        <v>20016</v>
      </c>
      <c r="V256" s="58">
        <v>215043</v>
      </c>
    </row>
    <row r="257" spans="1:22">
      <c r="A257" s="54">
        <v>92607</v>
      </c>
      <c r="B257" s="55" t="s">
        <v>1635</v>
      </c>
      <c r="C257" s="106">
        <v>7.0400000000000004E-5</v>
      </c>
      <c r="D257" s="106">
        <v>7.4099999999999999E-5</v>
      </c>
      <c r="E257" s="56">
        <v>34299.630000000005</v>
      </c>
      <c r="F257" s="56">
        <v>33256</v>
      </c>
      <c r="G257" s="56">
        <v>149412</v>
      </c>
      <c r="H257" s="56"/>
      <c r="I257" s="57">
        <v>2807</v>
      </c>
      <c r="J257" s="57">
        <v>130933</v>
      </c>
      <c r="K257" s="57">
        <v>10233</v>
      </c>
      <c r="L257" s="56">
        <v>9606</v>
      </c>
      <c r="M257" s="56"/>
      <c r="N257" s="57">
        <v>5236</v>
      </c>
      <c r="O257" s="57">
        <v>48327</v>
      </c>
      <c r="P257" s="57">
        <v>0</v>
      </c>
      <c r="Q257" s="56">
        <v>0</v>
      </c>
      <c r="R257" s="57">
        <f t="shared" si="3"/>
        <v>82606</v>
      </c>
      <c r="S257" s="56"/>
      <c r="T257" s="57">
        <v>39936</v>
      </c>
      <c r="U257" s="58">
        <v>3862</v>
      </c>
      <c r="V257" s="58">
        <v>43798</v>
      </c>
    </row>
    <row r="258" spans="1:22">
      <c r="A258" s="54">
        <v>92608</v>
      </c>
      <c r="B258" s="55" t="s">
        <v>1636</v>
      </c>
      <c r="C258" s="106">
        <v>0</v>
      </c>
      <c r="D258" s="106">
        <v>0</v>
      </c>
      <c r="E258" s="56">
        <v>0</v>
      </c>
      <c r="F258" s="56">
        <v>0</v>
      </c>
      <c r="G258" s="56">
        <v>0</v>
      </c>
      <c r="H258" s="56"/>
      <c r="I258" s="57">
        <v>0</v>
      </c>
      <c r="J258" s="57">
        <v>0</v>
      </c>
      <c r="K258" s="57">
        <v>0</v>
      </c>
      <c r="L258" s="56">
        <v>0</v>
      </c>
      <c r="M258" s="56"/>
      <c r="N258" s="57">
        <v>0</v>
      </c>
      <c r="O258" s="57">
        <v>0</v>
      </c>
      <c r="P258" s="57">
        <v>0</v>
      </c>
      <c r="Q258" s="56">
        <v>139807</v>
      </c>
      <c r="R258" s="57">
        <f t="shared" si="3"/>
        <v>0</v>
      </c>
      <c r="S258" s="56"/>
      <c r="T258" s="57">
        <v>0</v>
      </c>
      <c r="U258" s="58">
        <v>-69872</v>
      </c>
      <c r="V258" s="58">
        <v>-69872</v>
      </c>
    </row>
    <row r="259" spans="1:22">
      <c r="A259" s="54">
        <v>92611</v>
      </c>
      <c r="B259" s="55" t="s">
        <v>1637</v>
      </c>
      <c r="C259" s="106">
        <v>1.3650799999999999E-2</v>
      </c>
      <c r="D259" s="106">
        <v>1.3731999999999999E-2</v>
      </c>
      <c r="E259" s="56">
        <v>5062641.3499999996</v>
      </c>
      <c r="F259" s="56">
        <v>6162839</v>
      </c>
      <c r="G259" s="56">
        <v>28971571</v>
      </c>
      <c r="H259" s="56"/>
      <c r="I259" s="57">
        <v>544325.65</v>
      </c>
      <c r="J259" s="57">
        <v>25388331</v>
      </c>
      <c r="K259" s="57">
        <v>1984294</v>
      </c>
      <c r="L259" s="56">
        <v>20320</v>
      </c>
      <c r="M259" s="56"/>
      <c r="N259" s="57">
        <v>1015196</v>
      </c>
      <c r="O259" s="57">
        <v>9370701</v>
      </c>
      <c r="P259" s="57">
        <v>0</v>
      </c>
      <c r="Q259" s="56">
        <v>707501</v>
      </c>
      <c r="R259" s="57">
        <f t="shared" si="3"/>
        <v>16017630</v>
      </c>
      <c r="S259" s="56"/>
      <c r="T259" s="57">
        <v>7743676</v>
      </c>
      <c r="U259" s="58">
        <v>-194650</v>
      </c>
      <c r="V259" s="58">
        <v>7549026</v>
      </c>
    </row>
    <row r="260" spans="1:22">
      <c r="A260" s="54">
        <v>92613</v>
      </c>
      <c r="B260" s="55" t="s">
        <v>1638</v>
      </c>
      <c r="C260" s="106">
        <v>2.81E-4</v>
      </c>
      <c r="D260" s="106">
        <v>2.9250000000000001E-4</v>
      </c>
      <c r="E260" s="56">
        <v>141183.12999999998</v>
      </c>
      <c r="F260" s="56">
        <v>131272</v>
      </c>
      <c r="G260" s="56">
        <v>596376</v>
      </c>
      <c r="H260" s="56"/>
      <c r="I260" s="57">
        <v>11204.875</v>
      </c>
      <c r="J260" s="57">
        <v>522616</v>
      </c>
      <c r="K260" s="57">
        <v>40846</v>
      </c>
      <c r="L260" s="56">
        <v>119119</v>
      </c>
      <c r="M260" s="56"/>
      <c r="N260" s="57">
        <v>20898</v>
      </c>
      <c r="O260" s="57">
        <v>192895</v>
      </c>
      <c r="P260" s="57">
        <v>0</v>
      </c>
      <c r="Q260" s="56">
        <v>1892</v>
      </c>
      <c r="R260" s="57">
        <f t="shared" si="3"/>
        <v>329721</v>
      </c>
      <c r="S260" s="56"/>
      <c r="T260" s="57">
        <v>159403</v>
      </c>
      <c r="U260" s="58">
        <v>39940</v>
      </c>
      <c r="V260" s="58">
        <v>199343</v>
      </c>
    </row>
    <row r="261" spans="1:22">
      <c r="A261" s="54">
        <v>92614</v>
      </c>
      <c r="B261" s="55" t="s">
        <v>1639</v>
      </c>
      <c r="C261" s="106">
        <v>5.6468000000000004E-3</v>
      </c>
      <c r="D261" s="106">
        <v>5.6173999999999998E-3</v>
      </c>
      <c r="E261" s="56">
        <v>4370417.1500000004</v>
      </c>
      <c r="F261" s="56">
        <v>2521055</v>
      </c>
      <c r="G261" s="56">
        <v>11984401</v>
      </c>
      <c r="H261" s="56"/>
      <c r="I261" s="57">
        <v>225166</v>
      </c>
      <c r="J261" s="57">
        <v>10502156</v>
      </c>
      <c r="K261" s="57">
        <v>820824</v>
      </c>
      <c r="L261" s="56">
        <v>3097959</v>
      </c>
      <c r="M261" s="56"/>
      <c r="N261" s="57">
        <v>419947</v>
      </c>
      <c r="O261" s="57">
        <v>3876291</v>
      </c>
      <c r="P261" s="57">
        <v>0</v>
      </c>
      <c r="Q261" s="56">
        <v>0</v>
      </c>
      <c r="R261" s="57">
        <f t="shared" si="3"/>
        <v>6625865</v>
      </c>
      <c r="S261" s="56"/>
      <c r="T261" s="57">
        <v>3203255</v>
      </c>
      <c r="U261" s="58">
        <v>970834</v>
      </c>
      <c r="V261" s="58">
        <v>4174089</v>
      </c>
    </row>
    <row r="262" spans="1:22">
      <c r="A262" s="54">
        <v>92621</v>
      </c>
      <c r="B262" s="55" t="s">
        <v>1640</v>
      </c>
      <c r="C262" s="106">
        <v>3.2799999999999998E-5</v>
      </c>
      <c r="D262" s="106">
        <v>3.3099999999999998E-5</v>
      </c>
      <c r="E262" s="56">
        <v>12383.630000000001</v>
      </c>
      <c r="F262" s="56">
        <v>14855</v>
      </c>
      <c r="G262" s="56">
        <v>69613</v>
      </c>
      <c r="H262" s="56"/>
      <c r="I262" s="57">
        <v>1308</v>
      </c>
      <c r="J262" s="57">
        <v>61003</v>
      </c>
      <c r="K262" s="57">
        <v>4768</v>
      </c>
      <c r="L262" s="56">
        <v>1351</v>
      </c>
      <c r="M262" s="56"/>
      <c r="N262" s="57">
        <v>2439</v>
      </c>
      <c r="O262" s="57">
        <v>22516</v>
      </c>
      <c r="P262" s="57">
        <v>0</v>
      </c>
      <c r="Q262" s="56">
        <v>3050</v>
      </c>
      <c r="R262" s="57">
        <f t="shared" si="3"/>
        <v>38487</v>
      </c>
      <c r="S262" s="56"/>
      <c r="T262" s="57">
        <v>18606</v>
      </c>
      <c r="U262" s="58">
        <v>-800</v>
      </c>
      <c r="V262" s="58">
        <v>17806</v>
      </c>
    </row>
    <row r="263" spans="1:22">
      <c r="A263" s="54">
        <v>92631</v>
      </c>
      <c r="B263" s="55" t="s">
        <v>1641</v>
      </c>
      <c r="C263" s="106">
        <v>1.0068E-3</v>
      </c>
      <c r="D263" s="106">
        <v>1.0248E-3</v>
      </c>
      <c r="E263" s="56">
        <v>343817.77</v>
      </c>
      <c r="F263" s="56">
        <v>459924</v>
      </c>
      <c r="G263" s="56">
        <v>2136767</v>
      </c>
      <c r="H263" s="56"/>
      <c r="I263" s="57">
        <v>40146.15</v>
      </c>
      <c r="J263" s="57">
        <v>1872489</v>
      </c>
      <c r="K263" s="57">
        <v>146349</v>
      </c>
      <c r="L263" s="56">
        <v>0</v>
      </c>
      <c r="M263" s="56"/>
      <c r="N263" s="57">
        <v>74875</v>
      </c>
      <c r="O263" s="57">
        <v>691126</v>
      </c>
      <c r="P263" s="57">
        <v>0</v>
      </c>
      <c r="Q263" s="56">
        <v>101284</v>
      </c>
      <c r="R263" s="57">
        <f t="shared" ref="R263:R326" si="4">IF(J263&gt;O263,J263-O263,O263-J263)</f>
        <v>1181363</v>
      </c>
      <c r="S263" s="56"/>
      <c r="T263" s="57">
        <v>571126</v>
      </c>
      <c r="U263" s="58">
        <v>-30677</v>
      </c>
      <c r="V263" s="58">
        <v>540449</v>
      </c>
    </row>
    <row r="264" spans="1:22">
      <c r="A264" s="54">
        <v>92641</v>
      </c>
      <c r="B264" s="55" t="s">
        <v>1642</v>
      </c>
      <c r="C264" s="106">
        <v>1.03E-5</v>
      </c>
      <c r="D264" s="106">
        <v>1.0699999999999999E-5</v>
      </c>
      <c r="E264" s="56">
        <v>4921.7</v>
      </c>
      <c r="F264" s="56">
        <v>4802</v>
      </c>
      <c r="G264" s="56">
        <v>21860</v>
      </c>
      <c r="H264" s="56"/>
      <c r="I264" s="57">
        <v>410.71249999999998</v>
      </c>
      <c r="J264" s="57">
        <v>19156</v>
      </c>
      <c r="K264" s="57">
        <v>1497</v>
      </c>
      <c r="L264" s="56">
        <v>2730</v>
      </c>
      <c r="M264" s="56"/>
      <c r="N264" s="57">
        <v>766</v>
      </c>
      <c r="O264" s="57">
        <v>7071</v>
      </c>
      <c r="P264" s="57">
        <v>0</v>
      </c>
      <c r="Q264" s="56">
        <v>1900</v>
      </c>
      <c r="R264" s="57">
        <f t="shared" si="4"/>
        <v>12085</v>
      </c>
      <c r="S264" s="56"/>
      <c r="T264" s="57">
        <v>5843</v>
      </c>
      <c r="U264" s="58">
        <v>-18</v>
      </c>
      <c r="V264" s="58">
        <v>5825</v>
      </c>
    </row>
    <row r="265" spans="1:22">
      <c r="A265" s="54">
        <v>92651</v>
      </c>
      <c r="B265" s="55" t="s">
        <v>1643</v>
      </c>
      <c r="C265" s="106">
        <v>2.6000000000000001E-6</v>
      </c>
      <c r="D265" s="106">
        <v>2.3999999999999999E-6</v>
      </c>
      <c r="E265" s="56">
        <v>2706.64</v>
      </c>
      <c r="F265" s="56">
        <v>1077</v>
      </c>
      <c r="G265" s="56">
        <v>5518</v>
      </c>
      <c r="H265" s="56"/>
      <c r="I265" s="57">
        <v>103.675</v>
      </c>
      <c r="J265" s="57">
        <v>4836</v>
      </c>
      <c r="K265" s="57">
        <v>378</v>
      </c>
      <c r="L265" s="56">
        <v>2819</v>
      </c>
      <c r="M265" s="56"/>
      <c r="N265" s="57">
        <v>193</v>
      </c>
      <c r="O265" s="57">
        <v>1785</v>
      </c>
      <c r="P265" s="57">
        <v>0</v>
      </c>
      <c r="Q265" s="56">
        <v>0</v>
      </c>
      <c r="R265" s="57">
        <f t="shared" si="4"/>
        <v>3051</v>
      </c>
      <c r="S265" s="56"/>
      <c r="T265" s="57">
        <v>1475</v>
      </c>
      <c r="U265" s="58">
        <v>953</v>
      </c>
      <c r="V265" s="58">
        <v>2428</v>
      </c>
    </row>
    <row r="266" spans="1:22">
      <c r="A266" s="54">
        <v>92661</v>
      </c>
      <c r="B266" s="55" t="s">
        <v>1644</v>
      </c>
      <c r="C266" s="106">
        <v>6.6299999999999996E-4</v>
      </c>
      <c r="D266" s="106">
        <v>6.7860000000000001E-4</v>
      </c>
      <c r="E266" s="56">
        <v>505437.85000000003</v>
      </c>
      <c r="F266" s="56">
        <v>304552</v>
      </c>
      <c r="G266" s="56">
        <v>1407108</v>
      </c>
      <c r="H266" s="56"/>
      <c r="I266" s="57">
        <v>26437.125</v>
      </c>
      <c r="J266" s="57">
        <v>1233075</v>
      </c>
      <c r="K266" s="57">
        <v>96374</v>
      </c>
      <c r="L266" s="56">
        <v>293360</v>
      </c>
      <c r="M266" s="56"/>
      <c r="N266" s="57">
        <v>49307</v>
      </c>
      <c r="O266" s="57">
        <v>455122</v>
      </c>
      <c r="P266" s="57">
        <v>0</v>
      </c>
      <c r="Q266" s="56">
        <v>33924</v>
      </c>
      <c r="R266" s="57">
        <f t="shared" si="4"/>
        <v>777953</v>
      </c>
      <c r="S266" s="56"/>
      <c r="T266" s="57">
        <v>376099</v>
      </c>
      <c r="U266" s="58">
        <v>70124</v>
      </c>
      <c r="V266" s="58">
        <v>446224</v>
      </c>
    </row>
    <row r="267" spans="1:22">
      <c r="A267" s="54">
        <v>92671</v>
      </c>
      <c r="B267" s="55" t="s">
        <v>1645</v>
      </c>
      <c r="C267" s="106">
        <v>2.9000000000000002E-6</v>
      </c>
      <c r="D267" s="106">
        <v>3.4999999999999999E-6</v>
      </c>
      <c r="E267" s="56">
        <v>4773.75</v>
      </c>
      <c r="F267" s="56">
        <v>1571</v>
      </c>
      <c r="G267" s="56">
        <v>6155</v>
      </c>
      <c r="H267" s="56"/>
      <c r="I267" s="57">
        <v>115.6375</v>
      </c>
      <c r="J267" s="57">
        <v>5394</v>
      </c>
      <c r="K267" s="57">
        <v>422</v>
      </c>
      <c r="L267" s="56">
        <v>4608</v>
      </c>
      <c r="M267" s="56"/>
      <c r="N267" s="57">
        <v>216</v>
      </c>
      <c r="O267" s="57">
        <v>1991</v>
      </c>
      <c r="P267" s="57">
        <v>0</v>
      </c>
      <c r="Q267" s="56">
        <v>0</v>
      </c>
      <c r="R267" s="57">
        <f t="shared" si="4"/>
        <v>3403</v>
      </c>
      <c r="S267" s="56"/>
      <c r="T267" s="57">
        <v>1645</v>
      </c>
      <c r="U267" s="58">
        <v>1438</v>
      </c>
      <c r="V267" s="58">
        <v>3083</v>
      </c>
    </row>
    <row r="268" spans="1:22">
      <c r="A268" s="54">
        <v>92681</v>
      </c>
      <c r="B268" s="55" t="s">
        <v>1646</v>
      </c>
      <c r="C268" s="106">
        <v>1.01E-5</v>
      </c>
      <c r="D268" s="106">
        <v>5.4E-6</v>
      </c>
      <c r="E268" s="56">
        <v>9613.7899999999991</v>
      </c>
      <c r="F268" s="56">
        <v>2423</v>
      </c>
      <c r="G268" s="56">
        <v>21436</v>
      </c>
      <c r="H268" s="56"/>
      <c r="I268" s="57">
        <v>402.73750000000001</v>
      </c>
      <c r="J268" s="57">
        <v>18784</v>
      </c>
      <c r="K268" s="57">
        <v>1468</v>
      </c>
      <c r="L268" s="56">
        <v>11040</v>
      </c>
      <c r="M268" s="56"/>
      <c r="N268" s="57">
        <v>751</v>
      </c>
      <c r="O268" s="57">
        <v>6933</v>
      </c>
      <c r="P268" s="57">
        <v>0</v>
      </c>
      <c r="Q268" s="56">
        <v>0</v>
      </c>
      <c r="R268" s="57">
        <f t="shared" si="4"/>
        <v>11851</v>
      </c>
      <c r="S268" s="56"/>
      <c r="T268" s="57">
        <v>5729</v>
      </c>
      <c r="U268" s="58">
        <v>3452</v>
      </c>
      <c r="V268" s="58">
        <v>9181</v>
      </c>
    </row>
    <row r="269" spans="1:22">
      <c r="A269" s="54">
        <v>92701</v>
      </c>
      <c r="B269" s="55" t="s">
        <v>1647</v>
      </c>
      <c r="C269" s="106">
        <v>2.9588000000000001E-3</v>
      </c>
      <c r="D269" s="106">
        <v>2.8249999999999998E-3</v>
      </c>
      <c r="E269" s="56">
        <v>1147170.26</v>
      </c>
      <c r="F269" s="56">
        <v>1267843</v>
      </c>
      <c r="G269" s="56">
        <v>6279565</v>
      </c>
      <c r="H269" s="56"/>
      <c r="I269" s="57">
        <v>117982</v>
      </c>
      <c r="J269" s="57">
        <v>5502901</v>
      </c>
      <c r="K269" s="57">
        <v>430094</v>
      </c>
      <c r="L269" s="56">
        <v>17190</v>
      </c>
      <c r="M269" s="56"/>
      <c r="N269" s="57">
        <v>220043</v>
      </c>
      <c r="O269" s="57">
        <v>2031092</v>
      </c>
      <c r="P269" s="57">
        <v>0</v>
      </c>
      <c r="Q269" s="56">
        <v>81579</v>
      </c>
      <c r="R269" s="57">
        <f t="shared" si="4"/>
        <v>3471809</v>
      </c>
      <c r="S269" s="56"/>
      <c r="T269" s="57">
        <v>1678436</v>
      </c>
      <c r="U269" s="58">
        <v>-34202</v>
      </c>
      <c r="V269" s="58">
        <v>1644234</v>
      </c>
    </row>
    <row r="270" spans="1:22">
      <c r="A270" s="54">
        <v>92704</v>
      </c>
      <c r="B270" s="55" t="s">
        <v>1648</v>
      </c>
      <c r="C270" s="106">
        <v>4.7700000000000001E-5</v>
      </c>
      <c r="D270" s="106">
        <v>4.8000000000000001E-5</v>
      </c>
      <c r="E270" s="56">
        <v>17416.48</v>
      </c>
      <c r="F270" s="56">
        <v>21542</v>
      </c>
      <c r="G270" s="56">
        <v>101235</v>
      </c>
      <c r="H270" s="56"/>
      <c r="I270" s="57">
        <v>1902</v>
      </c>
      <c r="J270" s="57">
        <v>88714</v>
      </c>
      <c r="K270" s="57">
        <v>6934</v>
      </c>
      <c r="L270" s="56">
        <v>2418</v>
      </c>
      <c r="M270" s="56"/>
      <c r="N270" s="57">
        <v>3547</v>
      </c>
      <c r="O270" s="57">
        <v>32744</v>
      </c>
      <c r="P270" s="57">
        <v>0</v>
      </c>
      <c r="Q270" s="56">
        <v>1922</v>
      </c>
      <c r="R270" s="57">
        <f t="shared" si="4"/>
        <v>55970</v>
      </c>
      <c r="S270" s="56"/>
      <c r="T270" s="57">
        <v>27059</v>
      </c>
      <c r="U270" s="58">
        <v>357</v>
      </c>
      <c r="V270" s="58">
        <v>27415</v>
      </c>
    </row>
    <row r="271" spans="1:22">
      <c r="A271" s="54">
        <v>92801</v>
      </c>
      <c r="B271" s="55" t="s">
        <v>1649</v>
      </c>
      <c r="C271" s="106">
        <v>5.1701000000000004E-3</v>
      </c>
      <c r="D271" s="106">
        <v>5.1633E-3</v>
      </c>
      <c r="E271" s="56">
        <v>2172949.21</v>
      </c>
      <c r="F271" s="56">
        <v>2317258</v>
      </c>
      <c r="G271" s="56">
        <v>10972684</v>
      </c>
      <c r="H271" s="56"/>
      <c r="I271" s="57">
        <v>206158</v>
      </c>
      <c r="J271" s="57">
        <v>9615569</v>
      </c>
      <c r="K271" s="57">
        <v>751531</v>
      </c>
      <c r="L271" s="56">
        <v>219271</v>
      </c>
      <c r="M271" s="56"/>
      <c r="N271" s="57">
        <v>384495</v>
      </c>
      <c r="O271" s="57">
        <v>3549057</v>
      </c>
      <c r="P271" s="57">
        <v>0</v>
      </c>
      <c r="Q271" s="56">
        <v>0</v>
      </c>
      <c r="R271" s="57">
        <f t="shared" si="4"/>
        <v>6066512</v>
      </c>
      <c r="S271" s="56"/>
      <c r="T271" s="57">
        <v>2932837</v>
      </c>
      <c r="U271" s="58">
        <v>78433</v>
      </c>
      <c r="V271" s="58">
        <v>3011270</v>
      </c>
    </row>
    <row r="272" spans="1:22">
      <c r="A272" s="54">
        <v>92802</v>
      </c>
      <c r="B272" s="55" t="s">
        <v>1650</v>
      </c>
      <c r="C272" s="106">
        <v>1.3410000000000001E-4</v>
      </c>
      <c r="D272" s="106">
        <v>1.4359999999999999E-4</v>
      </c>
      <c r="E272" s="56">
        <v>49243.25</v>
      </c>
      <c r="F272" s="56">
        <v>64447</v>
      </c>
      <c r="G272" s="56">
        <v>284605</v>
      </c>
      <c r="H272" s="56"/>
      <c r="I272" s="57">
        <v>5347</v>
      </c>
      <c r="J272" s="57">
        <v>249405</v>
      </c>
      <c r="K272" s="57">
        <v>19493</v>
      </c>
      <c r="L272" s="56">
        <v>0</v>
      </c>
      <c r="M272" s="56"/>
      <c r="N272" s="57">
        <v>9973</v>
      </c>
      <c r="O272" s="57">
        <v>92054</v>
      </c>
      <c r="P272" s="57">
        <v>0</v>
      </c>
      <c r="Q272" s="56">
        <v>17052</v>
      </c>
      <c r="R272" s="57">
        <f t="shared" si="4"/>
        <v>157351</v>
      </c>
      <c r="S272" s="56"/>
      <c r="T272" s="57">
        <v>76071</v>
      </c>
      <c r="U272" s="58">
        <v>-5458</v>
      </c>
      <c r="V272" s="58">
        <v>70613</v>
      </c>
    </row>
    <row r="273" spans="1:22">
      <c r="A273" s="54">
        <v>92804</v>
      </c>
      <c r="B273" s="55" t="s">
        <v>1651</v>
      </c>
      <c r="C273" s="106">
        <v>1.47E-4</v>
      </c>
      <c r="D273" s="106">
        <v>1.217E-4</v>
      </c>
      <c r="E273" s="56">
        <v>50468.480000000003</v>
      </c>
      <c r="F273" s="56">
        <v>54618</v>
      </c>
      <c r="G273" s="56">
        <v>311983</v>
      </c>
      <c r="H273" s="56"/>
      <c r="I273" s="57">
        <v>5861.625</v>
      </c>
      <c r="J273" s="57">
        <v>273397</v>
      </c>
      <c r="K273" s="57">
        <v>21368</v>
      </c>
      <c r="L273" s="56">
        <v>12672</v>
      </c>
      <c r="M273" s="56"/>
      <c r="N273" s="57">
        <v>10932</v>
      </c>
      <c r="O273" s="57">
        <v>100909</v>
      </c>
      <c r="P273" s="57">
        <v>0</v>
      </c>
      <c r="Q273" s="56">
        <v>2663</v>
      </c>
      <c r="R273" s="57">
        <f t="shared" si="4"/>
        <v>172488</v>
      </c>
      <c r="S273" s="56"/>
      <c r="T273" s="57">
        <v>83389</v>
      </c>
      <c r="U273" s="58">
        <v>2604</v>
      </c>
      <c r="V273" s="58">
        <v>85992</v>
      </c>
    </row>
    <row r="274" spans="1:22">
      <c r="A274" s="54">
        <v>92811</v>
      </c>
      <c r="B274" s="55" t="s">
        <v>1652</v>
      </c>
      <c r="C274" s="106">
        <v>9.8569999999999994E-4</v>
      </c>
      <c r="D274" s="106">
        <v>1.1405E-3</v>
      </c>
      <c r="E274" s="56">
        <v>390969.39999999997</v>
      </c>
      <c r="F274" s="56">
        <v>511850</v>
      </c>
      <c r="G274" s="56">
        <v>2091986</v>
      </c>
      <c r="H274" s="56"/>
      <c r="I274" s="57">
        <v>39305</v>
      </c>
      <c r="J274" s="57">
        <v>1833246</v>
      </c>
      <c r="K274" s="57">
        <v>143282</v>
      </c>
      <c r="L274" s="56">
        <v>0</v>
      </c>
      <c r="M274" s="56"/>
      <c r="N274" s="57">
        <v>73306</v>
      </c>
      <c r="O274" s="57">
        <v>676642</v>
      </c>
      <c r="P274" s="57">
        <v>0</v>
      </c>
      <c r="Q274" s="56">
        <v>118839</v>
      </c>
      <c r="R274" s="57">
        <f t="shared" si="4"/>
        <v>1156604</v>
      </c>
      <c r="S274" s="56"/>
      <c r="T274" s="57">
        <v>559157</v>
      </c>
      <c r="U274" s="58">
        <v>-36047</v>
      </c>
      <c r="V274" s="58">
        <v>523110</v>
      </c>
    </row>
    <row r="275" spans="1:22">
      <c r="A275" s="54">
        <v>92821</v>
      </c>
      <c r="B275" s="55" t="s">
        <v>1653</v>
      </c>
      <c r="C275" s="106">
        <v>1.0139999999999999E-3</v>
      </c>
      <c r="D275" s="106">
        <v>9.8010000000000002E-4</v>
      </c>
      <c r="E275" s="56">
        <v>411903.12999999995</v>
      </c>
      <c r="F275" s="56">
        <v>439863</v>
      </c>
      <c r="G275" s="56">
        <v>2152047.69</v>
      </c>
      <c r="H275" s="56"/>
      <c r="I275" s="57">
        <v>40433.25</v>
      </c>
      <c r="J275" s="57">
        <v>1885880</v>
      </c>
      <c r="K275" s="57">
        <v>147396</v>
      </c>
      <c r="L275" s="56">
        <v>27408</v>
      </c>
      <c r="M275" s="56"/>
      <c r="N275" s="57">
        <v>75410</v>
      </c>
      <c r="O275" s="57">
        <v>696068</v>
      </c>
      <c r="P275" s="57">
        <v>0</v>
      </c>
      <c r="Q275" s="56">
        <v>0</v>
      </c>
      <c r="R275" s="57">
        <f t="shared" si="4"/>
        <v>1189812</v>
      </c>
      <c r="S275" s="56"/>
      <c r="T275" s="57">
        <v>575211</v>
      </c>
      <c r="U275" s="58">
        <v>8904</v>
      </c>
      <c r="V275" s="58">
        <v>584115</v>
      </c>
    </row>
    <row r="276" spans="1:22">
      <c r="A276" s="54">
        <v>92831</v>
      </c>
      <c r="B276" s="55" t="s">
        <v>1654</v>
      </c>
      <c r="C276" s="106">
        <v>2.476E-4</v>
      </c>
      <c r="D276" s="106">
        <v>2.4049999999999999E-4</v>
      </c>
      <c r="E276" s="56">
        <v>117070.46</v>
      </c>
      <c r="F276" s="56">
        <v>107935</v>
      </c>
      <c r="G276" s="56">
        <v>525490</v>
      </c>
      <c r="H276" s="56"/>
      <c r="I276" s="57">
        <v>9873</v>
      </c>
      <c r="J276" s="57">
        <v>460497</v>
      </c>
      <c r="K276" s="57">
        <v>35991</v>
      </c>
      <c r="L276" s="56">
        <v>29199</v>
      </c>
      <c r="M276" s="56"/>
      <c r="N276" s="57">
        <v>18414</v>
      </c>
      <c r="O276" s="57">
        <v>169967</v>
      </c>
      <c r="P276" s="57">
        <v>0</v>
      </c>
      <c r="Q276" s="56">
        <v>0</v>
      </c>
      <c r="R276" s="57">
        <f t="shared" si="4"/>
        <v>290530</v>
      </c>
      <c r="S276" s="56"/>
      <c r="T276" s="57">
        <v>140456</v>
      </c>
      <c r="U276" s="58">
        <v>10043</v>
      </c>
      <c r="V276" s="58">
        <v>150499</v>
      </c>
    </row>
    <row r="277" spans="1:22">
      <c r="A277" s="54">
        <v>92841</v>
      </c>
      <c r="B277" s="55" t="s">
        <v>1655</v>
      </c>
      <c r="C277" s="106">
        <v>2.8160000000000001E-4</v>
      </c>
      <c r="D277" s="106">
        <v>2.7070000000000002E-4</v>
      </c>
      <c r="E277" s="56">
        <v>105224.13999999998</v>
      </c>
      <c r="F277" s="56">
        <v>121489</v>
      </c>
      <c r="G277" s="56">
        <v>597650</v>
      </c>
      <c r="H277" s="56"/>
      <c r="I277" s="57">
        <v>11229</v>
      </c>
      <c r="J277" s="57">
        <v>523732</v>
      </c>
      <c r="K277" s="57">
        <v>40934</v>
      </c>
      <c r="L277" s="56">
        <v>11701.2</v>
      </c>
      <c r="M277" s="56"/>
      <c r="N277" s="57">
        <v>20942</v>
      </c>
      <c r="O277" s="57">
        <v>193307</v>
      </c>
      <c r="P277" s="57">
        <v>0</v>
      </c>
      <c r="Q277" s="56">
        <v>3120</v>
      </c>
      <c r="R277" s="57">
        <f t="shared" si="4"/>
        <v>330425</v>
      </c>
      <c r="S277" s="56"/>
      <c r="T277" s="57">
        <v>159743</v>
      </c>
      <c r="U277" s="58">
        <v>5013</v>
      </c>
      <c r="V277" s="58">
        <v>164756</v>
      </c>
    </row>
    <row r="278" spans="1:22">
      <c r="A278" s="54">
        <v>92851</v>
      </c>
      <c r="B278" s="55" t="s">
        <v>1656</v>
      </c>
      <c r="C278" s="106">
        <v>4.3909999999999999E-4</v>
      </c>
      <c r="D278" s="106">
        <v>4.6690000000000002E-4</v>
      </c>
      <c r="E278" s="56">
        <v>157592.29999999999</v>
      </c>
      <c r="F278" s="56">
        <v>209542</v>
      </c>
      <c r="G278" s="56">
        <v>931917</v>
      </c>
      <c r="H278" s="56"/>
      <c r="I278" s="57">
        <v>17509</v>
      </c>
      <c r="J278" s="57">
        <v>816657</v>
      </c>
      <c r="K278" s="57">
        <v>63828</v>
      </c>
      <c r="L278" s="56">
        <v>0</v>
      </c>
      <c r="M278" s="56"/>
      <c r="N278" s="57">
        <v>32655</v>
      </c>
      <c r="O278" s="57">
        <v>301424</v>
      </c>
      <c r="P278" s="57">
        <v>0</v>
      </c>
      <c r="Q278" s="56">
        <v>92000</v>
      </c>
      <c r="R278" s="57">
        <f t="shared" si="4"/>
        <v>515233</v>
      </c>
      <c r="S278" s="56"/>
      <c r="T278" s="57">
        <v>249088</v>
      </c>
      <c r="U278" s="58">
        <v>-34292</v>
      </c>
      <c r="V278" s="58">
        <v>214796</v>
      </c>
    </row>
    <row r="279" spans="1:22">
      <c r="A279" s="54">
        <v>92861</v>
      </c>
      <c r="B279" s="55" t="s">
        <v>1657</v>
      </c>
      <c r="C279" s="106">
        <v>3.3629999999999999E-4</v>
      </c>
      <c r="D279" s="106">
        <v>3.7750000000000001E-4</v>
      </c>
      <c r="E279" s="56">
        <v>101705.39000000001</v>
      </c>
      <c r="F279" s="56">
        <v>169420</v>
      </c>
      <c r="G279" s="56">
        <v>713741</v>
      </c>
      <c r="H279" s="56"/>
      <c r="I279" s="57">
        <v>13410</v>
      </c>
      <c r="J279" s="57">
        <v>625465</v>
      </c>
      <c r="K279" s="57">
        <v>48885</v>
      </c>
      <c r="L279" s="56">
        <v>0</v>
      </c>
      <c r="M279" s="56"/>
      <c r="N279" s="57">
        <v>25010</v>
      </c>
      <c r="O279" s="57">
        <v>230856</v>
      </c>
      <c r="P279" s="57">
        <v>0</v>
      </c>
      <c r="Q279" s="56">
        <v>96581</v>
      </c>
      <c r="R279" s="57">
        <f t="shared" si="4"/>
        <v>394609</v>
      </c>
      <c r="S279" s="56"/>
      <c r="T279" s="57">
        <v>190773</v>
      </c>
      <c r="U279" s="58">
        <v>-32224</v>
      </c>
      <c r="V279" s="58">
        <v>158549</v>
      </c>
    </row>
    <row r="280" spans="1:22">
      <c r="A280" s="54">
        <v>92901</v>
      </c>
      <c r="B280" s="55" t="s">
        <v>1658</v>
      </c>
      <c r="C280" s="106">
        <v>5.7581000000000004E-3</v>
      </c>
      <c r="D280" s="106">
        <v>5.7428999999999996E-3</v>
      </c>
      <c r="E280" s="56">
        <v>2270580.9300000002</v>
      </c>
      <c r="F280" s="56">
        <v>2577379</v>
      </c>
      <c r="G280" s="56">
        <v>12220617</v>
      </c>
      <c r="H280" s="56"/>
      <c r="I280" s="57">
        <v>229604</v>
      </c>
      <c r="J280" s="57">
        <v>10709156</v>
      </c>
      <c r="K280" s="57">
        <v>837003</v>
      </c>
      <c r="L280" s="56">
        <v>108561</v>
      </c>
      <c r="M280" s="56"/>
      <c r="N280" s="57">
        <v>428224</v>
      </c>
      <c r="O280" s="57">
        <v>3952694</v>
      </c>
      <c r="P280" s="57">
        <v>0</v>
      </c>
      <c r="Q280" s="56">
        <v>69123</v>
      </c>
      <c r="R280" s="57">
        <f t="shared" si="4"/>
        <v>6756462</v>
      </c>
      <c r="S280" s="56"/>
      <c r="T280" s="57">
        <v>3266392</v>
      </c>
      <c r="U280" s="58">
        <v>24956</v>
      </c>
      <c r="V280" s="58">
        <v>3291348</v>
      </c>
    </row>
    <row r="281" spans="1:22">
      <c r="A281" s="54">
        <v>92911</v>
      </c>
      <c r="B281" s="55" t="s">
        <v>1659</v>
      </c>
      <c r="C281" s="106">
        <v>1.9442999999999999E-3</v>
      </c>
      <c r="D281" s="106">
        <v>2.0665000000000002E-3</v>
      </c>
      <c r="E281" s="56">
        <v>811710.22</v>
      </c>
      <c r="F281" s="56">
        <v>927433</v>
      </c>
      <c r="G281" s="56">
        <v>4126456</v>
      </c>
      <c r="H281" s="56"/>
      <c r="I281" s="57">
        <v>77529</v>
      </c>
      <c r="J281" s="57">
        <v>3616091</v>
      </c>
      <c r="K281" s="57">
        <v>282625</v>
      </c>
      <c r="L281" s="56">
        <v>0</v>
      </c>
      <c r="M281" s="56"/>
      <c r="N281" s="57">
        <v>144596</v>
      </c>
      <c r="O281" s="57">
        <v>1334680</v>
      </c>
      <c r="P281" s="57">
        <v>0</v>
      </c>
      <c r="Q281" s="56">
        <v>175676</v>
      </c>
      <c r="R281" s="57">
        <f t="shared" si="4"/>
        <v>2281411</v>
      </c>
      <c r="S281" s="56"/>
      <c r="T281" s="57">
        <v>1102941</v>
      </c>
      <c r="U281" s="58">
        <v>-62151</v>
      </c>
      <c r="V281" s="58">
        <v>1040790</v>
      </c>
    </row>
    <row r="282" spans="1:22">
      <c r="A282" s="54">
        <v>92913</v>
      </c>
      <c r="B282" s="55" t="s">
        <v>1660</v>
      </c>
      <c r="C282" s="106">
        <v>2.37E-5</v>
      </c>
      <c r="D282" s="106">
        <v>2.97E-5</v>
      </c>
      <c r="E282" s="56">
        <v>56296.04</v>
      </c>
      <c r="F282" s="56">
        <v>13329</v>
      </c>
      <c r="G282" s="56">
        <v>50299</v>
      </c>
      <c r="H282" s="56"/>
      <c r="I282" s="57">
        <v>945.03750000000002</v>
      </c>
      <c r="J282" s="57">
        <v>44078</v>
      </c>
      <c r="K282" s="57">
        <v>3445</v>
      </c>
      <c r="L282" s="56">
        <v>60788</v>
      </c>
      <c r="M282" s="56"/>
      <c r="N282" s="57">
        <v>1763</v>
      </c>
      <c r="O282" s="57">
        <v>16269</v>
      </c>
      <c r="P282" s="57">
        <v>0</v>
      </c>
      <c r="Q282" s="56">
        <v>4115</v>
      </c>
      <c r="R282" s="57">
        <f t="shared" si="4"/>
        <v>27809</v>
      </c>
      <c r="S282" s="56"/>
      <c r="T282" s="57">
        <v>13444</v>
      </c>
      <c r="U282" s="58">
        <v>16266</v>
      </c>
      <c r="V282" s="58">
        <v>29711</v>
      </c>
    </row>
    <row r="283" spans="1:22">
      <c r="A283" s="54">
        <v>92917</v>
      </c>
      <c r="B283" s="55" t="s">
        <v>1662</v>
      </c>
      <c r="C283" s="106">
        <v>2.0000000000000002E-5</v>
      </c>
      <c r="D283" s="106">
        <v>1.9599999999999999E-5</v>
      </c>
      <c r="E283" s="56">
        <v>15741.650000000001</v>
      </c>
      <c r="F283" s="56">
        <v>8796</v>
      </c>
      <c r="G283" s="56">
        <v>42447</v>
      </c>
      <c r="H283" s="56"/>
      <c r="I283" s="57">
        <v>798</v>
      </c>
      <c r="J283" s="57">
        <v>37197</v>
      </c>
      <c r="K283" s="57">
        <v>2907</v>
      </c>
      <c r="L283" s="56">
        <v>14645</v>
      </c>
      <c r="M283" s="56"/>
      <c r="N283" s="57">
        <v>1487.38</v>
      </c>
      <c r="O283" s="57">
        <v>13729</v>
      </c>
      <c r="P283" s="57">
        <v>0</v>
      </c>
      <c r="Q283" s="56">
        <v>0</v>
      </c>
      <c r="R283" s="57">
        <f t="shared" si="4"/>
        <v>23468</v>
      </c>
      <c r="S283" s="56"/>
      <c r="T283" s="57">
        <v>11345</v>
      </c>
      <c r="U283" s="58">
        <v>5366</v>
      </c>
      <c r="V283" s="58">
        <v>16711</v>
      </c>
    </row>
    <row r="284" spans="1:22">
      <c r="A284" s="54">
        <v>92921</v>
      </c>
      <c r="B284" s="55" t="s">
        <v>1663</v>
      </c>
      <c r="C284" s="106">
        <v>6.2899999999999997E-5</v>
      </c>
      <c r="D284" s="106">
        <v>8.1500000000000002E-5</v>
      </c>
      <c r="E284" s="56">
        <v>34231.150000000009</v>
      </c>
      <c r="F284" s="56">
        <v>36577</v>
      </c>
      <c r="G284" s="56">
        <v>133495</v>
      </c>
      <c r="H284" s="56"/>
      <c r="I284" s="57">
        <v>2508</v>
      </c>
      <c r="J284" s="57">
        <v>116984</v>
      </c>
      <c r="K284" s="57">
        <v>9143</v>
      </c>
      <c r="L284" s="56">
        <v>0</v>
      </c>
      <c r="M284" s="56"/>
      <c r="N284" s="57">
        <v>4678</v>
      </c>
      <c r="O284" s="57">
        <v>43178</v>
      </c>
      <c r="P284" s="57">
        <v>0</v>
      </c>
      <c r="Q284" s="56">
        <v>14056</v>
      </c>
      <c r="R284" s="57">
        <f t="shared" si="4"/>
        <v>73806</v>
      </c>
      <c r="S284" s="56"/>
      <c r="T284" s="57">
        <v>35681</v>
      </c>
      <c r="U284" s="58">
        <v>-6225</v>
      </c>
      <c r="V284" s="58">
        <v>29456</v>
      </c>
    </row>
    <row r="285" spans="1:22">
      <c r="A285" s="54">
        <v>92931</v>
      </c>
      <c r="B285" s="55" t="s">
        <v>1664</v>
      </c>
      <c r="C285" s="106">
        <v>2.5048000000000002E-3</v>
      </c>
      <c r="D285" s="106">
        <v>2.5463E-3</v>
      </c>
      <c r="E285" s="56">
        <v>948741.12999999989</v>
      </c>
      <c r="F285" s="56">
        <v>1142764</v>
      </c>
      <c r="G285" s="56">
        <v>5316025</v>
      </c>
      <c r="H285" s="56"/>
      <c r="I285" s="57">
        <v>99879</v>
      </c>
      <c r="J285" s="57">
        <v>4658532</v>
      </c>
      <c r="K285" s="57">
        <v>364100</v>
      </c>
      <c r="L285" s="56">
        <v>15520</v>
      </c>
      <c r="M285" s="56"/>
      <c r="N285" s="57">
        <v>186279</v>
      </c>
      <c r="O285" s="57">
        <v>1719440</v>
      </c>
      <c r="P285" s="57">
        <v>0</v>
      </c>
      <c r="Q285" s="56">
        <v>116480</v>
      </c>
      <c r="R285" s="57">
        <f t="shared" si="4"/>
        <v>2939092</v>
      </c>
      <c r="S285" s="56"/>
      <c r="T285" s="57">
        <v>1420895</v>
      </c>
      <c r="U285" s="58">
        <v>-25186</v>
      </c>
      <c r="V285" s="58">
        <v>1395710</v>
      </c>
    </row>
    <row r="286" spans="1:22">
      <c r="A286" s="54">
        <v>92941</v>
      </c>
      <c r="B286" s="55" t="s">
        <v>292</v>
      </c>
      <c r="C286" s="106">
        <v>1.84E-5</v>
      </c>
      <c r="D286" s="106">
        <v>1.5999999999999999E-5</v>
      </c>
      <c r="E286" s="56">
        <v>7189.9199999999992</v>
      </c>
      <c r="F286" s="56">
        <v>7181</v>
      </c>
      <c r="G286" s="56">
        <v>39051</v>
      </c>
      <c r="H286" s="56"/>
      <c r="I286" s="57">
        <v>733.7</v>
      </c>
      <c r="J286" s="57">
        <v>34221</v>
      </c>
      <c r="K286" s="57">
        <v>2675</v>
      </c>
      <c r="L286" s="56">
        <v>10216</v>
      </c>
      <c r="M286" s="56"/>
      <c r="N286" s="57">
        <v>1368</v>
      </c>
      <c r="O286" s="57">
        <v>12631</v>
      </c>
      <c r="P286" s="57">
        <v>0</v>
      </c>
      <c r="Q286" s="56">
        <v>0</v>
      </c>
      <c r="R286" s="57">
        <f t="shared" si="4"/>
        <v>21590</v>
      </c>
      <c r="S286" s="56"/>
      <c r="T286" s="57">
        <v>10438</v>
      </c>
      <c r="U286" s="58">
        <v>3605</v>
      </c>
      <c r="V286" s="58">
        <v>14042</v>
      </c>
    </row>
    <row r="287" spans="1:22">
      <c r="A287" s="54">
        <v>93001</v>
      </c>
      <c r="B287" s="55" t="s">
        <v>1665</v>
      </c>
      <c r="C287" s="106">
        <v>2.2739000000000001E-3</v>
      </c>
      <c r="D287" s="106">
        <v>2.2177999999999998E-3</v>
      </c>
      <c r="E287" s="56">
        <v>863907.18</v>
      </c>
      <c r="F287" s="56">
        <v>995335</v>
      </c>
      <c r="G287" s="56">
        <v>4825978</v>
      </c>
      <c r="H287" s="56"/>
      <c r="I287" s="57">
        <v>90672</v>
      </c>
      <c r="J287" s="57">
        <v>4229095</v>
      </c>
      <c r="K287" s="57">
        <v>330536</v>
      </c>
      <c r="L287" s="56">
        <v>13531</v>
      </c>
      <c r="M287" s="56"/>
      <c r="N287" s="57">
        <v>169108</v>
      </c>
      <c r="O287" s="57">
        <v>1560937</v>
      </c>
      <c r="P287" s="57">
        <v>0</v>
      </c>
      <c r="Q287" s="56">
        <v>103635</v>
      </c>
      <c r="R287" s="57">
        <f t="shared" si="4"/>
        <v>2668158</v>
      </c>
      <c r="S287" s="56"/>
      <c r="T287" s="57">
        <v>1289913</v>
      </c>
      <c r="U287" s="58">
        <v>-40908</v>
      </c>
      <c r="V287" s="58">
        <v>1249005</v>
      </c>
    </row>
    <row r="288" spans="1:22">
      <c r="A288" s="54">
        <v>93009</v>
      </c>
      <c r="B288" s="55" t="s">
        <v>1666</v>
      </c>
      <c r="C288" s="106">
        <v>1.5400000000000002E-5</v>
      </c>
      <c r="D288" s="106">
        <v>1.6399999999999999E-5</v>
      </c>
      <c r="E288" s="56">
        <v>4865.2100000000009</v>
      </c>
      <c r="F288" s="56">
        <v>7360</v>
      </c>
      <c r="G288" s="56">
        <v>32684</v>
      </c>
      <c r="H288" s="56"/>
      <c r="I288" s="57">
        <v>614</v>
      </c>
      <c r="J288" s="57">
        <v>28642</v>
      </c>
      <c r="K288" s="57">
        <v>2239</v>
      </c>
      <c r="L288" s="56">
        <v>0</v>
      </c>
      <c r="M288" s="56"/>
      <c r="N288" s="57">
        <v>1145</v>
      </c>
      <c r="O288" s="57">
        <v>10571</v>
      </c>
      <c r="P288" s="57">
        <v>0</v>
      </c>
      <c r="Q288" s="56">
        <v>4210</v>
      </c>
      <c r="R288" s="57">
        <f t="shared" si="4"/>
        <v>18071</v>
      </c>
      <c r="S288" s="56"/>
      <c r="T288" s="57">
        <v>8736</v>
      </c>
      <c r="U288" s="58">
        <v>-1521</v>
      </c>
      <c r="V288" s="58">
        <v>7215</v>
      </c>
    </row>
    <row r="289" spans="1:22">
      <c r="A289" s="54">
        <v>93011</v>
      </c>
      <c r="B289" s="55" t="s">
        <v>1667</v>
      </c>
      <c r="C289" s="106">
        <v>2.6160000000000002E-4</v>
      </c>
      <c r="D289" s="106">
        <v>2.9179999999999999E-4</v>
      </c>
      <c r="E289" s="56">
        <v>124242.32999999999</v>
      </c>
      <c r="F289" s="56">
        <v>130958</v>
      </c>
      <c r="G289" s="56">
        <v>555203</v>
      </c>
      <c r="H289" s="56"/>
      <c r="I289" s="57">
        <v>10431</v>
      </c>
      <c r="J289" s="57">
        <v>486535</v>
      </c>
      <c r="K289" s="57">
        <v>38026</v>
      </c>
      <c r="L289" s="56">
        <v>2390</v>
      </c>
      <c r="M289" s="56"/>
      <c r="N289" s="57">
        <v>19455</v>
      </c>
      <c r="O289" s="57">
        <v>179577</v>
      </c>
      <c r="P289" s="57">
        <v>0</v>
      </c>
      <c r="Q289" s="56">
        <v>5043</v>
      </c>
      <c r="R289" s="57">
        <f t="shared" si="4"/>
        <v>306958</v>
      </c>
      <c r="S289" s="56"/>
      <c r="T289" s="57">
        <v>148398</v>
      </c>
      <c r="U289" s="58">
        <v>-926</v>
      </c>
      <c r="V289" s="58">
        <v>147472</v>
      </c>
    </row>
    <row r="290" spans="1:22">
      <c r="A290" s="54">
        <v>93021</v>
      </c>
      <c r="B290" s="55" t="s">
        <v>1668</v>
      </c>
      <c r="C290" s="106">
        <v>2.8900000000000001E-5</v>
      </c>
      <c r="D290" s="106">
        <v>3.7200000000000003E-5</v>
      </c>
      <c r="E290" s="56">
        <v>9086.3100000000013</v>
      </c>
      <c r="F290" s="56">
        <v>16695</v>
      </c>
      <c r="G290" s="56">
        <v>61335</v>
      </c>
      <c r="H290" s="56"/>
      <c r="I290" s="57">
        <v>1152.3875</v>
      </c>
      <c r="J290" s="57">
        <v>53749</v>
      </c>
      <c r="K290" s="57">
        <v>4201</v>
      </c>
      <c r="L290" s="56">
        <v>4054</v>
      </c>
      <c r="M290" s="56"/>
      <c r="N290" s="57">
        <v>2149</v>
      </c>
      <c r="O290" s="57">
        <v>19839</v>
      </c>
      <c r="P290" s="57">
        <v>0</v>
      </c>
      <c r="Q290" s="56">
        <v>6719</v>
      </c>
      <c r="R290" s="57">
        <f t="shared" si="4"/>
        <v>33910</v>
      </c>
      <c r="S290" s="56"/>
      <c r="T290" s="57">
        <v>16394</v>
      </c>
      <c r="U290" s="58">
        <v>-87</v>
      </c>
      <c r="V290" s="58">
        <v>16307</v>
      </c>
    </row>
    <row r="291" spans="1:22">
      <c r="A291" s="54">
        <v>93027</v>
      </c>
      <c r="B291" s="55" t="s">
        <v>1669</v>
      </c>
      <c r="C291" s="106">
        <v>1.6699999999999999E-5</v>
      </c>
      <c r="D291" s="106">
        <v>1.49E-5</v>
      </c>
      <c r="E291" s="56">
        <v>6776.7999999999993</v>
      </c>
      <c r="F291" s="56">
        <v>6687</v>
      </c>
      <c r="G291" s="56">
        <v>35443</v>
      </c>
      <c r="H291" s="56"/>
      <c r="I291" s="57">
        <v>665.91250000000002</v>
      </c>
      <c r="J291" s="57">
        <v>31059</v>
      </c>
      <c r="K291" s="57">
        <v>2428</v>
      </c>
      <c r="L291" s="56">
        <v>903</v>
      </c>
      <c r="M291" s="56"/>
      <c r="N291" s="57">
        <v>1242</v>
      </c>
      <c r="O291" s="57">
        <v>11464</v>
      </c>
      <c r="P291" s="57">
        <v>0</v>
      </c>
      <c r="Q291" s="56">
        <v>1496</v>
      </c>
      <c r="R291" s="57">
        <f t="shared" si="4"/>
        <v>19595</v>
      </c>
      <c r="S291" s="56"/>
      <c r="T291" s="57">
        <v>9473</v>
      </c>
      <c r="U291" s="58">
        <v>-429</v>
      </c>
      <c r="V291" s="58">
        <v>9045</v>
      </c>
    </row>
    <row r="292" spans="1:22">
      <c r="A292" s="54">
        <v>93031</v>
      </c>
      <c r="B292" s="55" t="s">
        <v>1670</v>
      </c>
      <c r="C292" s="106">
        <v>2.2399999999999999E-5</v>
      </c>
      <c r="D292" s="106">
        <v>1.4399999999999999E-5</v>
      </c>
      <c r="E292" s="56">
        <v>20148.699999999997</v>
      </c>
      <c r="F292" s="56">
        <v>6463</v>
      </c>
      <c r="G292" s="56">
        <v>47540</v>
      </c>
      <c r="H292" s="56"/>
      <c r="I292" s="57">
        <v>893</v>
      </c>
      <c r="J292" s="57">
        <v>41660</v>
      </c>
      <c r="K292" s="57">
        <v>3256</v>
      </c>
      <c r="L292" s="56">
        <v>15165</v>
      </c>
      <c r="M292" s="56"/>
      <c r="N292" s="57">
        <v>1666</v>
      </c>
      <c r="O292" s="57">
        <v>15377</v>
      </c>
      <c r="P292" s="57">
        <v>0</v>
      </c>
      <c r="Q292" s="56">
        <v>444</v>
      </c>
      <c r="R292" s="57">
        <f t="shared" si="4"/>
        <v>26283</v>
      </c>
      <c r="S292" s="56"/>
      <c r="T292" s="57">
        <v>12707</v>
      </c>
      <c r="U292" s="58">
        <v>3911</v>
      </c>
      <c r="V292" s="58">
        <v>16617</v>
      </c>
    </row>
    <row r="293" spans="1:22">
      <c r="A293" s="54">
        <v>93101</v>
      </c>
      <c r="B293" s="55" t="s">
        <v>1671</v>
      </c>
      <c r="C293" s="106">
        <v>3.5771000000000002E-3</v>
      </c>
      <c r="D293" s="106">
        <v>3.2972000000000001E-3</v>
      </c>
      <c r="E293" s="56">
        <v>1332692.0400000003</v>
      </c>
      <c r="F293" s="56">
        <v>1479764</v>
      </c>
      <c r="G293" s="56">
        <v>7591805</v>
      </c>
      <c r="H293" s="56"/>
      <c r="I293" s="57">
        <v>142637</v>
      </c>
      <c r="J293" s="57">
        <v>6652841</v>
      </c>
      <c r="K293" s="57">
        <v>519971</v>
      </c>
      <c r="L293" s="56">
        <v>172542</v>
      </c>
      <c r="M293" s="56"/>
      <c r="N293" s="57">
        <v>266025</v>
      </c>
      <c r="O293" s="57">
        <v>2455529</v>
      </c>
      <c r="P293" s="57">
        <v>0</v>
      </c>
      <c r="Q293" s="56">
        <v>0</v>
      </c>
      <c r="R293" s="57">
        <f t="shared" si="4"/>
        <v>4197312</v>
      </c>
      <c r="S293" s="56"/>
      <c r="T293" s="57">
        <v>2029178</v>
      </c>
      <c r="U293" s="58">
        <v>68285</v>
      </c>
      <c r="V293" s="58">
        <v>2097463</v>
      </c>
    </row>
    <row r="294" spans="1:22">
      <c r="A294" s="54">
        <v>93103</v>
      </c>
      <c r="B294" s="55" t="s">
        <v>924</v>
      </c>
      <c r="C294" s="106">
        <v>1.7200000000000001E-5</v>
      </c>
      <c r="D294" s="106">
        <v>0</v>
      </c>
      <c r="E294" s="56">
        <v>5178.82</v>
      </c>
      <c r="F294" s="56">
        <v>0</v>
      </c>
      <c r="G294" s="56">
        <v>36504</v>
      </c>
      <c r="H294" s="56"/>
      <c r="I294" s="57">
        <v>685.85</v>
      </c>
      <c r="J294" s="57">
        <v>31989</v>
      </c>
      <c r="K294" s="57">
        <v>2500</v>
      </c>
      <c r="L294" s="56">
        <v>9253</v>
      </c>
      <c r="M294" s="56"/>
      <c r="N294" s="57">
        <v>1279</v>
      </c>
      <c r="O294" s="57">
        <v>11807</v>
      </c>
      <c r="P294" s="57">
        <v>0</v>
      </c>
      <c r="Q294" s="56">
        <v>0</v>
      </c>
      <c r="R294" s="57">
        <f t="shared" si="4"/>
        <v>20182</v>
      </c>
      <c r="S294" s="56"/>
      <c r="T294" s="57">
        <v>9757</v>
      </c>
      <c r="U294" s="58">
        <v>2535</v>
      </c>
      <c r="V294" s="58">
        <v>12292</v>
      </c>
    </row>
    <row r="295" spans="1:22">
      <c r="A295" s="54">
        <v>93108</v>
      </c>
      <c r="B295" s="55" t="s">
        <v>1672</v>
      </c>
      <c r="C295" s="106">
        <v>2.5661999999999998E-3</v>
      </c>
      <c r="D295" s="106">
        <v>2.4540999999999999E-3</v>
      </c>
      <c r="E295" s="56">
        <v>1060594.6199999999</v>
      </c>
      <c r="F295" s="56">
        <v>1101385</v>
      </c>
      <c r="G295" s="56">
        <v>5446336</v>
      </c>
      <c r="H295" s="56"/>
      <c r="I295" s="57">
        <v>102327</v>
      </c>
      <c r="J295" s="57">
        <v>4772727</v>
      </c>
      <c r="K295" s="57">
        <v>373025</v>
      </c>
      <c r="L295" s="56">
        <v>417043</v>
      </c>
      <c r="M295" s="56"/>
      <c r="N295" s="57">
        <v>190846</v>
      </c>
      <c r="O295" s="57">
        <v>1761589</v>
      </c>
      <c r="P295" s="57">
        <v>0</v>
      </c>
      <c r="Q295" s="56">
        <v>0</v>
      </c>
      <c r="R295" s="57">
        <f t="shared" si="4"/>
        <v>3011138</v>
      </c>
      <c r="S295" s="56"/>
      <c r="T295" s="57">
        <v>1455726</v>
      </c>
      <c r="U295" s="58">
        <v>180256</v>
      </c>
      <c r="V295" s="58">
        <v>1635982</v>
      </c>
    </row>
    <row r="296" spans="1:22">
      <c r="A296" s="54">
        <v>93111</v>
      </c>
      <c r="B296" s="55" t="s">
        <v>1673</v>
      </c>
      <c r="C296" s="106">
        <v>7.08E-5</v>
      </c>
      <c r="D296" s="106">
        <v>7.3700000000000002E-5</v>
      </c>
      <c r="E296" s="56">
        <v>24671.1</v>
      </c>
      <c r="F296" s="56">
        <v>33076</v>
      </c>
      <c r="G296" s="56">
        <v>150261</v>
      </c>
      <c r="H296" s="56"/>
      <c r="I296" s="57">
        <v>2823.15</v>
      </c>
      <c r="J296" s="57">
        <v>131677</v>
      </c>
      <c r="K296" s="57">
        <v>10292</v>
      </c>
      <c r="L296" s="56">
        <v>0</v>
      </c>
      <c r="M296" s="56"/>
      <c r="N296" s="57">
        <v>5265</v>
      </c>
      <c r="O296" s="57">
        <v>48601</v>
      </c>
      <c r="P296" s="57">
        <v>0</v>
      </c>
      <c r="Q296" s="56">
        <v>10981</v>
      </c>
      <c r="R296" s="57">
        <f t="shared" si="4"/>
        <v>83076</v>
      </c>
      <c r="S296" s="56"/>
      <c r="T296" s="57">
        <v>40163</v>
      </c>
      <c r="U296" s="58">
        <v>-3536</v>
      </c>
      <c r="V296" s="58">
        <v>36626</v>
      </c>
    </row>
    <row r="297" spans="1:22">
      <c r="A297" s="54">
        <v>93121</v>
      </c>
      <c r="B297" s="55" t="s">
        <v>1674</v>
      </c>
      <c r="C297" s="106">
        <v>5.8900000000000002E-5</v>
      </c>
      <c r="D297" s="106">
        <v>7.4900000000000005E-5</v>
      </c>
      <c r="E297" s="56">
        <v>22115.179999999997</v>
      </c>
      <c r="F297" s="56">
        <v>33615</v>
      </c>
      <c r="G297" s="56">
        <v>125006</v>
      </c>
      <c r="H297" s="56"/>
      <c r="I297" s="57">
        <v>2349</v>
      </c>
      <c r="J297" s="57">
        <v>109545</v>
      </c>
      <c r="K297" s="57">
        <v>8562</v>
      </c>
      <c r="L297" s="56">
        <v>0</v>
      </c>
      <c r="M297" s="56"/>
      <c r="N297" s="57">
        <v>4380</v>
      </c>
      <c r="O297" s="57">
        <v>40432</v>
      </c>
      <c r="P297" s="57">
        <v>0</v>
      </c>
      <c r="Q297" s="56">
        <v>13122</v>
      </c>
      <c r="R297" s="57">
        <f t="shared" si="4"/>
        <v>69113</v>
      </c>
      <c r="S297" s="56"/>
      <c r="T297" s="57">
        <v>33412</v>
      </c>
      <c r="U297" s="58">
        <v>-4063</v>
      </c>
      <c r="V297" s="58">
        <v>29349</v>
      </c>
    </row>
    <row r="298" spans="1:22">
      <c r="A298" s="54">
        <v>93127</v>
      </c>
      <c r="B298" s="55" t="s">
        <v>1675</v>
      </c>
      <c r="C298" s="106">
        <v>6.8000000000000001E-6</v>
      </c>
      <c r="D298" s="106">
        <v>7.7999999999999999E-6</v>
      </c>
      <c r="E298" s="56">
        <v>2814.9600000000005</v>
      </c>
      <c r="F298" s="56">
        <v>3501</v>
      </c>
      <c r="G298" s="56">
        <v>14432</v>
      </c>
      <c r="H298" s="56"/>
      <c r="I298" s="57">
        <v>271</v>
      </c>
      <c r="J298" s="57">
        <v>12647</v>
      </c>
      <c r="K298" s="57">
        <v>988</v>
      </c>
      <c r="L298" s="56">
        <v>0</v>
      </c>
      <c r="M298" s="56"/>
      <c r="N298" s="57">
        <v>506</v>
      </c>
      <c r="O298" s="57">
        <v>4668</v>
      </c>
      <c r="P298" s="57">
        <v>0</v>
      </c>
      <c r="Q298" s="56">
        <v>1132</v>
      </c>
      <c r="R298" s="57">
        <f t="shared" si="4"/>
        <v>7979</v>
      </c>
      <c r="S298" s="56"/>
      <c r="T298" s="57">
        <v>3857</v>
      </c>
      <c r="U298" s="58">
        <v>-400</v>
      </c>
      <c r="V298" s="58">
        <v>3457</v>
      </c>
    </row>
    <row r="299" spans="1:22">
      <c r="A299" s="54">
        <v>93131</v>
      </c>
      <c r="B299" s="55" t="s">
        <v>1676</v>
      </c>
      <c r="C299" s="106">
        <v>2.3939999999999999E-4</v>
      </c>
      <c r="D299" s="106">
        <v>2.3680000000000001E-4</v>
      </c>
      <c r="E299" s="56">
        <v>88659.549999999988</v>
      </c>
      <c r="F299" s="56">
        <v>106274</v>
      </c>
      <c r="G299" s="56">
        <v>508087</v>
      </c>
      <c r="H299" s="56"/>
      <c r="I299" s="57">
        <v>9546</v>
      </c>
      <c r="J299" s="57">
        <v>445246</v>
      </c>
      <c r="K299" s="57">
        <v>34799</v>
      </c>
      <c r="L299" s="56">
        <v>13305</v>
      </c>
      <c r="M299" s="56"/>
      <c r="N299" s="57">
        <v>17804</v>
      </c>
      <c r="O299" s="57">
        <v>164338</v>
      </c>
      <c r="P299" s="57">
        <v>0</v>
      </c>
      <c r="Q299" s="56">
        <v>6369</v>
      </c>
      <c r="R299" s="57">
        <f t="shared" si="4"/>
        <v>280908</v>
      </c>
      <c r="S299" s="56"/>
      <c r="T299" s="57">
        <v>135804</v>
      </c>
      <c r="U299" s="58">
        <v>3767</v>
      </c>
      <c r="V299" s="58">
        <v>139571</v>
      </c>
    </row>
    <row r="300" spans="1:22">
      <c r="A300" s="54">
        <v>93137</v>
      </c>
      <c r="B300" s="55" t="s">
        <v>1677</v>
      </c>
      <c r="C300" s="106">
        <v>1.9E-6</v>
      </c>
      <c r="D300" s="106">
        <v>2.0999999999999998E-6</v>
      </c>
      <c r="E300" s="56">
        <v>1986.6299999999999</v>
      </c>
      <c r="F300" s="56">
        <v>942</v>
      </c>
      <c r="G300" s="56">
        <v>4032</v>
      </c>
      <c r="H300" s="56"/>
      <c r="I300" s="57">
        <v>75.762500000000003</v>
      </c>
      <c r="J300" s="57">
        <v>3534</v>
      </c>
      <c r="K300" s="57">
        <v>276</v>
      </c>
      <c r="L300" s="56">
        <v>1359</v>
      </c>
      <c r="M300" s="56"/>
      <c r="N300" s="57">
        <v>141</v>
      </c>
      <c r="O300" s="57">
        <v>1304</v>
      </c>
      <c r="P300" s="57">
        <v>0</v>
      </c>
      <c r="Q300" s="56">
        <v>0</v>
      </c>
      <c r="R300" s="57">
        <f t="shared" si="4"/>
        <v>2230</v>
      </c>
      <c r="S300" s="56"/>
      <c r="T300" s="57">
        <v>1078</v>
      </c>
      <c r="U300" s="58">
        <v>401</v>
      </c>
      <c r="V300" s="58">
        <v>1479</v>
      </c>
    </row>
    <row r="301" spans="1:22">
      <c r="A301" s="54">
        <v>93141</v>
      </c>
      <c r="B301" s="55" t="s">
        <v>1678</v>
      </c>
      <c r="C301" s="106">
        <v>4.5500000000000001E-5</v>
      </c>
      <c r="D301" s="106">
        <v>4.3399999999999998E-5</v>
      </c>
      <c r="E301" s="56">
        <v>16495.23</v>
      </c>
      <c r="F301" s="56">
        <v>19478</v>
      </c>
      <c r="G301" s="56">
        <v>96566</v>
      </c>
      <c r="H301" s="56"/>
      <c r="I301" s="57">
        <v>1814.3125</v>
      </c>
      <c r="J301" s="57">
        <v>84623</v>
      </c>
      <c r="K301" s="57">
        <v>6614</v>
      </c>
      <c r="L301" s="56">
        <v>4186.96</v>
      </c>
      <c r="M301" s="56"/>
      <c r="N301" s="57">
        <v>3384</v>
      </c>
      <c r="O301" s="57">
        <v>31234</v>
      </c>
      <c r="P301" s="57">
        <v>0</v>
      </c>
      <c r="Q301" s="56">
        <v>3505</v>
      </c>
      <c r="R301" s="57">
        <f t="shared" si="4"/>
        <v>53389</v>
      </c>
      <c r="S301" s="56"/>
      <c r="T301" s="57">
        <v>25811</v>
      </c>
      <c r="U301" s="58">
        <v>920</v>
      </c>
      <c r="V301" s="58">
        <v>26731</v>
      </c>
    </row>
    <row r="302" spans="1:22">
      <c r="A302" s="54">
        <v>93151</v>
      </c>
      <c r="B302" s="55" t="s">
        <v>1679</v>
      </c>
      <c r="C302" s="106">
        <v>3.6539999999999999E-4</v>
      </c>
      <c r="D302" s="106">
        <v>3.524E-4</v>
      </c>
      <c r="E302" s="56">
        <v>137522.13</v>
      </c>
      <c r="F302" s="56">
        <v>158155</v>
      </c>
      <c r="G302" s="56">
        <v>775501</v>
      </c>
      <c r="H302" s="56"/>
      <c r="I302" s="57">
        <v>14570</v>
      </c>
      <c r="J302" s="57">
        <v>679586</v>
      </c>
      <c r="K302" s="57">
        <v>53115</v>
      </c>
      <c r="L302" s="56">
        <v>5881</v>
      </c>
      <c r="M302" s="56"/>
      <c r="N302" s="57">
        <v>27174</v>
      </c>
      <c r="O302" s="57">
        <v>250832</v>
      </c>
      <c r="P302" s="57">
        <v>0</v>
      </c>
      <c r="Q302" s="56">
        <v>6297</v>
      </c>
      <c r="R302" s="57">
        <f t="shared" si="4"/>
        <v>428754</v>
      </c>
      <c r="S302" s="56"/>
      <c r="T302" s="57">
        <v>207280</v>
      </c>
      <c r="U302" s="58">
        <v>-329</v>
      </c>
      <c r="V302" s="58">
        <v>206951</v>
      </c>
    </row>
    <row r="303" spans="1:22">
      <c r="A303" s="54">
        <v>93157</v>
      </c>
      <c r="B303" s="55" t="s">
        <v>1680</v>
      </c>
      <c r="C303" s="106">
        <v>3.8E-6</v>
      </c>
      <c r="D303" s="106">
        <v>2.3999999999999999E-6</v>
      </c>
      <c r="E303" s="56">
        <v>4368.87</v>
      </c>
      <c r="F303" s="56">
        <v>1077</v>
      </c>
      <c r="G303" s="56">
        <v>8065</v>
      </c>
      <c r="H303" s="56"/>
      <c r="I303" s="57">
        <v>151.52500000000001</v>
      </c>
      <c r="J303" s="57">
        <v>7067</v>
      </c>
      <c r="K303" s="57">
        <v>552</v>
      </c>
      <c r="L303" s="56">
        <v>5676</v>
      </c>
      <c r="M303" s="56"/>
      <c r="N303" s="57">
        <v>283</v>
      </c>
      <c r="O303" s="57">
        <v>2609</v>
      </c>
      <c r="P303" s="57">
        <v>0</v>
      </c>
      <c r="Q303" s="56">
        <v>526</v>
      </c>
      <c r="R303" s="57">
        <f t="shared" si="4"/>
        <v>4458</v>
      </c>
      <c r="S303" s="56"/>
      <c r="T303" s="57">
        <v>2156</v>
      </c>
      <c r="U303" s="58">
        <v>1938</v>
      </c>
      <c r="V303" s="58">
        <v>4094</v>
      </c>
    </row>
    <row r="304" spans="1:22">
      <c r="A304" s="54">
        <v>93161</v>
      </c>
      <c r="B304" s="55" t="s">
        <v>1681</v>
      </c>
      <c r="C304" s="106">
        <v>6.2500000000000001E-5</v>
      </c>
      <c r="D304" s="106">
        <v>7.4400000000000006E-5</v>
      </c>
      <c r="E304" s="56">
        <v>37835.030000000006</v>
      </c>
      <c r="F304" s="56">
        <v>33390</v>
      </c>
      <c r="G304" s="56">
        <v>132646</v>
      </c>
      <c r="H304" s="56"/>
      <c r="I304" s="57">
        <v>2492.1875</v>
      </c>
      <c r="J304" s="57">
        <v>116240</v>
      </c>
      <c r="K304" s="57">
        <v>9085.0625</v>
      </c>
      <c r="L304" s="56">
        <v>14075</v>
      </c>
      <c r="M304" s="56"/>
      <c r="N304" s="57">
        <v>4648.0625</v>
      </c>
      <c r="O304" s="57">
        <v>42903.625</v>
      </c>
      <c r="P304" s="57">
        <v>0</v>
      </c>
      <c r="Q304" s="56">
        <v>0</v>
      </c>
      <c r="R304" s="57">
        <f t="shared" si="4"/>
        <v>73336.375</v>
      </c>
      <c r="S304" s="56"/>
      <c r="T304" s="57">
        <v>35454</v>
      </c>
      <c r="U304" s="58">
        <v>6018</v>
      </c>
      <c r="V304" s="58">
        <v>41472</v>
      </c>
    </row>
    <row r="305" spans="1:22">
      <c r="A305" s="54">
        <v>93171</v>
      </c>
      <c r="B305" s="55" t="s">
        <v>1682</v>
      </c>
      <c r="C305" s="106">
        <v>5.8000000000000004E-6</v>
      </c>
      <c r="D305" s="106">
        <v>6.1999999999999999E-6</v>
      </c>
      <c r="E305" s="56">
        <v>3823.8999999999996</v>
      </c>
      <c r="F305" s="56">
        <v>2783</v>
      </c>
      <c r="G305" s="56">
        <v>12310</v>
      </c>
      <c r="H305" s="56"/>
      <c r="I305" s="57">
        <v>231.27500000000001</v>
      </c>
      <c r="J305" s="57">
        <v>10787</v>
      </c>
      <c r="K305" s="57">
        <v>843</v>
      </c>
      <c r="L305" s="56">
        <v>1752</v>
      </c>
      <c r="M305" s="56"/>
      <c r="N305" s="57">
        <v>431</v>
      </c>
      <c r="O305" s="57">
        <v>3981</v>
      </c>
      <c r="P305" s="57">
        <v>0</v>
      </c>
      <c r="Q305" s="56">
        <v>0</v>
      </c>
      <c r="R305" s="57">
        <f t="shared" si="4"/>
        <v>6806</v>
      </c>
      <c r="S305" s="56"/>
      <c r="T305" s="57">
        <v>3290</v>
      </c>
      <c r="U305" s="58">
        <v>591</v>
      </c>
      <c r="V305" s="58">
        <v>3881</v>
      </c>
    </row>
    <row r="306" spans="1:22">
      <c r="A306" s="54">
        <v>93181</v>
      </c>
      <c r="B306" s="55" t="s">
        <v>1683</v>
      </c>
      <c r="C306" s="106">
        <v>1.1E-5</v>
      </c>
      <c r="D306" s="106">
        <v>1.0499999999999999E-5</v>
      </c>
      <c r="E306" s="56">
        <v>4374.0300000000007</v>
      </c>
      <c r="F306" s="56">
        <v>4712</v>
      </c>
      <c r="G306" s="56">
        <v>23346</v>
      </c>
      <c r="H306" s="56"/>
      <c r="I306" s="57">
        <v>438.625</v>
      </c>
      <c r="J306" s="57">
        <v>20458</v>
      </c>
      <c r="K306" s="57">
        <v>1599</v>
      </c>
      <c r="L306" s="56">
        <v>743</v>
      </c>
      <c r="M306" s="56"/>
      <c r="N306" s="57">
        <v>818</v>
      </c>
      <c r="O306" s="57">
        <v>7551</v>
      </c>
      <c r="P306" s="57">
        <v>0</v>
      </c>
      <c r="Q306" s="56">
        <v>44</v>
      </c>
      <c r="R306" s="57">
        <f t="shared" si="4"/>
        <v>12907</v>
      </c>
      <c r="S306" s="56"/>
      <c r="T306" s="57">
        <v>6240</v>
      </c>
      <c r="U306" s="58">
        <v>321</v>
      </c>
      <c r="V306" s="58">
        <v>6561</v>
      </c>
    </row>
    <row r="307" spans="1:22">
      <c r="A307" s="54">
        <v>93191</v>
      </c>
      <c r="B307" s="55" t="s">
        <v>1684</v>
      </c>
      <c r="C307" s="106">
        <v>3.3000000000000003E-5</v>
      </c>
      <c r="D307" s="106">
        <v>3.65E-5</v>
      </c>
      <c r="E307" s="56">
        <v>16019.919999999998</v>
      </c>
      <c r="F307" s="56">
        <v>16381</v>
      </c>
      <c r="G307" s="56">
        <v>70037</v>
      </c>
      <c r="H307" s="56"/>
      <c r="I307" s="57">
        <v>1315.875</v>
      </c>
      <c r="J307" s="57">
        <v>61375</v>
      </c>
      <c r="K307" s="57">
        <v>4797</v>
      </c>
      <c r="L307" s="56">
        <v>2648</v>
      </c>
      <c r="M307" s="56"/>
      <c r="N307" s="57">
        <v>2454</v>
      </c>
      <c r="O307" s="57">
        <v>22653</v>
      </c>
      <c r="P307" s="57">
        <v>0</v>
      </c>
      <c r="Q307" s="56">
        <v>1301.46</v>
      </c>
      <c r="R307" s="57">
        <f t="shared" si="4"/>
        <v>38722</v>
      </c>
      <c r="S307" s="56"/>
      <c r="T307" s="57">
        <v>18720</v>
      </c>
      <c r="U307" s="58">
        <v>280</v>
      </c>
      <c r="V307" s="58">
        <v>19000</v>
      </c>
    </row>
    <row r="308" spans="1:22">
      <c r="A308" s="54">
        <v>93201</v>
      </c>
      <c r="B308" s="55" t="s">
        <v>1685</v>
      </c>
      <c r="C308" s="106">
        <v>1.5819699999999999E-2</v>
      </c>
      <c r="D308" s="106">
        <v>1.50364E-2</v>
      </c>
      <c r="E308" s="56">
        <v>6525566.7400000002</v>
      </c>
      <c r="F308" s="56">
        <v>6748246</v>
      </c>
      <c r="G308" s="56">
        <v>33574703</v>
      </c>
      <c r="H308" s="56"/>
      <c r="I308" s="57">
        <v>630811</v>
      </c>
      <c r="J308" s="57">
        <v>29422142</v>
      </c>
      <c r="K308" s="57">
        <v>2299567</v>
      </c>
      <c r="L308" s="56">
        <v>1259115</v>
      </c>
      <c r="M308" s="56"/>
      <c r="N308" s="57">
        <v>1176495</v>
      </c>
      <c r="O308" s="57">
        <v>10859560</v>
      </c>
      <c r="P308" s="57">
        <v>0</v>
      </c>
      <c r="Q308" s="56">
        <v>0</v>
      </c>
      <c r="R308" s="57">
        <f t="shared" si="4"/>
        <v>18562582</v>
      </c>
      <c r="S308" s="56"/>
      <c r="T308" s="57">
        <v>8974025</v>
      </c>
      <c r="U308" s="58">
        <v>449569</v>
      </c>
      <c r="V308" s="58">
        <v>9423595</v>
      </c>
    </row>
    <row r="309" spans="1:22">
      <c r="A309" s="54">
        <v>93202</v>
      </c>
      <c r="B309" s="55" t="s">
        <v>1686</v>
      </c>
      <c r="C309" s="106">
        <v>0</v>
      </c>
      <c r="D309" s="106">
        <v>2.076E-4</v>
      </c>
      <c r="E309" s="56">
        <v>0</v>
      </c>
      <c r="F309" s="56">
        <v>93170</v>
      </c>
      <c r="G309" s="56">
        <v>0</v>
      </c>
      <c r="H309" s="56"/>
      <c r="I309" s="57">
        <v>0</v>
      </c>
      <c r="J309" s="57">
        <v>0</v>
      </c>
      <c r="K309" s="57">
        <v>0</v>
      </c>
      <c r="L309" s="56">
        <v>0</v>
      </c>
      <c r="M309" s="56"/>
      <c r="N309" s="57">
        <v>0</v>
      </c>
      <c r="O309" s="57">
        <v>0</v>
      </c>
      <c r="P309" s="57">
        <v>0</v>
      </c>
      <c r="Q309" s="56">
        <v>322063</v>
      </c>
      <c r="R309" s="57">
        <f t="shared" si="4"/>
        <v>0</v>
      </c>
      <c r="S309" s="56"/>
      <c r="T309" s="57">
        <v>0</v>
      </c>
      <c r="U309" s="58">
        <v>-109544</v>
      </c>
      <c r="V309" s="58">
        <v>-109544</v>
      </c>
    </row>
    <row r="310" spans="1:22">
      <c r="A310" s="54">
        <v>93204</v>
      </c>
      <c r="B310" s="55" t="s">
        <v>1687</v>
      </c>
      <c r="C310" s="106">
        <v>2.9480000000000001E-4</v>
      </c>
      <c r="D310" s="106">
        <v>3.168E-4</v>
      </c>
      <c r="E310" s="56">
        <v>128269.05999999998</v>
      </c>
      <c r="F310" s="56">
        <v>142178</v>
      </c>
      <c r="G310" s="56">
        <v>625664</v>
      </c>
      <c r="H310" s="56"/>
      <c r="I310" s="57">
        <v>11755.15</v>
      </c>
      <c r="J310" s="57">
        <v>548281</v>
      </c>
      <c r="K310" s="57">
        <v>42852</v>
      </c>
      <c r="L310" s="56">
        <v>6159</v>
      </c>
      <c r="M310" s="56"/>
      <c r="N310" s="57">
        <v>21924</v>
      </c>
      <c r="O310" s="57">
        <v>202368</v>
      </c>
      <c r="P310" s="57">
        <v>0</v>
      </c>
      <c r="Q310" s="56">
        <v>15903</v>
      </c>
      <c r="R310" s="57">
        <f t="shared" si="4"/>
        <v>345913</v>
      </c>
      <c r="S310" s="56"/>
      <c r="T310" s="57">
        <v>167231</v>
      </c>
      <c r="U310" s="58">
        <v>-4266</v>
      </c>
      <c r="V310" s="58">
        <v>162965</v>
      </c>
    </row>
    <row r="311" spans="1:22">
      <c r="A311" s="54">
        <v>93209</v>
      </c>
      <c r="B311" s="55" t="s">
        <v>1688</v>
      </c>
      <c r="C311" s="106">
        <v>4.5113999999999996E-3</v>
      </c>
      <c r="D311" s="106">
        <v>3.4578999999999999E-3</v>
      </c>
      <c r="E311" s="56">
        <v>1625225.44</v>
      </c>
      <c r="F311" s="56">
        <v>1551885</v>
      </c>
      <c r="G311" s="56">
        <v>9574702</v>
      </c>
      <c r="H311" s="56"/>
      <c r="I311" s="57">
        <v>179892</v>
      </c>
      <c r="J311" s="57">
        <v>8390491</v>
      </c>
      <c r="K311" s="57">
        <v>655782</v>
      </c>
      <c r="L311" s="56">
        <v>1306118</v>
      </c>
      <c r="M311" s="56"/>
      <c r="N311" s="57">
        <v>335508</v>
      </c>
      <c r="O311" s="57">
        <v>3096887</v>
      </c>
      <c r="P311" s="57">
        <v>0</v>
      </c>
      <c r="Q311" s="56">
        <v>0</v>
      </c>
      <c r="R311" s="57">
        <f t="shared" si="4"/>
        <v>5293604</v>
      </c>
      <c r="S311" s="56"/>
      <c r="T311" s="57">
        <v>2559177</v>
      </c>
      <c r="U311" s="58">
        <v>534418</v>
      </c>
      <c r="V311" s="58">
        <v>3093596</v>
      </c>
    </row>
    <row r="312" spans="1:22">
      <c r="A312" s="54">
        <v>93211</v>
      </c>
      <c r="B312" s="55" t="s">
        <v>1689</v>
      </c>
      <c r="C312" s="106">
        <v>2.0456800000000001E-2</v>
      </c>
      <c r="D312" s="106">
        <v>2.1372599999999999E-2</v>
      </c>
      <c r="E312" s="56">
        <v>8152807.0799999982</v>
      </c>
      <c r="F312" s="56">
        <v>9591895</v>
      </c>
      <c r="G312" s="56">
        <v>43416183</v>
      </c>
      <c r="H312" s="56"/>
      <c r="I312" s="57">
        <v>815714.9</v>
      </c>
      <c r="J312" s="57">
        <v>38046416</v>
      </c>
      <c r="K312" s="57">
        <v>2973621</v>
      </c>
      <c r="L312" s="56">
        <v>0</v>
      </c>
      <c r="M312" s="56"/>
      <c r="N312" s="57">
        <v>1521352</v>
      </c>
      <c r="O312" s="57">
        <v>14042734</v>
      </c>
      <c r="P312" s="57">
        <v>0</v>
      </c>
      <c r="Q312" s="56">
        <v>1405603</v>
      </c>
      <c r="R312" s="57">
        <f t="shared" si="4"/>
        <v>24003682</v>
      </c>
      <c r="S312" s="56"/>
      <c r="T312" s="57">
        <v>11604508</v>
      </c>
      <c r="U312" s="58">
        <v>-488705</v>
      </c>
      <c r="V312" s="58">
        <v>11115804</v>
      </c>
    </row>
    <row r="313" spans="1:22">
      <c r="A313" s="54">
        <v>93212</v>
      </c>
      <c r="B313" s="55" t="s">
        <v>1690</v>
      </c>
      <c r="C313" s="106">
        <v>2.052E-4</v>
      </c>
      <c r="D313" s="106">
        <v>2.129E-4</v>
      </c>
      <c r="E313" s="56">
        <v>169265.99</v>
      </c>
      <c r="F313" s="56">
        <v>95548</v>
      </c>
      <c r="G313" s="56">
        <v>435503</v>
      </c>
      <c r="H313" s="56"/>
      <c r="I313" s="57">
        <v>8182.35</v>
      </c>
      <c r="J313" s="57">
        <v>381640</v>
      </c>
      <c r="K313" s="57">
        <v>29828</v>
      </c>
      <c r="L313" s="56">
        <v>106395</v>
      </c>
      <c r="M313" s="56"/>
      <c r="N313" s="57">
        <v>15261</v>
      </c>
      <c r="O313" s="57">
        <v>140861</v>
      </c>
      <c r="P313" s="57">
        <v>0</v>
      </c>
      <c r="Q313" s="56">
        <v>0</v>
      </c>
      <c r="R313" s="57">
        <f t="shared" si="4"/>
        <v>240779</v>
      </c>
      <c r="S313" s="56"/>
      <c r="T313" s="57">
        <v>116404</v>
      </c>
      <c r="U313" s="58">
        <v>32351</v>
      </c>
      <c r="V313" s="58">
        <v>148755</v>
      </c>
    </row>
    <row r="314" spans="1:22">
      <c r="A314" s="54">
        <v>93219</v>
      </c>
      <c r="B314" s="55" t="s">
        <v>1691</v>
      </c>
      <c r="C314" s="106">
        <v>2.286E-4</v>
      </c>
      <c r="D314" s="106">
        <v>2.41E-4</v>
      </c>
      <c r="E314" s="56">
        <v>96646.59</v>
      </c>
      <c r="F314" s="56">
        <v>108159</v>
      </c>
      <c r="G314" s="56">
        <v>485166</v>
      </c>
      <c r="H314" s="56"/>
      <c r="I314" s="57">
        <v>9115</v>
      </c>
      <c r="J314" s="57">
        <v>425160</v>
      </c>
      <c r="K314" s="57">
        <v>33230</v>
      </c>
      <c r="L314" s="56">
        <v>243</v>
      </c>
      <c r="M314" s="56"/>
      <c r="N314" s="57">
        <v>17001</v>
      </c>
      <c r="O314" s="57">
        <v>156924</v>
      </c>
      <c r="P314" s="57">
        <v>0</v>
      </c>
      <c r="Q314" s="56">
        <v>13406</v>
      </c>
      <c r="R314" s="57">
        <f t="shared" si="4"/>
        <v>268236</v>
      </c>
      <c r="S314" s="56"/>
      <c r="T314" s="57">
        <v>129678</v>
      </c>
      <c r="U314" s="58">
        <v>-4190</v>
      </c>
      <c r="V314" s="58">
        <v>125487</v>
      </c>
    </row>
    <row r="315" spans="1:22">
      <c r="A315" s="54">
        <v>93301</v>
      </c>
      <c r="B315" s="55" t="s">
        <v>1692</v>
      </c>
      <c r="C315" s="106">
        <v>2.5330999999999999E-3</v>
      </c>
      <c r="D315" s="106">
        <v>2.4084000000000002E-3</v>
      </c>
      <c r="E315" s="56">
        <v>1037164.56</v>
      </c>
      <c r="F315" s="56">
        <v>1080875</v>
      </c>
      <c r="G315" s="56">
        <v>5376087</v>
      </c>
      <c r="H315" s="56"/>
      <c r="I315" s="57">
        <v>101007</v>
      </c>
      <c r="J315" s="57">
        <v>4711166</v>
      </c>
      <c r="K315" s="57">
        <v>368214</v>
      </c>
      <c r="L315" s="56">
        <v>63934</v>
      </c>
      <c r="M315" s="56"/>
      <c r="N315" s="57">
        <v>188384</v>
      </c>
      <c r="O315" s="57">
        <v>1738867</v>
      </c>
      <c r="P315" s="57">
        <v>0</v>
      </c>
      <c r="Q315" s="56">
        <v>85549</v>
      </c>
      <c r="R315" s="57">
        <f t="shared" si="4"/>
        <v>2972299</v>
      </c>
      <c r="S315" s="56"/>
      <c r="T315" s="57">
        <v>1436949</v>
      </c>
      <c r="U315" s="58">
        <v>-17290</v>
      </c>
      <c r="V315" s="58">
        <v>1419659</v>
      </c>
    </row>
    <row r="316" spans="1:22">
      <c r="A316" s="54">
        <v>93304</v>
      </c>
      <c r="B316" s="55" t="s">
        <v>1693</v>
      </c>
      <c r="C316" s="106">
        <v>3.4400000000000003E-5</v>
      </c>
      <c r="D316" s="106">
        <v>3.3399999999999999E-5</v>
      </c>
      <c r="E316" s="56">
        <v>16338.839999999998</v>
      </c>
      <c r="F316" s="56">
        <v>14990</v>
      </c>
      <c r="G316" s="56">
        <v>73008</v>
      </c>
      <c r="H316" s="56"/>
      <c r="I316" s="57">
        <v>1371.7</v>
      </c>
      <c r="J316" s="57">
        <v>63979</v>
      </c>
      <c r="K316" s="57">
        <v>5000</v>
      </c>
      <c r="L316" s="56">
        <v>13604</v>
      </c>
      <c r="M316" s="56"/>
      <c r="N316" s="57">
        <v>2558</v>
      </c>
      <c r="O316" s="57">
        <v>23614</v>
      </c>
      <c r="P316" s="57">
        <v>0</v>
      </c>
      <c r="Q316" s="56">
        <v>0</v>
      </c>
      <c r="R316" s="57">
        <f t="shared" si="4"/>
        <v>40365</v>
      </c>
      <c r="S316" s="56"/>
      <c r="T316" s="57">
        <v>19514</v>
      </c>
      <c r="U316" s="58">
        <v>4940</v>
      </c>
      <c r="V316" s="58">
        <v>24454</v>
      </c>
    </row>
    <row r="317" spans="1:22">
      <c r="A317" s="54">
        <v>93305</v>
      </c>
      <c r="B317" s="55" t="s">
        <v>1694</v>
      </c>
      <c r="C317" s="106">
        <v>4.9400000000000001E-5</v>
      </c>
      <c r="D317" s="106">
        <v>5.13E-5</v>
      </c>
      <c r="E317" s="56">
        <v>18489</v>
      </c>
      <c r="F317" s="56">
        <v>23023</v>
      </c>
      <c r="G317" s="56">
        <v>104843</v>
      </c>
      <c r="H317" s="56"/>
      <c r="I317" s="57">
        <v>1969.825</v>
      </c>
      <c r="J317" s="57">
        <v>91876</v>
      </c>
      <c r="K317" s="57">
        <v>7181</v>
      </c>
      <c r="L317" s="56">
        <v>0</v>
      </c>
      <c r="M317" s="56"/>
      <c r="N317" s="57">
        <v>3674</v>
      </c>
      <c r="O317" s="57">
        <v>33911</v>
      </c>
      <c r="P317" s="57">
        <v>0</v>
      </c>
      <c r="Q317" s="56">
        <v>3536</v>
      </c>
      <c r="R317" s="57">
        <f t="shared" si="4"/>
        <v>57965</v>
      </c>
      <c r="S317" s="56"/>
      <c r="T317" s="57">
        <v>28023</v>
      </c>
      <c r="U317" s="58">
        <v>-1124</v>
      </c>
      <c r="V317" s="58">
        <v>26899</v>
      </c>
    </row>
    <row r="318" spans="1:22">
      <c r="A318" s="54">
        <v>93309</v>
      </c>
      <c r="B318" s="55" t="s">
        <v>1695</v>
      </c>
      <c r="C318" s="106">
        <v>1.716E-4</v>
      </c>
      <c r="D318" s="106">
        <v>1.5359999999999999E-4</v>
      </c>
      <c r="E318" s="56">
        <v>79731.47</v>
      </c>
      <c r="F318" s="56">
        <v>68935</v>
      </c>
      <c r="G318" s="56">
        <v>364193</v>
      </c>
      <c r="H318" s="56"/>
      <c r="I318" s="57">
        <v>6842.55</v>
      </c>
      <c r="J318" s="57">
        <v>319149</v>
      </c>
      <c r="K318" s="57">
        <v>24944</v>
      </c>
      <c r="L318" s="56">
        <v>23583</v>
      </c>
      <c r="M318" s="56"/>
      <c r="N318" s="57">
        <v>12762</v>
      </c>
      <c r="O318" s="57">
        <v>117796</v>
      </c>
      <c r="P318" s="57">
        <v>0</v>
      </c>
      <c r="Q318" s="56">
        <v>1972</v>
      </c>
      <c r="R318" s="57">
        <f t="shared" si="4"/>
        <v>201353</v>
      </c>
      <c r="S318" s="56"/>
      <c r="T318" s="57">
        <v>97343</v>
      </c>
      <c r="U318" s="58">
        <v>5745</v>
      </c>
      <c r="V318" s="58">
        <v>103088</v>
      </c>
    </row>
    <row r="319" spans="1:22">
      <c r="A319" s="54">
        <v>93311</v>
      </c>
      <c r="B319" s="55" t="s">
        <v>1696</v>
      </c>
      <c r="C319" s="106">
        <v>1.1567000000000001E-3</v>
      </c>
      <c r="D319" s="106">
        <v>1.2727000000000001E-3</v>
      </c>
      <c r="E319" s="56">
        <v>452858.55</v>
      </c>
      <c r="F319" s="56">
        <v>571180</v>
      </c>
      <c r="G319" s="56">
        <v>2454905</v>
      </c>
      <c r="H319" s="56"/>
      <c r="I319" s="57">
        <v>46123</v>
      </c>
      <c r="J319" s="57">
        <v>2151279</v>
      </c>
      <c r="K319" s="57">
        <v>168139</v>
      </c>
      <c r="L319" s="56">
        <v>0</v>
      </c>
      <c r="M319" s="56"/>
      <c r="N319" s="57">
        <v>86023</v>
      </c>
      <c r="O319" s="57">
        <v>794026</v>
      </c>
      <c r="P319" s="57">
        <v>0</v>
      </c>
      <c r="Q319" s="56">
        <v>121847</v>
      </c>
      <c r="R319" s="57">
        <f t="shared" si="4"/>
        <v>1357253</v>
      </c>
      <c r="S319" s="56"/>
      <c r="T319" s="57">
        <v>656160</v>
      </c>
      <c r="U319" s="58">
        <v>-38102</v>
      </c>
      <c r="V319" s="58">
        <v>618058</v>
      </c>
    </row>
    <row r="320" spans="1:22">
      <c r="A320" s="54">
        <v>93317</v>
      </c>
      <c r="B320" s="55" t="s">
        <v>1697</v>
      </c>
      <c r="C320" s="106">
        <v>4.8099999999999997E-5</v>
      </c>
      <c r="D320" s="106">
        <v>4.6600000000000001E-5</v>
      </c>
      <c r="E320" s="56">
        <v>19408.619999999995</v>
      </c>
      <c r="F320" s="56">
        <v>20914</v>
      </c>
      <c r="G320" s="56">
        <v>102084</v>
      </c>
      <c r="H320" s="56"/>
      <c r="I320" s="57">
        <v>1918</v>
      </c>
      <c r="J320" s="57">
        <v>89458</v>
      </c>
      <c r="K320" s="57">
        <v>6992</v>
      </c>
      <c r="L320" s="56">
        <v>606</v>
      </c>
      <c r="M320" s="56"/>
      <c r="N320" s="57">
        <v>3577</v>
      </c>
      <c r="O320" s="57">
        <v>33019</v>
      </c>
      <c r="P320" s="57">
        <v>0</v>
      </c>
      <c r="Q320" s="56">
        <v>557</v>
      </c>
      <c r="R320" s="57">
        <f t="shared" si="4"/>
        <v>56439</v>
      </c>
      <c r="S320" s="56"/>
      <c r="T320" s="57">
        <v>27286</v>
      </c>
      <c r="U320" s="58">
        <v>-115</v>
      </c>
      <c r="V320" s="58">
        <v>27171</v>
      </c>
    </row>
    <row r="321" spans="1:22">
      <c r="A321" s="54">
        <v>93321</v>
      </c>
      <c r="B321" s="55" t="s">
        <v>1698</v>
      </c>
      <c r="C321" s="106">
        <v>7.4706E-3</v>
      </c>
      <c r="D321" s="106">
        <v>7.7070000000000003E-3</v>
      </c>
      <c r="E321" s="56">
        <v>2840093.51</v>
      </c>
      <c r="F321" s="56">
        <v>3458855</v>
      </c>
      <c r="G321" s="56">
        <v>15855116</v>
      </c>
      <c r="H321" s="56"/>
      <c r="I321" s="57">
        <v>297890</v>
      </c>
      <c r="J321" s="57">
        <v>13894136</v>
      </c>
      <c r="K321" s="57">
        <v>1085934</v>
      </c>
      <c r="L321" s="56">
        <v>0</v>
      </c>
      <c r="M321" s="56"/>
      <c r="N321" s="57">
        <v>555581</v>
      </c>
      <c r="O321" s="57">
        <v>5128253</v>
      </c>
      <c r="P321" s="57">
        <v>0</v>
      </c>
      <c r="Q321" s="56">
        <v>746070</v>
      </c>
      <c r="R321" s="57">
        <f t="shared" si="4"/>
        <v>8765883</v>
      </c>
      <c r="S321" s="56"/>
      <c r="T321" s="57">
        <v>4237840</v>
      </c>
      <c r="U321" s="58">
        <v>-276901</v>
      </c>
      <c r="V321" s="58">
        <v>3960939</v>
      </c>
    </row>
    <row r="322" spans="1:22">
      <c r="A322" s="54">
        <v>93323</v>
      </c>
      <c r="B322" s="55" t="s">
        <v>1699</v>
      </c>
      <c r="C322" s="106">
        <v>1.0200000000000001E-5</v>
      </c>
      <c r="D322" s="106">
        <v>1.4600000000000001E-5</v>
      </c>
      <c r="E322" s="56">
        <v>5325.71</v>
      </c>
      <c r="F322" s="56">
        <v>6552</v>
      </c>
      <c r="G322" s="56">
        <v>21648</v>
      </c>
      <c r="H322" s="56"/>
      <c r="I322" s="57">
        <v>406.72500000000002</v>
      </c>
      <c r="J322" s="57">
        <v>18970</v>
      </c>
      <c r="K322" s="57">
        <v>1483</v>
      </c>
      <c r="L322" s="56">
        <v>2836</v>
      </c>
      <c r="M322" s="56"/>
      <c r="N322" s="57">
        <v>759</v>
      </c>
      <c r="O322" s="57">
        <v>7002</v>
      </c>
      <c r="P322" s="57">
        <v>0</v>
      </c>
      <c r="Q322" s="56">
        <v>1485</v>
      </c>
      <c r="R322" s="57">
        <f t="shared" si="4"/>
        <v>11968</v>
      </c>
      <c r="S322" s="56"/>
      <c r="T322" s="57">
        <v>5786</v>
      </c>
      <c r="U322" s="58">
        <v>784</v>
      </c>
      <c r="V322" s="58">
        <v>6570</v>
      </c>
    </row>
    <row r="323" spans="1:22">
      <c r="A323" s="54">
        <v>93331</v>
      </c>
      <c r="B323" s="55" t="s">
        <v>1700</v>
      </c>
      <c r="C323" s="106">
        <v>1.3090000000000001E-4</v>
      </c>
      <c r="D323" s="106">
        <v>1.1909999999999999E-4</v>
      </c>
      <c r="E323" s="56">
        <v>46762.55</v>
      </c>
      <c r="F323" s="56">
        <v>53451</v>
      </c>
      <c r="G323" s="56">
        <v>277814</v>
      </c>
      <c r="H323" s="56"/>
      <c r="I323" s="57">
        <v>5220</v>
      </c>
      <c r="J323" s="57">
        <v>243453</v>
      </c>
      <c r="K323" s="57">
        <v>19028</v>
      </c>
      <c r="L323" s="56">
        <v>4668</v>
      </c>
      <c r="M323" s="56"/>
      <c r="N323" s="57">
        <v>9735</v>
      </c>
      <c r="O323" s="57">
        <v>89857</v>
      </c>
      <c r="P323" s="57">
        <v>0</v>
      </c>
      <c r="Q323" s="56">
        <v>9208</v>
      </c>
      <c r="R323" s="57">
        <f t="shared" si="4"/>
        <v>153596</v>
      </c>
      <c r="S323" s="56"/>
      <c r="T323" s="57">
        <v>74256</v>
      </c>
      <c r="U323" s="58">
        <v>-1109</v>
      </c>
      <c r="V323" s="58">
        <v>73147</v>
      </c>
    </row>
    <row r="324" spans="1:22">
      <c r="A324" s="54">
        <v>93333</v>
      </c>
      <c r="B324" s="55" t="s">
        <v>1701</v>
      </c>
      <c r="C324" s="106">
        <v>1.9990000000000001E-4</v>
      </c>
      <c r="D324" s="106">
        <v>2.1479999999999999E-4</v>
      </c>
      <c r="E324" s="56">
        <v>201284.12</v>
      </c>
      <c r="F324" s="56">
        <v>96401</v>
      </c>
      <c r="G324" s="56">
        <v>424255</v>
      </c>
      <c r="H324" s="56"/>
      <c r="I324" s="57">
        <v>7971</v>
      </c>
      <c r="J324" s="57">
        <v>371782</v>
      </c>
      <c r="K324" s="57">
        <v>29058</v>
      </c>
      <c r="L324" s="56">
        <v>178353</v>
      </c>
      <c r="M324" s="56"/>
      <c r="N324" s="57">
        <v>14866</v>
      </c>
      <c r="O324" s="57">
        <v>137223</v>
      </c>
      <c r="P324" s="57">
        <v>0</v>
      </c>
      <c r="Q324" s="56">
        <v>0</v>
      </c>
      <c r="R324" s="57">
        <f t="shared" si="4"/>
        <v>234559</v>
      </c>
      <c r="S324" s="56"/>
      <c r="T324" s="57">
        <v>113397</v>
      </c>
      <c r="U324" s="58">
        <v>56479</v>
      </c>
      <c r="V324" s="58">
        <v>169876</v>
      </c>
    </row>
    <row r="325" spans="1:22">
      <c r="A325" s="54">
        <v>93341</v>
      </c>
      <c r="B325" s="55" t="s">
        <v>1702</v>
      </c>
      <c r="C325" s="106">
        <v>2.73E-5</v>
      </c>
      <c r="D325" s="106">
        <v>2.6699999999999998E-5</v>
      </c>
      <c r="E325" s="56">
        <v>12880.649999999998</v>
      </c>
      <c r="F325" s="56">
        <v>11983</v>
      </c>
      <c r="G325" s="56">
        <v>57940</v>
      </c>
      <c r="H325" s="56"/>
      <c r="I325" s="57">
        <v>1089</v>
      </c>
      <c r="J325" s="57">
        <v>50774</v>
      </c>
      <c r="K325" s="57">
        <v>3968</v>
      </c>
      <c r="L325" s="56">
        <v>2789</v>
      </c>
      <c r="M325" s="56"/>
      <c r="N325" s="57">
        <v>2030</v>
      </c>
      <c r="O325" s="57">
        <v>18740</v>
      </c>
      <c r="P325" s="57">
        <v>0</v>
      </c>
      <c r="Q325" s="56">
        <v>0</v>
      </c>
      <c r="R325" s="57">
        <f t="shared" si="4"/>
        <v>32034</v>
      </c>
      <c r="S325" s="56"/>
      <c r="T325" s="57">
        <v>15486</v>
      </c>
      <c r="U325" s="58">
        <v>923</v>
      </c>
      <c r="V325" s="58">
        <v>16410</v>
      </c>
    </row>
    <row r="326" spans="1:22">
      <c r="A326" s="54">
        <v>93351</v>
      </c>
      <c r="B326" s="55" t="s">
        <v>1703</v>
      </c>
      <c r="C326" s="106">
        <v>1.5999999999999999E-5</v>
      </c>
      <c r="D326" s="106">
        <v>5.4999999999999999E-6</v>
      </c>
      <c r="E326" s="56">
        <v>10006.02</v>
      </c>
      <c r="F326" s="56">
        <v>2468</v>
      </c>
      <c r="G326" s="56">
        <v>33957.360000000001</v>
      </c>
      <c r="H326" s="56"/>
      <c r="I326" s="57">
        <v>638</v>
      </c>
      <c r="J326" s="57">
        <v>29757</v>
      </c>
      <c r="K326" s="57">
        <v>2326</v>
      </c>
      <c r="L326" s="56">
        <v>8409</v>
      </c>
      <c r="M326" s="56"/>
      <c r="N326" s="57">
        <v>1190</v>
      </c>
      <c r="O326" s="57">
        <v>10983</v>
      </c>
      <c r="P326" s="57">
        <v>0</v>
      </c>
      <c r="Q326" s="56">
        <v>6601</v>
      </c>
      <c r="R326" s="57">
        <f t="shared" si="4"/>
        <v>18774</v>
      </c>
      <c r="S326" s="56"/>
      <c r="T326" s="57">
        <v>9076</v>
      </c>
      <c r="U326" s="58">
        <v>-253</v>
      </c>
      <c r="V326" s="58">
        <v>8823</v>
      </c>
    </row>
    <row r="327" spans="1:22">
      <c r="A327" s="54">
        <v>93401</v>
      </c>
      <c r="B327" s="55" t="s">
        <v>1704</v>
      </c>
      <c r="C327" s="106">
        <v>1.37997E-2</v>
      </c>
      <c r="D327" s="106">
        <v>1.4001899999999999E-2</v>
      </c>
      <c r="E327" s="56">
        <v>5646375.2899999991</v>
      </c>
      <c r="F327" s="56">
        <v>6283969</v>
      </c>
      <c r="G327" s="56">
        <v>29287586</v>
      </c>
      <c r="H327" s="56"/>
      <c r="I327" s="57">
        <v>550263</v>
      </c>
      <c r="J327" s="57">
        <v>25665262</v>
      </c>
      <c r="K327" s="57">
        <v>2005938</v>
      </c>
      <c r="L327" s="56">
        <v>111475</v>
      </c>
      <c r="M327" s="56"/>
      <c r="N327" s="57">
        <v>1026270</v>
      </c>
      <c r="O327" s="57">
        <v>9472914</v>
      </c>
      <c r="P327" s="57">
        <v>0</v>
      </c>
      <c r="Q327" s="56">
        <v>309143</v>
      </c>
      <c r="R327" s="57">
        <f t="shared" ref="R327:R390" si="5">IF(J327&gt;O327,J327-O327,O327-J327)</f>
        <v>16192348</v>
      </c>
      <c r="S327" s="56"/>
      <c r="T327" s="57">
        <v>7828142</v>
      </c>
      <c r="U327" s="58">
        <v>-83612</v>
      </c>
      <c r="V327" s="58">
        <v>7744530</v>
      </c>
    </row>
    <row r="328" spans="1:22">
      <c r="A328" s="54">
        <v>93402</v>
      </c>
      <c r="B328" s="55" t="s">
        <v>1705</v>
      </c>
      <c r="C328" s="106">
        <v>9.2999999999999997E-5</v>
      </c>
      <c r="D328" s="106">
        <v>9.4400000000000004E-5</v>
      </c>
      <c r="E328" s="56">
        <v>35918.379999999997</v>
      </c>
      <c r="F328" s="56">
        <v>42366</v>
      </c>
      <c r="G328" s="56">
        <v>197377</v>
      </c>
      <c r="H328" s="56"/>
      <c r="I328" s="57">
        <v>3708.375</v>
      </c>
      <c r="J328" s="57">
        <v>172965</v>
      </c>
      <c r="K328" s="57">
        <v>13519</v>
      </c>
      <c r="L328" s="56">
        <v>9628</v>
      </c>
      <c r="M328" s="56"/>
      <c r="N328" s="57">
        <v>6916</v>
      </c>
      <c r="O328" s="57">
        <v>63841</v>
      </c>
      <c r="P328" s="57">
        <v>0</v>
      </c>
      <c r="Q328" s="56">
        <v>2607</v>
      </c>
      <c r="R328" s="57">
        <f t="shared" si="5"/>
        <v>109124</v>
      </c>
      <c r="S328" s="56"/>
      <c r="T328" s="57">
        <v>52756</v>
      </c>
      <c r="U328" s="58">
        <v>3407</v>
      </c>
      <c r="V328" s="58">
        <v>56163</v>
      </c>
    </row>
    <row r="329" spans="1:22">
      <c r="A329" s="54">
        <v>93406</v>
      </c>
      <c r="B329" s="55" t="s">
        <v>1706</v>
      </c>
      <c r="C329" s="106">
        <v>7.1170000000000001E-4</v>
      </c>
      <c r="D329" s="106">
        <v>7.0850000000000004E-4</v>
      </c>
      <c r="E329" s="56">
        <v>298926.93</v>
      </c>
      <c r="F329" s="56">
        <v>317971</v>
      </c>
      <c r="G329" s="56">
        <v>1510466</v>
      </c>
      <c r="H329" s="56"/>
      <c r="I329" s="57">
        <v>28379</v>
      </c>
      <c r="J329" s="57">
        <v>1323650</v>
      </c>
      <c r="K329" s="57">
        <v>103453</v>
      </c>
      <c r="L329" s="56">
        <v>45100</v>
      </c>
      <c r="M329" s="56"/>
      <c r="N329" s="57">
        <v>52928</v>
      </c>
      <c r="O329" s="57">
        <v>488552</v>
      </c>
      <c r="P329" s="57">
        <v>0</v>
      </c>
      <c r="Q329" s="56">
        <v>0</v>
      </c>
      <c r="R329" s="57">
        <f t="shared" si="5"/>
        <v>835098</v>
      </c>
      <c r="S329" s="56"/>
      <c r="T329" s="57">
        <v>403725</v>
      </c>
      <c r="U329" s="58">
        <v>19044</v>
      </c>
      <c r="V329" s="58">
        <v>422769</v>
      </c>
    </row>
    <row r="330" spans="1:22">
      <c r="A330" s="54">
        <v>93408</v>
      </c>
      <c r="B330" s="55" t="s">
        <v>1707</v>
      </c>
      <c r="C330" s="106">
        <v>1.8967999999999999E-3</v>
      </c>
      <c r="D330" s="106">
        <v>1.7309000000000001E-3</v>
      </c>
      <c r="E330" s="56">
        <v>0</v>
      </c>
      <c r="F330" s="56">
        <v>776818</v>
      </c>
      <c r="G330" s="56">
        <v>4025645</v>
      </c>
      <c r="H330" s="56"/>
      <c r="I330" s="57">
        <v>75635</v>
      </c>
      <c r="J330" s="57">
        <v>3527748</v>
      </c>
      <c r="K330" s="57">
        <v>275721</v>
      </c>
      <c r="L330" s="56">
        <v>321789</v>
      </c>
      <c r="M330" s="56"/>
      <c r="N330" s="57">
        <v>141063</v>
      </c>
      <c r="O330" s="57">
        <v>1302074</v>
      </c>
      <c r="P330" s="57">
        <v>0</v>
      </c>
      <c r="Q330" s="56">
        <v>529672</v>
      </c>
      <c r="R330" s="57">
        <f t="shared" si="5"/>
        <v>2225674</v>
      </c>
      <c r="S330" s="56"/>
      <c r="T330" s="57">
        <v>1075996</v>
      </c>
      <c r="U330" s="58">
        <v>10994</v>
      </c>
      <c r="V330" s="58">
        <v>1086990</v>
      </c>
    </row>
    <row r="331" spans="1:22">
      <c r="A331" s="54">
        <v>93411</v>
      </c>
      <c r="B331" s="55" t="s">
        <v>1708</v>
      </c>
      <c r="C331" s="106">
        <v>1.73309E-2</v>
      </c>
      <c r="D331" s="106">
        <v>1.8002500000000001E-2</v>
      </c>
      <c r="E331" s="56">
        <v>7066227.2200000007</v>
      </c>
      <c r="F331" s="56">
        <v>8079414</v>
      </c>
      <c r="G331" s="56">
        <v>36781976</v>
      </c>
      <c r="H331" s="56"/>
      <c r="I331" s="57">
        <v>691070</v>
      </c>
      <c r="J331" s="57">
        <v>32232736</v>
      </c>
      <c r="K331" s="57">
        <v>2519237</v>
      </c>
      <c r="L331" s="56">
        <v>0</v>
      </c>
      <c r="M331" s="56"/>
      <c r="N331" s="57">
        <v>1288882</v>
      </c>
      <c r="O331" s="57">
        <v>11896935</v>
      </c>
      <c r="P331" s="57">
        <v>0</v>
      </c>
      <c r="Q331" s="56">
        <v>963900</v>
      </c>
      <c r="R331" s="57">
        <f t="shared" si="5"/>
        <v>20335801</v>
      </c>
      <c r="S331" s="56"/>
      <c r="T331" s="57">
        <v>9831282</v>
      </c>
      <c r="U331" s="58">
        <v>-369146</v>
      </c>
      <c r="V331" s="58">
        <v>9462137</v>
      </c>
    </row>
    <row r="332" spans="1:22">
      <c r="A332" s="54">
        <v>93413</v>
      </c>
      <c r="B332" s="55" t="s">
        <v>1709</v>
      </c>
      <c r="C332" s="106">
        <v>8.0130000000000002E-4</v>
      </c>
      <c r="D332" s="106">
        <v>8.6039999999999999E-4</v>
      </c>
      <c r="E332" s="56">
        <v>344103.62</v>
      </c>
      <c r="F332" s="56">
        <v>386142</v>
      </c>
      <c r="G332" s="56">
        <v>1700627</v>
      </c>
      <c r="H332" s="56"/>
      <c r="I332" s="57">
        <v>31952</v>
      </c>
      <c r="J332" s="57">
        <v>1490291</v>
      </c>
      <c r="K332" s="57">
        <v>116478</v>
      </c>
      <c r="L332" s="56">
        <v>0</v>
      </c>
      <c r="M332" s="56"/>
      <c r="N332" s="57">
        <v>59592</v>
      </c>
      <c r="O332" s="57">
        <v>550059</v>
      </c>
      <c r="P332" s="57">
        <v>0</v>
      </c>
      <c r="Q332" s="56">
        <v>52213</v>
      </c>
      <c r="R332" s="57">
        <f t="shared" si="5"/>
        <v>940232</v>
      </c>
      <c r="S332" s="56"/>
      <c r="T332" s="57">
        <v>454553</v>
      </c>
      <c r="U332" s="58">
        <v>-17374</v>
      </c>
      <c r="V332" s="58">
        <v>437179</v>
      </c>
    </row>
    <row r="333" spans="1:22">
      <c r="A333" s="54">
        <v>93417</v>
      </c>
      <c r="B333" s="55" t="s">
        <v>1710</v>
      </c>
      <c r="C333" s="106">
        <v>4.1130000000000002E-4</v>
      </c>
      <c r="D333" s="106">
        <v>4.2470000000000002E-4</v>
      </c>
      <c r="E333" s="56">
        <v>180698.52000000002</v>
      </c>
      <c r="F333" s="56">
        <v>190603</v>
      </c>
      <c r="G333" s="56">
        <v>872916</v>
      </c>
      <c r="H333" s="56"/>
      <c r="I333" s="57">
        <v>16401</v>
      </c>
      <c r="J333" s="57">
        <v>764953</v>
      </c>
      <c r="K333" s="57">
        <v>59787</v>
      </c>
      <c r="L333" s="56">
        <v>29582</v>
      </c>
      <c r="M333" s="56"/>
      <c r="N333" s="57">
        <v>30588</v>
      </c>
      <c r="O333" s="57">
        <v>282340</v>
      </c>
      <c r="P333" s="57">
        <v>0</v>
      </c>
      <c r="Q333" s="56">
        <v>0</v>
      </c>
      <c r="R333" s="57">
        <f t="shared" si="5"/>
        <v>482613</v>
      </c>
      <c r="S333" s="56"/>
      <c r="T333" s="57">
        <v>233318</v>
      </c>
      <c r="U333" s="58">
        <v>14150</v>
      </c>
      <c r="V333" s="58">
        <v>247468</v>
      </c>
    </row>
    <row r="334" spans="1:22">
      <c r="A334" s="54">
        <v>93421</v>
      </c>
      <c r="B334" s="55" t="s">
        <v>1711</v>
      </c>
      <c r="C334" s="106">
        <v>2.1646E-3</v>
      </c>
      <c r="D334" s="106">
        <v>2.2629E-3</v>
      </c>
      <c r="E334" s="56">
        <v>806585.66999999993</v>
      </c>
      <c r="F334" s="56">
        <v>1015576</v>
      </c>
      <c r="G334" s="56">
        <v>4594006</v>
      </c>
      <c r="H334" s="56"/>
      <c r="I334" s="57">
        <v>86313</v>
      </c>
      <c r="J334" s="57">
        <v>4025814</v>
      </c>
      <c r="K334" s="57">
        <v>314648</v>
      </c>
      <c r="L334" s="56">
        <v>0</v>
      </c>
      <c r="M334" s="56"/>
      <c r="N334" s="57">
        <v>160979</v>
      </c>
      <c r="O334" s="57">
        <v>1485907</v>
      </c>
      <c r="P334" s="57">
        <v>0</v>
      </c>
      <c r="Q334" s="56">
        <v>286111</v>
      </c>
      <c r="R334" s="57">
        <f t="shared" si="5"/>
        <v>2539907</v>
      </c>
      <c r="S334" s="56"/>
      <c r="T334" s="57">
        <v>1227910</v>
      </c>
      <c r="U334" s="58">
        <v>-103829</v>
      </c>
      <c r="V334" s="58">
        <v>1124081</v>
      </c>
    </row>
    <row r="335" spans="1:22">
      <c r="A335" s="54">
        <v>93431</v>
      </c>
      <c r="B335" s="55" t="s">
        <v>1712</v>
      </c>
      <c r="C335" s="106">
        <v>1.127E-4</v>
      </c>
      <c r="D335" s="106">
        <v>1.3469999999999999E-4</v>
      </c>
      <c r="E335" s="56">
        <v>53587.649999999994</v>
      </c>
      <c r="F335" s="56">
        <v>60453</v>
      </c>
      <c r="G335" s="56">
        <v>239187</v>
      </c>
      <c r="H335" s="56"/>
      <c r="I335" s="57">
        <v>4494</v>
      </c>
      <c r="J335" s="57">
        <v>209604</v>
      </c>
      <c r="K335" s="57">
        <v>16382</v>
      </c>
      <c r="L335" s="56">
        <v>1676</v>
      </c>
      <c r="M335" s="56"/>
      <c r="N335" s="57">
        <v>8381</v>
      </c>
      <c r="O335" s="57">
        <v>77364</v>
      </c>
      <c r="P335" s="57">
        <v>0</v>
      </c>
      <c r="Q335" s="56">
        <v>7450</v>
      </c>
      <c r="R335" s="57">
        <f t="shared" si="5"/>
        <v>132240</v>
      </c>
      <c r="S335" s="56"/>
      <c r="T335" s="57">
        <v>63931</v>
      </c>
      <c r="U335" s="58">
        <v>-1211</v>
      </c>
      <c r="V335" s="58">
        <v>62721</v>
      </c>
    </row>
    <row r="336" spans="1:22">
      <c r="A336" s="54">
        <v>93441</v>
      </c>
      <c r="B336" s="55" t="s">
        <v>1713</v>
      </c>
      <c r="C336" s="106">
        <v>1.4970000000000001E-4</v>
      </c>
      <c r="D336" s="106">
        <v>1.3239999999999999E-4</v>
      </c>
      <c r="E336" s="56">
        <v>71652.759999999995</v>
      </c>
      <c r="F336" s="56">
        <v>59420</v>
      </c>
      <c r="G336" s="56">
        <v>317714</v>
      </c>
      <c r="H336" s="56"/>
      <c r="I336" s="57">
        <v>5969</v>
      </c>
      <c r="J336" s="57">
        <v>278418</v>
      </c>
      <c r="K336" s="57">
        <v>21761</v>
      </c>
      <c r="L336" s="56">
        <v>34771</v>
      </c>
      <c r="M336" s="56"/>
      <c r="N336" s="57">
        <v>11133</v>
      </c>
      <c r="O336" s="57">
        <v>102763</v>
      </c>
      <c r="P336" s="57">
        <v>0</v>
      </c>
      <c r="Q336" s="56">
        <v>0</v>
      </c>
      <c r="R336" s="57">
        <f t="shared" si="5"/>
        <v>175655</v>
      </c>
      <c r="S336" s="56"/>
      <c r="T336" s="57">
        <v>84920</v>
      </c>
      <c r="U336" s="58">
        <v>12654</v>
      </c>
      <c r="V336" s="58">
        <v>97574</v>
      </c>
    </row>
    <row r="337" spans="1:22">
      <c r="A337" s="54">
        <v>93442</v>
      </c>
      <c r="B337" s="55" t="s">
        <v>1714</v>
      </c>
      <c r="C337" s="106">
        <v>1.3540000000000001E-4</v>
      </c>
      <c r="D337" s="106">
        <v>1.7799999999999999E-4</v>
      </c>
      <c r="E337" s="56">
        <v>53217.95</v>
      </c>
      <c r="F337" s="56">
        <v>79885</v>
      </c>
      <c r="G337" s="56">
        <v>287364</v>
      </c>
      <c r="H337" s="56"/>
      <c r="I337" s="57">
        <v>5399</v>
      </c>
      <c r="J337" s="57">
        <v>251823</v>
      </c>
      <c r="K337" s="57">
        <v>19682</v>
      </c>
      <c r="L337" s="56">
        <v>6718</v>
      </c>
      <c r="M337" s="56"/>
      <c r="N337" s="57">
        <v>10070</v>
      </c>
      <c r="O337" s="57">
        <v>92946</v>
      </c>
      <c r="P337" s="57">
        <v>0</v>
      </c>
      <c r="Q337" s="56">
        <v>29938</v>
      </c>
      <c r="R337" s="57">
        <f t="shared" si="5"/>
        <v>158877</v>
      </c>
      <c r="S337" s="56"/>
      <c r="T337" s="57">
        <v>76808</v>
      </c>
      <c r="U337" s="58">
        <v>-6567</v>
      </c>
      <c r="V337" s="58">
        <v>70241</v>
      </c>
    </row>
    <row r="338" spans="1:22">
      <c r="A338" s="54">
        <v>93451</v>
      </c>
      <c r="B338" s="55" t="s">
        <v>1715</v>
      </c>
      <c r="C338" s="106">
        <v>7.6899999999999999E-5</v>
      </c>
      <c r="D338" s="106">
        <v>7.6699999999999994E-5</v>
      </c>
      <c r="E338" s="56">
        <v>41952.18</v>
      </c>
      <c r="F338" s="56">
        <v>34422</v>
      </c>
      <c r="G338" s="56">
        <v>163208</v>
      </c>
      <c r="H338" s="56"/>
      <c r="I338" s="57">
        <v>3066</v>
      </c>
      <c r="J338" s="57">
        <v>143022</v>
      </c>
      <c r="K338" s="57">
        <v>11178</v>
      </c>
      <c r="L338" s="56">
        <v>18732</v>
      </c>
      <c r="M338" s="56"/>
      <c r="N338" s="57">
        <v>5719</v>
      </c>
      <c r="O338" s="57">
        <v>52789</v>
      </c>
      <c r="P338" s="57">
        <v>0</v>
      </c>
      <c r="Q338" s="56">
        <v>2999</v>
      </c>
      <c r="R338" s="57">
        <f t="shared" si="5"/>
        <v>90233</v>
      </c>
      <c r="S338" s="56"/>
      <c r="T338" s="57">
        <v>43623</v>
      </c>
      <c r="U338" s="58">
        <v>4342</v>
      </c>
      <c r="V338" s="58">
        <v>47965</v>
      </c>
    </row>
    <row r="339" spans="1:22">
      <c r="A339" s="54">
        <v>93461</v>
      </c>
      <c r="B339" s="55" t="s">
        <v>1716</v>
      </c>
      <c r="C339" s="106">
        <v>1.7200000000000001E-5</v>
      </c>
      <c r="D339" s="106">
        <v>1.7200000000000001E-5</v>
      </c>
      <c r="E339" s="56">
        <v>7470.840000000002</v>
      </c>
      <c r="F339" s="56">
        <v>7719</v>
      </c>
      <c r="G339" s="56">
        <v>36504</v>
      </c>
      <c r="H339" s="56"/>
      <c r="I339" s="57">
        <v>685.85</v>
      </c>
      <c r="J339" s="57">
        <v>31989</v>
      </c>
      <c r="K339" s="57">
        <v>2500</v>
      </c>
      <c r="L339" s="56">
        <v>695</v>
      </c>
      <c r="M339" s="56"/>
      <c r="N339" s="57">
        <v>1279</v>
      </c>
      <c r="O339" s="57">
        <v>11807</v>
      </c>
      <c r="P339" s="57">
        <v>0</v>
      </c>
      <c r="Q339" s="56">
        <v>0</v>
      </c>
      <c r="R339" s="57">
        <f t="shared" si="5"/>
        <v>20182</v>
      </c>
      <c r="S339" s="56"/>
      <c r="T339" s="57">
        <v>9757</v>
      </c>
      <c r="U339" s="58">
        <v>226</v>
      </c>
      <c r="V339" s="58">
        <v>9983</v>
      </c>
    </row>
    <row r="340" spans="1:22">
      <c r="A340" s="54">
        <v>93471</v>
      </c>
      <c r="B340" s="55" t="s">
        <v>1717</v>
      </c>
      <c r="C340" s="106">
        <v>1.1800000000000001E-5</v>
      </c>
      <c r="D340" s="106">
        <v>1.34E-5</v>
      </c>
      <c r="E340" s="56">
        <v>7905.1299999999992</v>
      </c>
      <c r="F340" s="56">
        <v>6014</v>
      </c>
      <c r="G340" s="56">
        <v>25044</v>
      </c>
      <c r="H340" s="56"/>
      <c r="I340" s="57">
        <v>471</v>
      </c>
      <c r="J340" s="57">
        <v>21946</v>
      </c>
      <c r="K340" s="57">
        <v>1715</v>
      </c>
      <c r="L340" s="56">
        <v>2187</v>
      </c>
      <c r="M340" s="56"/>
      <c r="N340" s="57">
        <v>878</v>
      </c>
      <c r="O340" s="57">
        <v>8100</v>
      </c>
      <c r="P340" s="57">
        <v>0</v>
      </c>
      <c r="Q340" s="56">
        <v>127</v>
      </c>
      <c r="R340" s="57">
        <f t="shared" si="5"/>
        <v>13846</v>
      </c>
      <c r="S340" s="56"/>
      <c r="T340" s="57">
        <v>6694</v>
      </c>
      <c r="U340" s="58">
        <v>563</v>
      </c>
      <c r="V340" s="58">
        <v>7256</v>
      </c>
    </row>
    <row r="341" spans="1:22">
      <c r="A341" s="54">
        <v>93501</v>
      </c>
      <c r="B341" s="55" t="s">
        <v>1718</v>
      </c>
      <c r="C341" s="106">
        <v>3.4039000000000001E-3</v>
      </c>
      <c r="D341" s="106">
        <v>3.4708E-3</v>
      </c>
      <c r="E341" s="56">
        <v>1347598.72</v>
      </c>
      <c r="F341" s="56">
        <v>1557674</v>
      </c>
      <c r="G341" s="56">
        <v>7224216</v>
      </c>
      <c r="H341" s="56"/>
      <c r="I341" s="57">
        <v>135731</v>
      </c>
      <c r="J341" s="57">
        <v>6330716</v>
      </c>
      <c r="K341" s="57">
        <v>494794</v>
      </c>
      <c r="L341" s="56">
        <v>165283</v>
      </c>
      <c r="M341" s="56"/>
      <c r="N341" s="57">
        <v>253145</v>
      </c>
      <c r="O341" s="57">
        <v>2336634</v>
      </c>
      <c r="P341" s="57">
        <v>0</v>
      </c>
      <c r="Q341" s="56">
        <v>77725</v>
      </c>
      <c r="R341" s="57">
        <f t="shared" si="5"/>
        <v>3994082</v>
      </c>
      <c r="S341" s="56"/>
      <c r="T341" s="57">
        <v>1930927</v>
      </c>
      <c r="U341" s="58">
        <v>52932</v>
      </c>
      <c r="V341" s="58">
        <v>1983859</v>
      </c>
    </row>
    <row r="342" spans="1:22">
      <c r="A342" s="54">
        <v>93511</v>
      </c>
      <c r="B342" s="55" t="s">
        <v>1719</v>
      </c>
      <c r="C342" s="106">
        <v>9.8999999999999994E-5</v>
      </c>
      <c r="D342" s="106">
        <v>1.142E-4</v>
      </c>
      <c r="E342" s="56">
        <v>40720.79</v>
      </c>
      <c r="F342" s="56">
        <v>51252</v>
      </c>
      <c r="G342" s="56">
        <v>210111</v>
      </c>
      <c r="H342" s="56"/>
      <c r="I342" s="57">
        <v>3948</v>
      </c>
      <c r="J342" s="57">
        <v>184124</v>
      </c>
      <c r="K342" s="57">
        <v>14391</v>
      </c>
      <c r="L342" s="56">
        <v>5204</v>
      </c>
      <c r="M342" s="56"/>
      <c r="N342" s="57">
        <v>7363</v>
      </c>
      <c r="O342" s="57">
        <v>67959</v>
      </c>
      <c r="P342" s="57">
        <v>0</v>
      </c>
      <c r="Q342" s="56">
        <v>14645</v>
      </c>
      <c r="R342" s="57">
        <f t="shared" si="5"/>
        <v>116165</v>
      </c>
      <c r="S342" s="56"/>
      <c r="T342" s="57">
        <v>56160</v>
      </c>
      <c r="U342" s="58">
        <v>-1792</v>
      </c>
      <c r="V342" s="58">
        <v>54368</v>
      </c>
    </row>
    <row r="343" spans="1:22">
      <c r="A343" s="54">
        <v>93517</v>
      </c>
      <c r="B343" s="55" t="s">
        <v>1720</v>
      </c>
      <c r="C343" s="106">
        <v>6.4999999999999996E-6</v>
      </c>
      <c r="D343" s="106">
        <v>6.6000000000000003E-6</v>
      </c>
      <c r="E343" s="56">
        <v>4035.72</v>
      </c>
      <c r="F343" s="56">
        <v>2962</v>
      </c>
      <c r="G343" s="56">
        <v>13795</v>
      </c>
      <c r="H343" s="56"/>
      <c r="I343" s="57">
        <v>259.1875</v>
      </c>
      <c r="J343" s="57">
        <v>12089</v>
      </c>
      <c r="K343" s="57">
        <v>945</v>
      </c>
      <c r="L343" s="56">
        <v>3198</v>
      </c>
      <c r="M343" s="56"/>
      <c r="N343" s="57">
        <v>483</v>
      </c>
      <c r="O343" s="57">
        <v>4462</v>
      </c>
      <c r="P343" s="57">
        <v>0</v>
      </c>
      <c r="Q343" s="56">
        <v>1011</v>
      </c>
      <c r="R343" s="57">
        <f t="shared" si="5"/>
        <v>7627</v>
      </c>
      <c r="S343" s="56"/>
      <c r="T343" s="57">
        <v>3687</v>
      </c>
      <c r="U343" s="58">
        <v>528</v>
      </c>
      <c r="V343" s="58">
        <v>4215</v>
      </c>
    </row>
    <row r="344" spans="1:22">
      <c r="A344" s="54">
        <v>93521</v>
      </c>
      <c r="B344" s="55" t="s">
        <v>1721</v>
      </c>
      <c r="C344" s="106">
        <v>5.6389999999999999E-4</v>
      </c>
      <c r="D344" s="106">
        <v>4.75E-4</v>
      </c>
      <c r="E344" s="56">
        <v>183430.59999999998</v>
      </c>
      <c r="F344" s="56">
        <v>213177.15</v>
      </c>
      <c r="G344" s="56">
        <v>1196785</v>
      </c>
      <c r="H344" s="56"/>
      <c r="I344" s="57">
        <v>22486</v>
      </c>
      <c r="J344" s="57">
        <v>1048765</v>
      </c>
      <c r="K344" s="57">
        <v>81969</v>
      </c>
      <c r="L344" s="56">
        <v>9662</v>
      </c>
      <c r="M344" s="56"/>
      <c r="N344" s="57">
        <v>41937</v>
      </c>
      <c r="O344" s="57">
        <v>387094</v>
      </c>
      <c r="P344" s="57">
        <v>0</v>
      </c>
      <c r="Q344" s="56">
        <v>10656</v>
      </c>
      <c r="R344" s="57">
        <f t="shared" si="5"/>
        <v>661671</v>
      </c>
      <c r="S344" s="56"/>
      <c r="T344" s="57">
        <v>319883</v>
      </c>
      <c r="U344" s="58">
        <v>-2591</v>
      </c>
      <c r="V344" s="58">
        <v>317292</v>
      </c>
    </row>
    <row r="345" spans="1:22">
      <c r="A345" s="54">
        <v>93527</v>
      </c>
      <c r="B345" s="55" t="s">
        <v>1722</v>
      </c>
      <c r="C345" s="106">
        <v>5.4E-6</v>
      </c>
      <c r="D345" s="106">
        <v>5.4E-6</v>
      </c>
      <c r="E345" s="56">
        <v>8301.4599999999991</v>
      </c>
      <c r="F345" s="56">
        <v>2423</v>
      </c>
      <c r="G345" s="56">
        <v>11461</v>
      </c>
      <c r="H345" s="56"/>
      <c r="I345" s="57">
        <v>215.32499999999999</v>
      </c>
      <c r="J345" s="57">
        <v>10043</v>
      </c>
      <c r="K345" s="57">
        <v>785</v>
      </c>
      <c r="L345" s="56">
        <v>11237</v>
      </c>
      <c r="M345" s="56"/>
      <c r="N345" s="57">
        <v>402</v>
      </c>
      <c r="O345" s="57">
        <v>3707</v>
      </c>
      <c r="P345" s="57">
        <v>0</v>
      </c>
      <c r="Q345" s="56">
        <v>0</v>
      </c>
      <c r="R345" s="57">
        <f t="shared" si="5"/>
        <v>6336</v>
      </c>
      <c r="S345" s="56"/>
      <c r="T345" s="57">
        <v>3063</v>
      </c>
      <c r="U345" s="58">
        <v>3941</v>
      </c>
      <c r="V345" s="58">
        <v>7005</v>
      </c>
    </row>
    <row r="346" spans="1:22">
      <c r="A346" s="54">
        <v>93531</v>
      </c>
      <c r="B346" s="55" t="s">
        <v>1723</v>
      </c>
      <c r="C346" s="106">
        <v>2.4000000000000001E-5</v>
      </c>
      <c r="D346" s="106">
        <v>2.4700000000000001E-5</v>
      </c>
      <c r="E346" s="56">
        <v>11692.23</v>
      </c>
      <c r="F346" s="56">
        <v>11085</v>
      </c>
      <c r="G346" s="56">
        <v>50936.04</v>
      </c>
      <c r="H346" s="56"/>
      <c r="I346" s="57">
        <v>957</v>
      </c>
      <c r="J346" s="57">
        <v>44636</v>
      </c>
      <c r="K346" s="57">
        <v>3489</v>
      </c>
      <c r="L346" s="56">
        <v>1068</v>
      </c>
      <c r="M346" s="56"/>
      <c r="N346" s="57">
        <v>1785</v>
      </c>
      <c r="O346" s="57">
        <v>16475</v>
      </c>
      <c r="P346" s="57">
        <v>0</v>
      </c>
      <c r="Q346" s="56">
        <v>2182</v>
      </c>
      <c r="R346" s="57">
        <f t="shared" si="5"/>
        <v>28161</v>
      </c>
      <c r="S346" s="56"/>
      <c r="T346" s="57">
        <v>13614</v>
      </c>
      <c r="U346" s="58">
        <v>-801</v>
      </c>
      <c r="V346" s="58">
        <v>12814</v>
      </c>
    </row>
    <row r="347" spans="1:22">
      <c r="A347" s="54">
        <v>93537</v>
      </c>
      <c r="B347" s="55" t="s">
        <v>1724</v>
      </c>
      <c r="C347" s="106">
        <v>1.17E-5</v>
      </c>
      <c r="D347" s="106">
        <v>1.13E-5</v>
      </c>
      <c r="E347" s="56">
        <v>3538.9599999999996</v>
      </c>
      <c r="F347" s="56">
        <v>5071</v>
      </c>
      <c r="G347" s="56">
        <v>24831</v>
      </c>
      <c r="H347" s="56"/>
      <c r="I347" s="57">
        <v>467</v>
      </c>
      <c r="J347" s="57">
        <v>21760</v>
      </c>
      <c r="K347" s="57">
        <v>1701</v>
      </c>
      <c r="L347" s="56">
        <v>0</v>
      </c>
      <c r="M347" s="56"/>
      <c r="N347" s="57">
        <v>870</v>
      </c>
      <c r="O347" s="57">
        <v>8032</v>
      </c>
      <c r="P347" s="57">
        <v>0</v>
      </c>
      <c r="Q347" s="56">
        <v>976</v>
      </c>
      <c r="R347" s="57">
        <f t="shared" si="5"/>
        <v>13728</v>
      </c>
      <c r="S347" s="56"/>
      <c r="T347" s="57">
        <v>6637</v>
      </c>
      <c r="U347" s="58">
        <v>-276</v>
      </c>
      <c r="V347" s="58">
        <v>6361</v>
      </c>
    </row>
    <row r="348" spans="1:22">
      <c r="A348" s="54">
        <v>93541</v>
      </c>
      <c r="B348" s="55" t="s">
        <v>1725</v>
      </c>
      <c r="C348" s="106">
        <v>1.061E-4</v>
      </c>
      <c r="D348" s="106">
        <v>1.069E-4</v>
      </c>
      <c r="E348" s="56">
        <v>43705.780000000006</v>
      </c>
      <c r="F348" s="56">
        <v>47976</v>
      </c>
      <c r="G348" s="56">
        <v>225180</v>
      </c>
      <c r="H348" s="56"/>
      <c r="I348" s="57">
        <v>4231</v>
      </c>
      <c r="J348" s="57">
        <v>197329</v>
      </c>
      <c r="K348" s="57">
        <v>15423</v>
      </c>
      <c r="L348" s="56">
        <v>8559</v>
      </c>
      <c r="M348" s="56"/>
      <c r="N348" s="57">
        <v>7891</v>
      </c>
      <c r="O348" s="57">
        <v>72833</v>
      </c>
      <c r="P348" s="57">
        <v>0</v>
      </c>
      <c r="Q348" s="56">
        <v>1155</v>
      </c>
      <c r="R348" s="57">
        <f t="shared" si="5"/>
        <v>124496</v>
      </c>
      <c r="S348" s="56"/>
      <c r="T348" s="57">
        <v>60187</v>
      </c>
      <c r="U348" s="58">
        <v>3927</v>
      </c>
      <c r="V348" s="58">
        <v>64114</v>
      </c>
    </row>
    <row r="349" spans="1:22">
      <c r="A349" s="54">
        <v>93601</v>
      </c>
      <c r="B349" s="55" t="s">
        <v>1726</v>
      </c>
      <c r="C349" s="106">
        <v>1.1139899999999999E-2</v>
      </c>
      <c r="D349" s="106">
        <v>1.09906E-2</v>
      </c>
      <c r="E349" s="56">
        <v>4591072.71</v>
      </c>
      <c r="F349" s="56">
        <v>4932515</v>
      </c>
      <c r="G349" s="56">
        <v>23642600</v>
      </c>
      <c r="H349" s="56"/>
      <c r="I349" s="57">
        <v>444204</v>
      </c>
      <c r="J349" s="57">
        <v>20718454</v>
      </c>
      <c r="K349" s="57">
        <v>1619307</v>
      </c>
      <c r="L349" s="56">
        <v>88715</v>
      </c>
      <c r="M349" s="56"/>
      <c r="N349" s="57">
        <v>828463</v>
      </c>
      <c r="O349" s="57">
        <v>7647073</v>
      </c>
      <c r="P349" s="57">
        <v>0</v>
      </c>
      <c r="Q349" s="56">
        <v>158818</v>
      </c>
      <c r="R349" s="57">
        <f t="shared" si="5"/>
        <v>13071381</v>
      </c>
      <c r="S349" s="56"/>
      <c r="T349" s="57">
        <v>6319320</v>
      </c>
      <c r="U349" s="58">
        <v>-40519</v>
      </c>
      <c r="V349" s="58">
        <v>6278801</v>
      </c>
    </row>
    <row r="350" spans="1:22">
      <c r="A350" s="54">
        <v>93602</v>
      </c>
      <c r="B350" s="55" t="s">
        <v>1727</v>
      </c>
      <c r="C350" s="106">
        <v>1.7200000000000001E-4</v>
      </c>
      <c r="D350" s="106">
        <v>1.873E-4</v>
      </c>
      <c r="E350" s="56">
        <v>65294.78</v>
      </c>
      <c r="F350" s="56">
        <v>84059</v>
      </c>
      <c r="G350" s="56">
        <v>365041.62</v>
      </c>
      <c r="H350" s="56"/>
      <c r="I350" s="57">
        <v>6858.5</v>
      </c>
      <c r="J350" s="57">
        <v>319893</v>
      </c>
      <c r="K350" s="57">
        <v>25002</v>
      </c>
      <c r="L350" s="56">
        <v>1192</v>
      </c>
      <c r="M350" s="56"/>
      <c r="N350" s="57">
        <v>12791</v>
      </c>
      <c r="O350" s="57">
        <v>118071</v>
      </c>
      <c r="P350" s="57">
        <v>0</v>
      </c>
      <c r="Q350" s="56">
        <v>14459</v>
      </c>
      <c r="R350" s="57">
        <f t="shared" si="5"/>
        <v>201822</v>
      </c>
      <c r="S350" s="56"/>
      <c r="T350" s="57">
        <v>97570</v>
      </c>
      <c r="U350" s="58">
        <v>-3774</v>
      </c>
      <c r="V350" s="58">
        <v>93797</v>
      </c>
    </row>
    <row r="351" spans="1:22">
      <c r="A351" s="54">
        <v>93609</v>
      </c>
      <c r="B351" s="55" t="s">
        <v>1728</v>
      </c>
      <c r="C351" s="106">
        <v>3.0569E-3</v>
      </c>
      <c r="D351" s="106">
        <v>2.777E-3</v>
      </c>
      <c r="E351" s="56">
        <v>1250738.1199999999</v>
      </c>
      <c r="F351" s="56">
        <v>1246301</v>
      </c>
      <c r="G351" s="56">
        <v>6487766</v>
      </c>
      <c r="H351" s="56"/>
      <c r="I351" s="57">
        <v>121894</v>
      </c>
      <c r="J351" s="57">
        <v>5685351</v>
      </c>
      <c r="K351" s="57">
        <v>444354</v>
      </c>
      <c r="L351" s="56">
        <v>575194</v>
      </c>
      <c r="M351" s="56"/>
      <c r="N351" s="57">
        <v>227339</v>
      </c>
      <c r="O351" s="57">
        <v>2098433</v>
      </c>
      <c r="P351" s="57">
        <v>0</v>
      </c>
      <c r="Q351" s="56">
        <v>0</v>
      </c>
      <c r="R351" s="57">
        <f t="shared" si="5"/>
        <v>3586918</v>
      </c>
      <c r="S351" s="56"/>
      <c r="T351" s="57">
        <v>1734085</v>
      </c>
      <c r="U351" s="58">
        <v>238417</v>
      </c>
      <c r="V351" s="58">
        <v>1972502</v>
      </c>
    </row>
    <row r="352" spans="1:22">
      <c r="A352" s="54">
        <v>93610</v>
      </c>
      <c r="B352" s="55" t="s">
        <v>1729</v>
      </c>
      <c r="C352" s="106">
        <v>6.4999999999999996E-6</v>
      </c>
      <c r="D352" s="106">
        <v>1.84E-5</v>
      </c>
      <c r="E352" s="56">
        <v>5057.0400000000009</v>
      </c>
      <c r="F352" s="56">
        <v>8258</v>
      </c>
      <c r="G352" s="56">
        <v>13795</v>
      </c>
      <c r="H352" s="56"/>
      <c r="I352" s="57">
        <v>259.1875</v>
      </c>
      <c r="J352" s="57">
        <v>12089</v>
      </c>
      <c r="K352" s="57">
        <v>945</v>
      </c>
      <c r="L352" s="56">
        <v>3285</v>
      </c>
      <c r="M352" s="56"/>
      <c r="N352" s="57">
        <v>483</v>
      </c>
      <c r="O352" s="57">
        <v>4462</v>
      </c>
      <c r="P352" s="57">
        <v>0</v>
      </c>
      <c r="Q352" s="56">
        <v>4553</v>
      </c>
      <c r="R352" s="57">
        <f t="shared" si="5"/>
        <v>7627</v>
      </c>
      <c r="S352" s="56"/>
      <c r="T352" s="57">
        <v>3687</v>
      </c>
      <c r="U352" s="58">
        <v>154</v>
      </c>
      <c r="V352" s="58">
        <v>3842</v>
      </c>
    </row>
    <row r="353" spans="1:22">
      <c r="A353" s="54">
        <v>93611</v>
      </c>
      <c r="B353" s="55" t="s">
        <v>1730</v>
      </c>
      <c r="C353" s="106">
        <v>6.9325000000000003E-3</v>
      </c>
      <c r="D353" s="106">
        <v>6.9034999999999999E-3</v>
      </c>
      <c r="E353" s="56">
        <v>2795516.27</v>
      </c>
      <c r="F353" s="56">
        <v>3098249</v>
      </c>
      <c r="G353" s="56">
        <v>14713087</v>
      </c>
      <c r="H353" s="56"/>
      <c r="I353" s="57">
        <v>276433</v>
      </c>
      <c r="J353" s="57">
        <v>12893355</v>
      </c>
      <c r="K353" s="57">
        <v>1007715</v>
      </c>
      <c r="L353" s="56">
        <v>0</v>
      </c>
      <c r="M353" s="56"/>
      <c r="N353" s="57">
        <v>515563</v>
      </c>
      <c r="O353" s="57">
        <v>4758870</v>
      </c>
      <c r="P353" s="57">
        <v>0</v>
      </c>
      <c r="Q353" s="56">
        <v>266414</v>
      </c>
      <c r="R353" s="57">
        <f t="shared" si="5"/>
        <v>8134485</v>
      </c>
      <c r="S353" s="56"/>
      <c r="T353" s="57">
        <v>3932592</v>
      </c>
      <c r="U353" s="58">
        <v>-113352</v>
      </c>
      <c r="V353" s="58">
        <v>3819240</v>
      </c>
    </row>
    <row r="354" spans="1:22">
      <c r="A354" s="54">
        <v>93617</v>
      </c>
      <c r="B354" s="55" t="s">
        <v>1731</v>
      </c>
      <c r="C354" s="106">
        <v>9.5000000000000005E-5</v>
      </c>
      <c r="D354" s="106">
        <v>7.9200000000000001E-5</v>
      </c>
      <c r="E354" s="56">
        <v>46064</v>
      </c>
      <c r="F354" s="56">
        <v>35544</v>
      </c>
      <c r="G354" s="56">
        <v>201622</v>
      </c>
      <c r="H354" s="56"/>
      <c r="I354" s="57">
        <v>3788.125</v>
      </c>
      <c r="J354" s="57">
        <v>176685</v>
      </c>
      <c r="K354" s="57">
        <v>13809</v>
      </c>
      <c r="L354" s="56">
        <v>28939</v>
      </c>
      <c r="M354" s="56"/>
      <c r="N354" s="57">
        <v>7065</v>
      </c>
      <c r="O354" s="57">
        <v>65213.51</v>
      </c>
      <c r="P354" s="57">
        <v>0</v>
      </c>
      <c r="Q354" s="56">
        <v>0</v>
      </c>
      <c r="R354" s="57">
        <f t="shared" si="5"/>
        <v>111471.48999999999</v>
      </c>
      <c r="S354" s="56"/>
      <c r="T354" s="57">
        <v>53891</v>
      </c>
      <c r="U354" s="58">
        <v>10007</v>
      </c>
      <c r="V354" s="58">
        <v>63898</v>
      </c>
    </row>
    <row r="355" spans="1:22">
      <c r="A355" s="54">
        <v>93618</v>
      </c>
      <c r="B355" s="55" t="s">
        <v>1732</v>
      </c>
      <c r="C355" s="106">
        <v>1.17E-5</v>
      </c>
      <c r="D355" s="106">
        <v>1.0200000000000001E-5</v>
      </c>
      <c r="E355" s="56">
        <v>22628.949999999997</v>
      </c>
      <c r="F355" s="56">
        <v>4578</v>
      </c>
      <c r="G355" s="56">
        <v>24831</v>
      </c>
      <c r="H355" s="56"/>
      <c r="I355" s="57">
        <v>467</v>
      </c>
      <c r="J355" s="57">
        <v>21760</v>
      </c>
      <c r="K355" s="57">
        <v>1701</v>
      </c>
      <c r="L355" s="56">
        <v>27424</v>
      </c>
      <c r="M355" s="56"/>
      <c r="N355" s="57">
        <v>870</v>
      </c>
      <c r="O355" s="57">
        <v>8032</v>
      </c>
      <c r="P355" s="57">
        <v>0</v>
      </c>
      <c r="Q355" s="56">
        <v>0</v>
      </c>
      <c r="R355" s="57">
        <f t="shared" si="5"/>
        <v>13728</v>
      </c>
      <c r="S355" s="56"/>
      <c r="T355" s="57">
        <v>6637</v>
      </c>
      <c r="U355" s="58">
        <v>8505</v>
      </c>
      <c r="V355" s="58">
        <v>15142</v>
      </c>
    </row>
    <row r="356" spans="1:22">
      <c r="A356" s="54">
        <v>93621</v>
      </c>
      <c r="B356" s="55" t="s">
        <v>1733</v>
      </c>
      <c r="C356" s="106">
        <v>8.5320000000000003E-4</v>
      </c>
      <c r="D356" s="106">
        <v>9.5949999999999996E-4</v>
      </c>
      <c r="E356" s="56">
        <v>330203.31</v>
      </c>
      <c r="F356" s="56">
        <v>430618</v>
      </c>
      <c r="G356" s="56">
        <v>1810776</v>
      </c>
      <c r="H356" s="56"/>
      <c r="I356" s="57">
        <v>34021.35</v>
      </c>
      <c r="J356" s="57">
        <v>1586817</v>
      </c>
      <c r="K356" s="57">
        <v>124022</v>
      </c>
      <c r="L356" s="56">
        <v>0</v>
      </c>
      <c r="M356" s="56"/>
      <c r="N356" s="57">
        <v>63452</v>
      </c>
      <c r="O356" s="57">
        <v>585686</v>
      </c>
      <c r="P356" s="57">
        <v>0</v>
      </c>
      <c r="Q356" s="56">
        <v>118410</v>
      </c>
      <c r="R356" s="57">
        <f t="shared" si="5"/>
        <v>1001131</v>
      </c>
      <c r="S356" s="56"/>
      <c r="T356" s="57">
        <v>483994</v>
      </c>
      <c r="U356" s="58">
        <v>-38643</v>
      </c>
      <c r="V356" s="58">
        <v>445351</v>
      </c>
    </row>
    <row r="357" spans="1:22">
      <c r="A357" s="54">
        <v>93623</v>
      </c>
      <c r="B357" s="55" t="s">
        <v>1734</v>
      </c>
      <c r="C357" s="106">
        <v>1.2500000000000001E-5</v>
      </c>
      <c r="D357" s="106">
        <v>1.24E-5</v>
      </c>
      <c r="E357" s="56">
        <v>8240.5799999999981</v>
      </c>
      <c r="F357" s="56">
        <v>5565</v>
      </c>
      <c r="G357" s="56">
        <v>26529.1875</v>
      </c>
      <c r="H357" s="56"/>
      <c r="I357" s="57">
        <v>498.4375</v>
      </c>
      <c r="J357" s="57">
        <v>23248</v>
      </c>
      <c r="K357" s="57">
        <v>1817</v>
      </c>
      <c r="L357" s="56">
        <v>4315</v>
      </c>
      <c r="M357" s="56"/>
      <c r="N357" s="57">
        <v>930</v>
      </c>
      <c r="O357" s="57">
        <v>8581</v>
      </c>
      <c r="P357" s="57">
        <v>0</v>
      </c>
      <c r="Q357" s="56">
        <v>2</v>
      </c>
      <c r="R357" s="57">
        <f t="shared" si="5"/>
        <v>14667</v>
      </c>
      <c r="S357" s="56"/>
      <c r="T357" s="57">
        <v>7091</v>
      </c>
      <c r="U357" s="58">
        <v>1289</v>
      </c>
      <c r="V357" s="58">
        <v>8380</v>
      </c>
    </row>
    <row r="358" spans="1:22">
      <c r="A358" s="54">
        <v>93631</v>
      </c>
      <c r="B358" s="55" t="s">
        <v>1735</v>
      </c>
      <c r="C358" s="106">
        <v>2.3440000000000001E-4</v>
      </c>
      <c r="D358" s="106">
        <v>2.3680000000000001E-4</v>
      </c>
      <c r="E358" s="56">
        <v>87285.229999999981</v>
      </c>
      <c r="F358" s="56">
        <v>106274</v>
      </c>
      <c r="G358" s="56">
        <v>497475</v>
      </c>
      <c r="H358" s="56"/>
      <c r="I358" s="57">
        <v>9347</v>
      </c>
      <c r="J358" s="57">
        <v>435947</v>
      </c>
      <c r="K358" s="57">
        <v>34073</v>
      </c>
      <c r="L358" s="56">
        <v>874</v>
      </c>
      <c r="M358" s="56"/>
      <c r="N358" s="57">
        <v>17432</v>
      </c>
      <c r="O358" s="57">
        <v>160906</v>
      </c>
      <c r="P358" s="57">
        <v>0</v>
      </c>
      <c r="Q358" s="56">
        <v>17303</v>
      </c>
      <c r="R358" s="57">
        <f t="shared" si="5"/>
        <v>275041</v>
      </c>
      <c r="S358" s="56"/>
      <c r="T358" s="57">
        <v>132968</v>
      </c>
      <c r="U358" s="58">
        <v>-4881</v>
      </c>
      <c r="V358" s="58">
        <v>128086</v>
      </c>
    </row>
    <row r="359" spans="1:22">
      <c r="A359" s="54">
        <v>93641</v>
      </c>
      <c r="B359" s="55" t="s">
        <v>1736</v>
      </c>
      <c r="C359" s="106">
        <v>4.3550000000000001E-4</v>
      </c>
      <c r="D359" s="106">
        <v>4.3100000000000001E-4</v>
      </c>
      <c r="E359" s="56">
        <v>182885.7</v>
      </c>
      <c r="F359" s="56">
        <v>193430</v>
      </c>
      <c r="G359" s="56">
        <v>924277</v>
      </c>
      <c r="H359" s="56"/>
      <c r="I359" s="57">
        <v>17365.5625</v>
      </c>
      <c r="J359" s="57">
        <v>809961</v>
      </c>
      <c r="K359" s="57">
        <v>63305</v>
      </c>
      <c r="L359" s="56">
        <v>21571</v>
      </c>
      <c r="M359" s="56"/>
      <c r="N359" s="57">
        <v>32388</v>
      </c>
      <c r="O359" s="57">
        <v>298952</v>
      </c>
      <c r="P359" s="57">
        <v>0</v>
      </c>
      <c r="Q359" s="56">
        <v>0</v>
      </c>
      <c r="R359" s="57">
        <f t="shared" si="5"/>
        <v>511009</v>
      </c>
      <c r="S359" s="56"/>
      <c r="T359" s="57">
        <v>247046</v>
      </c>
      <c r="U359" s="58">
        <v>7537</v>
      </c>
      <c r="V359" s="58">
        <v>254583</v>
      </c>
    </row>
    <row r="360" spans="1:22">
      <c r="A360" s="54">
        <v>93647</v>
      </c>
      <c r="B360" s="55" t="s">
        <v>1737</v>
      </c>
      <c r="C360" s="106">
        <v>6.1E-6</v>
      </c>
      <c r="D360" s="106">
        <v>6.0000000000000002E-6</v>
      </c>
      <c r="E360" s="56">
        <v>7779.1400000000012</v>
      </c>
      <c r="F360" s="56">
        <v>2693</v>
      </c>
      <c r="G360" s="56">
        <v>12946</v>
      </c>
      <c r="H360" s="56"/>
      <c r="I360" s="57">
        <v>243.23750000000001</v>
      </c>
      <c r="J360" s="57">
        <v>11345</v>
      </c>
      <c r="K360" s="57">
        <v>887</v>
      </c>
      <c r="L360" s="56">
        <v>10457</v>
      </c>
      <c r="M360" s="56"/>
      <c r="N360" s="57">
        <v>454</v>
      </c>
      <c r="O360" s="57">
        <v>4187</v>
      </c>
      <c r="P360" s="57">
        <v>0</v>
      </c>
      <c r="Q360" s="56">
        <v>0</v>
      </c>
      <c r="R360" s="57">
        <f t="shared" si="5"/>
        <v>7158</v>
      </c>
      <c r="S360" s="56"/>
      <c r="T360" s="57">
        <v>3460</v>
      </c>
      <c r="U360" s="58">
        <v>3397</v>
      </c>
      <c r="V360" s="58">
        <v>6857</v>
      </c>
    </row>
    <row r="361" spans="1:22">
      <c r="A361" s="54">
        <v>93651</v>
      </c>
      <c r="B361" s="55" t="s">
        <v>1738</v>
      </c>
      <c r="C361" s="106">
        <v>4.282E-4</v>
      </c>
      <c r="D361" s="106">
        <v>4.216E-4</v>
      </c>
      <c r="E361" s="56">
        <v>158412.88</v>
      </c>
      <c r="F361" s="56">
        <v>189212</v>
      </c>
      <c r="G361" s="56">
        <v>908784</v>
      </c>
      <c r="H361" s="56"/>
      <c r="I361" s="57">
        <v>17074</v>
      </c>
      <c r="J361" s="57">
        <v>796384</v>
      </c>
      <c r="K361" s="57">
        <v>62244</v>
      </c>
      <c r="L361" s="56">
        <v>9033</v>
      </c>
      <c r="M361" s="56"/>
      <c r="N361" s="57">
        <v>31845</v>
      </c>
      <c r="O361" s="57">
        <v>293941</v>
      </c>
      <c r="P361" s="57">
        <v>0</v>
      </c>
      <c r="Q361" s="56">
        <v>11722</v>
      </c>
      <c r="R361" s="57">
        <f t="shared" si="5"/>
        <v>502443</v>
      </c>
      <c r="S361" s="56"/>
      <c r="T361" s="57">
        <v>242905</v>
      </c>
      <c r="U361" s="58">
        <v>-139</v>
      </c>
      <c r="V361" s="58">
        <v>242766</v>
      </c>
    </row>
    <row r="362" spans="1:22">
      <c r="A362" s="54">
        <v>93661</v>
      </c>
      <c r="B362" s="55" t="s">
        <v>1739</v>
      </c>
      <c r="C362" s="106">
        <v>1.3420000000000001E-4</v>
      </c>
      <c r="D362" s="106">
        <v>1.2750000000000001E-4</v>
      </c>
      <c r="E362" s="56">
        <v>60285.130000000005</v>
      </c>
      <c r="F362" s="56">
        <v>57221</v>
      </c>
      <c r="G362" s="56">
        <v>284817</v>
      </c>
      <c r="H362" s="56"/>
      <c r="I362" s="57">
        <v>5351</v>
      </c>
      <c r="J362" s="57">
        <v>249591</v>
      </c>
      <c r="K362" s="57">
        <v>19507</v>
      </c>
      <c r="L362" s="56">
        <v>12174</v>
      </c>
      <c r="M362" s="56"/>
      <c r="N362" s="57">
        <v>9980</v>
      </c>
      <c r="O362" s="57">
        <v>92123</v>
      </c>
      <c r="P362" s="57">
        <v>0</v>
      </c>
      <c r="Q362" s="56">
        <v>0</v>
      </c>
      <c r="R362" s="57">
        <f t="shared" si="5"/>
        <v>157468</v>
      </c>
      <c r="S362" s="56"/>
      <c r="T362" s="57">
        <v>76127</v>
      </c>
      <c r="U362" s="58">
        <v>3955</v>
      </c>
      <c r="V362" s="58">
        <v>80082</v>
      </c>
    </row>
    <row r="363" spans="1:22">
      <c r="A363" s="54">
        <v>93671</v>
      </c>
      <c r="B363" s="55" t="s">
        <v>1740</v>
      </c>
      <c r="C363" s="106">
        <v>3.6900000000000002E-4</v>
      </c>
      <c r="D363" s="106">
        <v>3.5710000000000001E-4</v>
      </c>
      <c r="E363" s="56">
        <v>141320.09</v>
      </c>
      <c r="F363" s="56">
        <v>160264</v>
      </c>
      <c r="G363" s="56">
        <v>783142</v>
      </c>
      <c r="H363" s="56"/>
      <c r="I363" s="57">
        <v>14714</v>
      </c>
      <c r="J363" s="57">
        <v>686282</v>
      </c>
      <c r="K363" s="57">
        <v>53638</v>
      </c>
      <c r="L363" s="56">
        <v>67993</v>
      </c>
      <c r="M363" s="56"/>
      <c r="N363" s="57">
        <v>27442</v>
      </c>
      <c r="O363" s="57">
        <v>253303</v>
      </c>
      <c r="P363" s="57">
        <v>0</v>
      </c>
      <c r="Q363" s="56">
        <v>1836</v>
      </c>
      <c r="R363" s="57">
        <f t="shared" si="5"/>
        <v>432979</v>
      </c>
      <c r="S363" s="56"/>
      <c r="T363" s="57">
        <v>209322</v>
      </c>
      <c r="U363" s="58">
        <v>28852</v>
      </c>
      <c r="V363" s="58">
        <v>238174</v>
      </c>
    </row>
    <row r="364" spans="1:22">
      <c r="A364" s="54">
        <v>93677</v>
      </c>
      <c r="B364" s="55" t="s">
        <v>364</v>
      </c>
      <c r="C364" s="106">
        <v>0</v>
      </c>
      <c r="D364" s="106">
        <v>0</v>
      </c>
      <c r="E364" s="56">
        <v>0</v>
      </c>
      <c r="F364" s="56">
        <v>0</v>
      </c>
      <c r="G364" s="56">
        <v>0</v>
      </c>
      <c r="H364" s="56"/>
      <c r="I364" s="57">
        <v>0</v>
      </c>
      <c r="J364" s="57">
        <v>0</v>
      </c>
      <c r="K364" s="57">
        <v>0</v>
      </c>
      <c r="L364" s="56">
        <v>0</v>
      </c>
      <c r="M364" s="56"/>
      <c r="N364" s="57">
        <v>0</v>
      </c>
      <c r="O364" s="57">
        <v>0</v>
      </c>
      <c r="P364" s="57">
        <v>0</v>
      </c>
      <c r="Q364" s="56">
        <v>1443</v>
      </c>
      <c r="R364" s="57">
        <f t="shared" si="5"/>
        <v>0</v>
      </c>
      <c r="S364" s="56"/>
      <c r="T364" s="57">
        <v>0</v>
      </c>
      <c r="U364" s="58">
        <v>-725</v>
      </c>
      <c r="V364" s="58">
        <v>-725</v>
      </c>
    </row>
    <row r="365" spans="1:22">
      <c r="A365" s="54">
        <v>93681</v>
      </c>
      <c r="B365" s="55" t="s">
        <v>1741</v>
      </c>
      <c r="C365" s="106">
        <v>1.1010000000000001E-4</v>
      </c>
      <c r="D365" s="106">
        <v>1.2769999999999999E-4</v>
      </c>
      <c r="E365" s="56">
        <v>44347.75</v>
      </c>
      <c r="F365" s="56">
        <v>57311</v>
      </c>
      <c r="G365" s="56">
        <v>233669</v>
      </c>
      <c r="H365" s="56"/>
      <c r="I365" s="57">
        <v>4390</v>
      </c>
      <c r="J365" s="57">
        <v>204769</v>
      </c>
      <c r="K365" s="57">
        <v>16004</v>
      </c>
      <c r="L365" s="56">
        <v>409</v>
      </c>
      <c r="M365" s="56"/>
      <c r="N365" s="57">
        <v>8188</v>
      </c>
      <c r="O365" s="57">
        <v>75579</v>
      </c>
      <c r="P365" s="57">
        <v>0</v>
      </c>
      <c r="Q365" s="56">
        <v>17487</v>
      </c>
      <c r="R365" s="57">
        <f t="shared" si="5"/>
        <v>129190</v>
      </c>
      <c r="S365" s="56"/>
      <c r="T365" s="57">
        <v>62456</v>
      </c>
      <c r="U365" s="58">
        <v>-6141</v>
      </c>
      <c r="V365" s="58">
        <v>56315</v>
      </c>
    </row>
    <row r="366" spans="1:22">
      <c r="A366" s="54">
        <v>93691</v>
      </c>
      <c r="B366" s="55" t="s">
        <v>1742</v>
      </c>
      <c r="C366" s="106">
        <v>1.1251E-3</v>
      </c>
      <c r="D366" s="106">
        <v>1.1314999999999999E-3</v>
      </c>
      <c r="E366" s="56">
        <v>407119.95</v>
      </c>
      <c r="F366" s="56">
        <v>507810</v>
      </c>
      <c r="G366" s="56">
        <v>2387839</v>
      </c>
      <c r="H366" s="56"/>
      <c r="I366" s="57">
        <v>44863</v>
      </c>
      <c r="J366" s="57">
        <v>2092508</v>
      </c>
      <c r="K366" s="57">
        <v>163546</v>
      </c>
      <c r="L366" s="56">
        <v>0</v>
      </c>
      <c r="M366" s="56"/>
      <c r="N366" s="57">
        <v>83673</v>
      </c>
      <c r="O366" s="57">
        <v>772334</v>
      </c>
      <c r="P366" s="57">
        <v>0</v>
      </c>
      <c r="Q366" s="56">
        <v>90621</v>
      </c>
      <c r="R366" s="57">
        <f t="shared" si="5"/>
        <v>1320174</v>
      </c>
      <c r="S366" s="56"/>
      <c r="T366" s="57">
        <v>638234</v>
      </c>
      <c r="U366" s="58">
        <v>-28965</v>
      </c>
      <c r="V366" s="58">
        <v>609269</v>
      </c>
    </row>
    <row r="367" spans="1:22">
      <c r="A367" s="54">
        <v>93701</v>
      </c>
      <c r="B367" s="55" t="s">
        <v>2291</v>
      </c>
      <c r="C367" s="106">
        <v>4.6200000000000001E-4</v>
      </c>
      <c r="D367" s="106">
        <v>4.7169999999999997E-4</v>
      </c>
      <c r="E367" s="56">
        <v>182681.63</v>
      </c>
      <c r="F367" s="56">
        <v>211696</v>
      </c>
      <c r="G367" s="56">
        <v>980518.77</v>
      </c>
      <c r="H367" s="56"/>
      <c r="I367" s="57">
        <v>18422.25</v>
      </c>
      <c r="J367" s="57">
        <v>859247</v>
      </c>
      <c r="K367" s="57">
        <v>67157</v>
      </c>
      <c r="L367" s="56">
        <v>13714</v>
      </c>
      <c r="M367" s="56"/>
      <c r="N367" s="57">
        <v>34358</v>
      </c>
      <c r="O367" s="57">
        <v>317144</v>
      </c>
      <c r="P367" s="57">
        <v>0</v>
      </c>
      <c r="Q367" s="56">
        <v>11063</v>
      </c>
      <c r="R367" s="57">
        <f t="shared" si="5"/>
        <v>542103</v>
      </c>
      <c r="S367" s="56"/>
      <c r="T367" s="57">
        <v>262078</v>
      </c>
      <c r="U367" s="58">
        <v>2925</v>
      </c>
      <c r="V367" s="58">
        <v>265003</v>
      </c>
    </row>
    <row r="368" spans="1:22">
      <c r="A368" s="54">
        <v>93704</v>
      </c>
      <c r="B368" s="55" t="s">
        <v>1744</v>
      </c>
      <c r="C368" s="106">
        <v>3.3000000000000002E-6</v>
      </c>
      <c r="D368" s="106">
        <v>3.3000000000000002E-6</v>
      </c>
      <c r="E368" s="56">
        <v>1805.1600000000005</v>
      </c>
      <c r="F368" s="56">
        <v>1481</v>
      </c>
      <c r="G368" s="56">
        <v>7004</v>
      </c>
      <c r="H368" s="56"/>
      <c r="I368" s="57">
        <v>131.58750000000001</v>
      </c>
      <c r="J368" s="57">
        <v>6137</v>
      </c>
      <c r="K368" s="57">
        <v>480</v>
      </c>
      <c r="L368" s="56">
        <v>430</v>
      </c>
      <c r="M368" s="56"/>
      <c r="N368" s="57">
        <v>245</v>
      </c>
      <c r="O368" s="57">
        <v>2265</v>
      </c>
      <c r="P368" s="57">
        <v>0</v>
      </c>
      <c r="Q368" s="56">
        <v>97.51</v>
      </c>
      <c r="R368" s="57">
        <f t="shared" si="5"/>
        <v>3872</v>
      </c>
      <c r="S368" s="56"/>
      <c r="T368" s="57">
        <v>1872</v>
      </c>
      <c r="U368" s="58">
        <v>69</v>
      </c>
      <c r="V368" s="58">
        <v>1941</v>
      </c>
    </row>
    <row r="369" spans="1:22">
      <c r="A369" s="54">
        <v>93801</v>
      </c>
      <c r="B369" s="55" t="s">
        <v>1745</v>
      </c>
      <c r="C369" s="106">
        <v>5.4180000000000005E-4</v>
      </c>
      <c r="D369" s="106">
        <v>4.4959999999999998E-4</v>
      </c>
      <c r="E369" s="56">
        <v>326497.91999999998</v>
      </c>
      <c r="F369" s="56">
        <v>201778</v>
      </c>
      <c r="G369" s="56">
        <v>1149881</v>
      </c>
      <c r="H369" s="56"/>
      <c r="I369" s="57">
        <v>21604</v>
      </c>
      <c r="J369" s="57">
        <v>1007662</v>
      </c>
      <c r="K369" s="57">
        <v>78757</v>
      </c>
      <c r="L369" s="56">
        <v>156479</v>
      </c>
      <c r="M369" s="56"/>
      <c r="N369" s="57">
        <v>40293</v>
      </c>
      <c r="O369" s="57">
        <v>371923</v>
      </c>
      <c r="P369" s="57">
        <v>0</v>
      </c>
      <c r="Q369" s="56">
        <v>2943</v>
      </c>
      <c r="R369" s="57">
        <f t="shared" si="5"/>
        <v>635739</v>
      </c>
      <c r="S369" s="56"/>
      <c r="T369" s="57">
        <v>307346</v>
      </c>
      <c r="U369" s="58">
        <v>41370</v>
      </c>
      <c r="V369" s="58">
        <v>348716</v>
      </c>
    </row>
    <row r="370" spans="1:22">
      <c r="A370" s="54">
        <v>93803</v>
      </c>
      <c r="B370" s="55" t="s">
        <v>1746</v>
      </c>
      <c r="C370" s="106">
        <v>1.4469999999999999E-4</v>
      </c>
      <c r="D370" s="106">
        <v>1.582E-4</v>
      </c>
      <c r="E370" s="56">
        <v>49766.119999999995</v>
      </c>
      <c r="F370" s="56">
        <v>70999</v>
      </c>
      <c r="G370" s="56">
        <v>307102</v>
      </c>
      <c r="H370" s="56"/>
      <c r="I370" s="57">
        <v>5770</v>
      </c>
      <c r="J370" s="57">
        <v>269119</v>
      </c>
      <c r="K370" s="57">
        <v>21034</v>
      </c>
      <c r="L370" s="56">
        <v>0</v>
      </c>
      <c r="M370" s="56"/>
      <c r="N370" s="57">
        <v>10761</v>
      </c>
      <c r="O370" s="57">
        <v>99330</v>
      </c>
      <c r="P370" s="57">
        <v>0</v>
      </c>
      <c r="Q370" s="56">
        <v>34507</v>
      </c>
      <c r="R370" s="57">
        <f t="shared" si="5"/>
        <v>169789</v>
      </c>
      <c r="S370" s="56"/>
      <c r="T370" s="57">
        <v>82084</v>
      </c>
      <c r="U370" s="58">
        <v>-12391</v>
      </c>
      <c r="V370" s="58">
        <v>69693</v>
      </c>
    </row>
    <row r="371" spans="1:22">
      <c r="A371" s="54">
        <v>93806</v>
      </c>
      <c r="B371" s="55" t="s">
        <v>1747</v>
      </c>
      <c r="C371" s="106">
        <v>7.3700000000000002E-5</v>
      </c>
      <c r="D371" s="106">
        <v>7.7899999999999996E-5</v>
      </c>
      <c r="E371" s="56">
        <v>32242.28</v>
      </c>
      <c r="F371" s="56">
        <v>34961</v>
      </c>
      <c r="G371" s="56">
        <v>156416</v>
      </c>
      <c r="H371" s="56"/>
      <c r="I371" s="57">
        <v>2939</v>
      </c>
      <c r="J371" s="57">
        <v>137070</v>
      </c>
      <c r="K371" s="57">
        <v>10713</v>
      </c>
      <c r="L371" s="56">
        <v>1793</v>
      </c>
      <c r="M371" s="56"/>
      <c r="N371" s="57">
        <v>5481</v>
      </c>
      <c r="O371" s="57">
        <v>50592</v>
      </c>
      <c r="P371" s="57">
        <v>0</v>
      </c>
      <c r="Q371" s="56">
        <v>19837</v>
      </c>
      <c r="R371" s="57">
        <f t="shared" si="5"/>
        <v>86478</v>
      </c>
      <c r="S371" s="56"/>
      <c r="T371" s="57">
        <v>41808</v>
      </c>
      <c r="U371" s="58">
        <v>-9153</v>
      </c>
      <c r="V371" s="58">
        <v>32655</v>
      </c>
    </row>
    <row r="372" spans="1:22">
      <c r="A372" s="54">
        <v>93821</v>
      </c>
      <c r="B372" s="55" t="s">
        <v>1748</v>
      </c>
      <c r="C372" s="106">
        <v>5.7200000000000001E-5</v>
      </c>
      <c r="D372" s="106">
        <v>5.2899999999999998E-5</v>
      </c>
      <c r="E372" s="56">
        <v>45354.71</v>
      </c>
      <c r="F372" s="56">
        <v>23741</v>
      </c>
      <c r="G372" s="56">
        <v>121398</v>
      </c>
      <c r="H372" s="56"/>
      <c r="I372" s="57">
        <v>2280.85</v>
      </c>
      <c r="J372" s="57">
        <v>106383</v>
      </c>
      <c r="K372" s="57">
        <v>8315</v>
      </c>
      <c r="L372" s="56">
        <v>26142</v>
      </c>
      <c r="M372" s="56"/>
      <c r="N372" s="57">
        <v>4254</v>
      </c>
      <c r="O372" s="57">
        <v>39265</v>
      </c>
      <c r="P372" s="57">
        <v>0</v>
      </c>
      <c r="Q372" s="56">
        <v>0</v>
      </c>
      <c r="R372" s="57">
        <f t="shared" si="5"/>
        <v>67118</v>
      </c>
      <c r="S372" s="56"/>
      <c r="T372" s="57">
        <v>32448</v>
      </c>
      <c r="U372" s="58">
        <v>7718</v>
      </c>
      <c r="V372" s="58">
        <v>40166</v>
      </c>
    </row>
    <row r="373" spans="1:22">
      <c r="A373" s="54">
        <v>93901</v>
      </c>
      <c r="B373" s="55" t="s">
        <v>1749</v>
      </c>
      <c r="C373" s="106">
        <v>1.8059E-3</v>
      </c>
      <c r="D373" s="106">
        <v>1.7983999999999999E-3</v>
      </c>
      <c r="E373" s="56">
        <v>780735.88</v>
      </c>
      <c r="F373" s="56">
        <v>807111</v>
      </c>
      <c r="G373" s="56">
        <v>3832725</v>
      </c>
      <c r="H373" s="56"/>
      <c r="I373" s="57">
        <v>72010</v>
      </c>
      <c r="J373" s="57">
        <v>3358689</v>
      </c>
      <c r="K373" s="57">
        <v>262507</v>
      </c>
      <c r="L373" s="56">
        <v>66837</v>
      </c>
      <c r="M373" s="56"/>
      <c r="N373" s="57">
        <v>134303</v>
      </c>
      <c r="O373" s="57">
        <v>1239675</v>
      </c>
      <c r="P373" s="57">
        <v>0</v>
      </c>
      <c r="Q373" s="56">
        <v>0</v>
      </c>
      <c r="R373" s="57">
        <f t="shared" si="5"/>
        <v>2119014</v>
      </c>
      <c r="S373" s="56"/>
      <c r="T373" s="57">
        <v>1024431</v>
      </c>
      <c r="U373" s="58">
        <v>21679</v>
      </c>
      <c r="V373" s="58">
        <v>1046110</v>
      </c>
    </row>
    <row r="374" spans="1:22">
      <c r="A374" s="54">
        <v>93904</v>
      </c>
      <c r="B374" s="55" t="s">
        <v>1750</v>
      </c>
      <c r="C374" s="106">
        <v>2.4700000000000001E-5</v>
      </c>
      <c r="D374" s="106">
        <v>2.5700000000000001E-5</v>
      </c>
      <c r="E374" s="56">
        <v>12993.06</v>
      </c>
      <c r="F374" s="56">
        <v>11534</v>
      </c>
      <c r="G374" s="56">
        <v>52422</v>
      </c>
      <c r="H374" s="56"/>
      <c r="I374" s="57">
        <v>984.91250000000002</v>
      </c>
      <c r="J374" s="57">
        <v>45938</v>
      </c>
      <c r="K374" s="57">
        <v>3590</v>
      </c>
      <c r="L374" s="56">
        <v>4911</v>
      </c>
      <c r="M374" s="56"/>
      <c r="N374" s="57">
        <v>1837</v>
      </c>
      <c r="O374" s="57">
        <v>16956</v>
      </c>
      <c r="P374" s="57">
        <v>0</v>
      </c>
      <c r="Q374" s="56">
        <v>56</v>
      </c>
      <c r="R374" s="57">
        <f t="shared" si="5"/>
        <v>28982</v>
      </c>
      <c r="S374" s="56"/>
      <c r="T374" s="57">
        <v>14012</v>
      </c>
      <c r="U374" s="58">
        <v>1550</v>
      </c>
      <c r="V374" s="58">
        <v>15562</v>
      </c>
    </row>
    <row r="375" spans="1:22">
      <c r="A375" s="54">
        <v>93906</v>
      </c>
      <c r="B375" s="55" t="s">
        <v>1751</v>
      </c>
      <c r="C375" s="106">
        <v>3.4513E-3</v>
      </c>
      <c r="D375" s="106">
        <v>3.4020000000000001E-3</v>
      </c>
      <c r="E375" s="56">
        <v>1324474.51</v>
      </c>
      <c r="F375" s="56">
        <v>1526797</v>
      </c>
      <c r="G375" s="56">
        <v>7324815</v>
      </c>
      <c r="H375" s="56"/>
      <c r="I375" s="57">
        <v>137621</v>
      </c>
      <c r="J375" s="57">
        <v>6418873</v>
      </c>
      <c r="K375" s="57">
        <v>501684</v>
      </c>
      <c r="L375" s="56">
        <v>30117</v>
      </c>
      <c r="M375" s="56"/>
      <c r="N375" s="57">
        <v>256670</v>
      </c>
      <c r="O375" s="57">
        <v>2369172</v>
      </c>
      <c r="P375" s="57">
        <v>0</v>
      </c>
      <c r="Q375" s="56">
        <v>185682</v>
      </c>
      <c r="R375" s="57">
        <f t="shared" si="5"/>
        <v>4049701</v>
      </c>
      <c r="S375" s="56"/>
      <c r="T375" s="57">
        <v>1957815</v>
      </c>
      <c r="U375" s="58">
        <v>-46065</v>
      </c>
      <c r="V375" s="58">
        <v>1911751</v>
      </c>
    </row>
    <row r="376" spans="1:22">
      <c r="A376" s="54">
        <v>93908</v>
      </c>
      <c r="B376" s="55" t="s">
        <v>2292</v>
      </c>
      <c r="C376" s="106">
        <v>5.0239999999999996E-4</v>
      </c>
      <c r="D376" s="106">
        <v>5.1309999999999995E-4</v>
      </c>
      <c r="E376" s="56">
        <v>209822.77999999997</v>
      </c>
      <c r="F376" s="56">
        <v>230276</v>
      </c>
      <c r="G376" s="56">
        <v>1066261</v>
      </c>
      <c r="H376" s="56"/>
      <c r="I376" s="57">
        <v>20033</v>
      </c>
      <c r="J376" s="57">
        <v>934385</v>
      </c>
      <c r="K376" s="57">
        <v>73029</v>
      </c>
      <c r="L376" s="56">
        <v>8428</v>
      </c>
      <c r="M376" s="56"/>
      <c r="N376" s="57">
        <v>37363</v>
      </c>
      <c r="O376" s="57">
        <v>344876</v>
      </c>
      <c r="P376" s="57">
        <v>0</v>
      </c>
      <c r="Q376" s="56">
        <v>25053</v>
      </c>
      <c r="R376" s="57">
        <f t="shared" si="5"/>
        <v>589509</v>
      </c>
      <c r="S376" s="56"/>
      <c r="T376" s="57">
        <v>284996</v>
      </c>
      <c r="U376" s="58">
        <v>-4339</v>
      </c>
      <c r="V376" s="58">
        <v>280657</v>
      </c>
    </row>
    <row r="377" spans="1:22">
      <c r="A377" s="54">
        <v>93910</v>
      </c>
      <c r="B377" s="55" t="s">
        <v>1753</v>
      </c>
      <c r="C377" s="106">
        <v>2.9129999999999998E-4</v>
      </c>
      <c r="D377" s="106">
        <v>2.8830000000000001E-4</v>
      </c>
      <c r="E377" s="56">
        <v>105004.28000000001</v>
      </c>
      <c r="F377" s="56">
        <v>129387</v>
      </c>
      <c r="G377" s="56">
        <v>618236</v>
      </c>
      <c r="H377" s="56"/>
      <c r="I377" s="57">
        <v>11616</v>
      </c>
      <c r="J377" s="57">
        <v>541772</v>
      </c>
      <c r="K377" s="57">
        <v>42344</v>
      </c>
      <c r="L377" s="56">
        <v>0</v>
      </c>
      <c r="M377" s="56"/>
      <c r="N377" s="57">
        <v>21664</v>
      </c>
      <c r="O377" s="57">
        <v>199965</v>
      </c>
      <c r="P377" s="57">
        <v>0</v>
      </c>
      <c r="Q377" s="56">
        <v>27549</v>
      </c>
      <c r="R377" s="57">
        <f t="shared" si="5"/>
        <v>341807</v>
      </c>
      <c r="S377" s="56"/>
      <c r="T377" s="57">
        <v>165245</v>
      </c>
      <c r="U377" s="58">
        <v>-10320</v>
      </c>
      <c r="V377" s="58">
        <v>154925</v>
      </c>
    </row>
    <row r="378" spans="1:22">
      <c r="A378" s="54">
        <v>93911</v>
      </c>
      <c r="B378" s="55" t="s">
        <v>1754</v>
      </c>
      <c r="C378" s="106">
        <v>6.9890000000000002E-4</v>
      </c>
      <c r="D378" s="106">
        <v>7.1869999999999996E-4</v>
      </c>
      <c r="E378" s="56">
        <v>267489.03999999998</v>
      </c>
      <c r="F378" s="56">
        <v>322548</v>
      </c>
      <c r="G378" s="56">
        <v>1483300</v>
      </c>
      <c r="H378" s="56"/>
      <c r="I378" s="57">
        <v>27869</v>
      </c>
      <c r="J378" s="57">
        <v>1299844</v>
      </c>
      <c r="K378" s="57">
        <v>101593</v>
      </c>
      <c r="L378" s="56">
        <v>21802</v>
      </c>
      <c r="M378" s="56"/>
      <c r="N378" s="57">
        <v>51976</v>
      </c>
      <c r="O378" s="57">
        <v>479765</v>
      </c>
      <c r="P378" s="57">
        <v>0</v>
      </c>
      <c r="Q378" s="56">
        <v>26554</v>
      </c>
      <c r="R378" s="57">
        <f t="shared" si="5"/>
        <v>820079</v>
      </c>
      <c r="S378" s="56"/>
      <c r="T378" s="57">
        <v>396464</v>
      </c>
      <c r="U378" s="58">
        <v>1748</v>
      </c>
      <c r="V378" s="58">
        <v>398212</v>
      </c>
    </row>
    <row r="379" spans="1:22">
      <c r="A379" s="54">
        <v>93913</v>
      </c>
      <c r="B379" s="55" t="s">
        <v>1755</v>
      </c>
      <c r="C379" s="106">
        <v>6.2600000000000004E-5</v>
      </c>
      <c r="D379" s="106">
        <v>5.5699999999999999E-5</v>
      </c>
      <c r="E379" s="56">
        <v>25969.759999999998</v>
      </c>
      <c r="F379" s="56">
        <v>24998</v>
      </c>
      <c r="G379" s="56">
        <v>132858</v>
      </c>
      <c r="H379" s="56"/>
      <c r="I379" s="57">
        <v>2496</v>
      </c>
      <c r="J379" s="57">
        <v>116426</v>
      </c>
      <c r="K379" s="57">
        <v>9100</v>
      </c>
      <c r="L379" s="56">
        <v>3917</v>
      </c>
      <c r="M379" s="56"/>
      <c r="N379" s="57">
        <v>4655</v>
      </c>
      <c r="O379" s="57">
        <v>42972</v>
      </c>
      <c r="P379" s="57">
        <v>0</v>
      </c>
      <c r="Q379" s="56">
        <v>1335</v>
      </c>
      <c r="R379" s="57">
        <f t="shared" si="5"/>
        <v>73454</v>
      </c>
      <c r="S379" s="56"/>
      <c r="T379" s="57">
        <v>35511</v>
      </c>
      <c r="U379" s="58">
        <v>530</v>
      </c>
      <c r="V379" s="58">
        <v>36041</v>
      </c>
    </row>
    <row r="380" spans="1:22">
      <c r="A380" s="54">
        <v>93914</v>
      </c>
      <c r="B380" s="55" t="s">
        <v>1756</v>
      </c>
      <c r="C380" s="106">
        <v>9.0999999999999993E-6</v>
      </c>
      <c r="D380" s="106">
        <v>1.0000000000000001E-5</v>
      </c>
      <c r="E380" s="56">
        <v>5837.72</v>
      </c>
      <c r="F380" s="56">
        <v>4488</v>
      </c>
      <c r="G380" s="56">
        <v>19313</v>
      </c>
      <c r="H380" s="56"/>
      <c r="I380" s="57">
        <v>363</v>
      </c>
      <c r="J380" s="57">
        <v>16925</v>
      </c>
      <c r="K380" s="57">
        <v>1323</v>
      </c>
      <c r="L380" s="56">
        <v>3108</v>
      </c>
      <c r="M380" s="56"/>
      <c r="N380" s="57">
        <v>677</v>
      </c>
      <c r="O380" s="57">
        <v>6247</v>
      </c>
      <c r="P380" s="57">
        <v>0</v>
      </c>
      <c r="Q380" s="56">
        <v>0</v>
      </c>
      <c r="R380" s="57">
        <f t="shared" si="5"/>
        <v>10678</v>
      </c>
      <c r="S380" s="56"/>
      <c r="T380" s="57">
        <v>5162</v>
      </c>
      <c r="U380" s="58">
        <v>1124</v>
      </c>
      <c r="V380" s="58">
        <v>6287</v>
      </c>
    </row>
    <row r="381" spans="1:22">
      <c r="A381" s="54">
        <v>93921</v>
      </c>
      <c r="B381" s="55" t="s">
        <v>1757</v>
      </c>
      <c r="C381" s="106">
        <v>2.7139999999999998E-4</v>
      </c>
      <c r="D381" s="106">
        <v>2.8130000000000001E-4</v>
      </c>
      <c r="E381" s="56">
        <v>109806.1</v>
      </c>
      <c r="F381" s="56">
        <v>126246</v>
      </c>
      <c r="G381" s="56">
        <v>576002</v>
      </c>
      <c r="H381" s="56"/>
      <c r="I381" s="57">
        <v>10822</v>
      </c>
      <c r="J381" s="57">
        <v>504761</v>
      </c>
      <c r="K381" s="57">
        <v>39451</v>
      </c>
      <c r="L381" s="56">
        <v>14895</v>
      </c>
      <c r="M381" s="56"/>
      <c r="N381" s="57">
        <v>20184</v>
      </c>
      <c r="O381" s="57">
        <v>186305</v>
      </c>
      <c r="P381" s="57">
        <v>0</v>
      </c>
      <c r="Q381" s="56">
        <v>6797</v>
      </c>
      <c r="R381" s="57">
        <f t="shared" si="5"/>
        <v>318456</v>
      </c>
      <c r="S381" s="56"/>
      <c r="T381" s="57">
        <v>153957</v>
      </c>
      <c r="U381" s="58">
        <v>4443</v>
      </c>
      <c r="V381" s="58">
        <v>158400</v>
      </c>
    </row>
    <row r="382" spans="1:22">
      <c r="A382" s="54">
        <v>93931</v>
      </c>
      <c r="B382" s="55" t="s">
        <v>1758</v>
      </c>
      <c r="C382" s="106">
        <v>5.2260000000000002E-4</v>
      </c>
      <c r="D382" s="106">
        <v>5.1309999999999995E-4</v>
      </c>
      <c r="E382" s="56">
        <v>190729.08000000002</v>
      </c>
      <c r="F382" s="56">
        <v>230276</v>
      </c>
      <c r="G382" s="56">
        <v>1109132</v>
      </c>
      <c r="H382" s="56"/>
      <c r="I382" s="57">
        <v>20839</v>
      </c>
      <c r="J382" s="57">
        <v>971953</v>
      </c>
      <c r="K382" s="57">
        <v>75966</v>
      </c>
      <c r="L382" s="56">
        <v>197494</v>
      </c>
      <c r="M382" s="56"/>
      <c r="N382" s="57">
        <v>38865</v>
      </c>
      <c r="O382" s="57">
        <v>358743</v>
      </c>
      <c r="P382" s="57">
        <v>0</v>
      </c>
      <c r="Q382" s="56">
        <v>14064</v>
      </c>
      <c r="R382" s="57">
        <f t="shared" si="5"/>
        <v>613210</v>
      </c>
      <c r="S382" s="56"/>
      <c r="T382" s="57">
        <v>296455</v>
      </c>
      <c r="U382" s="58">
        <v>86279</v>
      </c>
      <c r="V382" s="58">
        <v>382733</v>
      </c>
    </row>
    <row r="383" spans="1:22">
      <c r="A383" s="54">
        <v>94001</v>
      </c>
      <c r="B383" s="55" t="s">
        <v>1759</v>
      </c>
      <c r="C383" s="106">
        <v>9.0240000000000003E-4</v>
      </c>
      <c r="D383" s="106">
        <v>8.1820000000000005E-4</v>
      </c>
      <c r="E383" s="56">
        <v>359460.23999999993</v>
      </c>
      <c r="F383" s="56">
        <v>367203</v>
      </c>
      <c r="G383" s="56">
        <v>1915195</v>
      </c>
      <c r="H383" s="56"/>
      <c r="I383" s="57">
        <v>35983</v>
      </c>
      <c r="J383" s="57">
        <v>1678321</v>
      </c>
      <c r="K383" s="57">
        <v>131174</v>
      </c>
      <c r="L383" s="56">
        <v>36363</v>
      </c>
      <c r="M383" s="56"/>
      <c r="N383" s="57">
        <v>67111</v>
      </c>
      <c r="O383" s="57">
        <v>619460</v>
      </c>
      <c r="P383" s="57">
        <v>0</v>
      </c>
      <c r="Q383" s="56">
        <v>53646</v>
      </c>
      <c r="R383" s="57">
        <f t="shared" si="5"/>
        <v>1058861</v>
      </c>
      <c r="S383" s="56"/>
      <c r="T383" s="57">
        <v>511904</v>
      </c>
      <c r="U383" s="58">
        <v>-17058</v>
      </c>
      <c r="V383" s="58">
        <v>494846</v>
      </c>
    </row>
    <row r="384" spans="1:22">
      <c r="A384" s="54">
        <v>94002</v>
      </c>
      <c r="B384" s="55" t="s">
        <v>1760</v>
      </c>
      <c r="C384" s="106">
        <v>7.6000000000000001E-6</v>
      </c>
      <c r="D384" s="106">
        <v>8.3000000000000002E-6</v>
      </c>
      <c r="E384" s="56">
        <v>4360.1499999999987</v>
      </c>
      <c r="F384" s="56">
        <v>3725</v>
      </c>
      <c r="G384" s="56">
        <v>16130</v>
      </c>
      <c r="H384" s="56"/>
      <c r="I384" s="57">
        <v>303.05</v>
      </c>
      <c r="J384" s="57">
        <v>14135</v>
      </c>
      <c r="K384" s="57">
        <v>1105</v>
      </c>
      <c r="L384" s="56">
        <v>867</v>
      </c>
      <c r="M384" s="56"/>
      <c r="N384" s="57">
        <v>565</v>
      </c>
      <c r="O384" s="57">
        <v>5217</v>
      </c>
      <c r="P384" s="57">
        <v>0</v>
      </c>
      <c r="Q384" s="56">
        <v>430</v>
      </c>
      <c r="R384" s="57">
        <f t="shared" si="5"/>
        <v>8918</v>
      </c>
      <c r="S384" s="56"/>
      <c r="T384" s="57">
        <v>4311</v>
      </c>
      <c r="U384" s="58">
        <v>34</v>
      </c>
      <c r="V384" s="58">
        <v>4345</v>
      </c>
    </row>
    <row r="385" spans="1:22">
      <c r="A385" s="54">
        <v>94004</v>
      </c>
      <c r="B385" s="55" t="s">
        <v>1761</v>
      </c>
      <c r="C385" s="106">
        <v>2.7999999999999999E-6</v>
      </c>
      <c r="D385" s="106">
        <v>2.2000000000000001E-6</v>
      </c>
      <c r="E385" s="56">
        <v>2638.89</v>
      </c>
      <c r="F385" s="56">
        <v>987</v>
      </c>
      <c r="G385" s="56">
        <v>5943</v>
      </c>
      <c r="H385" s="56"/>
      <c r="I385" s="57">
        <v>112</v>
      </c>
      <c r="J385" s="57">
        <v>5208</v>
      </c>
      <c r="K385" s="57">
        <v>407</v>
      </c>
      <c r="L385" s="56">
        <v>1506</v>
      </c>
      <c r="M385" s="56"/>
      <c r="N385" s="57">
        <v>208</v>
      </c>
      <c r="O385" s="57">
        <v>1922</v>
      </c>
      <c r="P385" s="57">
        <v>0</v>
      </c>
      <c r="Q385" s="56">
        <v>1224</v>
      </c>
      <c r="R385" s="57">
        <f t="shared" si="5"/>
        <v>3286</v>
      </c>
      <c r="S385" s="56"/>
      <c r="T385" s="57">
        <v>1588</v>
      </c>
      <c r="U385" s="58">
        <v>-207</v>
      </c>
      <c r="V385" s="58">
        <v>1381</v>
      </c>
    </row>
    <row r="386" spans="1:22">
      <c r="A386" s="54">
        <v>94005</v>
      </c>
      <c r="B386" s="55" t="s">
        <v>1762</v>
      </c>
      <c r="C386" s="106">
        <v>5.4999999999999999E-6</v>
      </c>
      <c r="D386" s="106">
        <v>6.2999999999999998E-6</v>
      </c>
      <c r="E386" s="56">
        <v>0</v>
      </c>
      <c r="F386" s="56">
        <v>2827</v>
      </c>
      <c r="G386" s="56">
        <v>11673</v>
      </c>
      <c r="H386" s="56"/>
      <c r="I386" s="57">
        <v>219.3125</v>
      </c>
      <c r="J386" s="57">
        <v>10229</v>
      </c>
      <c r="K386" s="57">
        <v>799</v>
      </c>
      <c r="L386" s="56">
        <v>0</v>
      </c>
      <c r="M386" s="56"/>
      <c r="N386" s="57">
        <v>409</v>
      </c>
      <c r="O386" s="57">
        <v>3776</v>
      </c>
      <c r="P386" s="57">
        <v>0</v>
      </c>
      <c r="Q386" s="56">
        <v>3798</v>
      </c>
      <c r="R386" s="57">
        <f t="shared" si="5"/>
        <v>6453</v>
      </c>
      <c r="S386" s="56"/>
      <c r="T386" s="57">
        <v>3120</v>
      </c>
      <c r="U386" s="58">
        <v>-1174</v>
      </c>
      <c r="V386" s="58">
        <v>1946</v>
      </c>
    </row>
    <row r="387" spans="1:22">
      <c r="A387" s="54">
        <v>94011</v>
      </c>
      <c r="B387" s="55" t="s">
        <v>1763</v>
      </c>
      <c r="C387" s="106">
        <v>2.5599999999999999E-5</v>
      </c>
      <c r="D387" s="106">
        <v>1.3900000000000001E-5</v>
      </c>
      <c r="E387" s="56">
        <v>8013.12</v>
      </c>
      <c r="F387" s="56">
        <v>6238</v>
      </c>
      <c r="G387" s="56">
        <v>54332</v>
      </c>
      <c r="H387" s="56"/>
      <c r="I387" s="57">
        <v>1020.8</v>
      </c>
      <c r="J387" s="57">
        <v>47612</v>
      </c>
      <c r="K387" s="57">
        <v>3721</v>
      </c>
      <c r="L387" s="56">
        <v>4341</v>
      </c>
      <c r="M387" s="56"/>
      <c r="N387" s="57">
        <v>1904</v>
      </c>
      <c r="O387" s="57">
        <v>17573</v>
      </c>
      <c r="P387" s="57">
        <v>0</v>
      </c>
      <c r="Q387" s="56">
        <v>1019</v>
      </c>
      <c r="R387" s="57">
        <f t="shared" si="5"/>
        <v>30039</v>
      </c>
      <c r="S387" s="56"/>
      <c r="T387" s="57">
        <v>14522</v>
      </c>
      <c r="U387" s="58">
        <v>639</v>
      </c>
      <c r="V387" s="58">
        <v>15161</v>
      </c>
    </row>
    <row r="388" spans="1:22">
      <c r="A388" s="54">
        <v>94021</v>
      </c>
      <c r="B388" s="55" t="s">
        <v>1764</v>
      </c>
      <c r="C388" s="106">
        <v>8.1699999999999994E-5</v>
      </c>
      <c r="D388" s="106">
        <v>7.6899999999999999E-5</v>
      </c>
      <c r="E388" s="56">
        <v>34891.089999999997</v>
      </c>
      <c r="F388" s="56">
        <v>34512</v>
      </c>
      <c r="G388" s="56">
        <v>173395</v>
      </c>
      <c r="H388" s="56"/>
      <c r="I388" s="57">
        <v>3258</v>
      </c>
      <c r="J388" s="57">
        <v>151949</v>
      </c>
      <c r="K388" s="57">
        <v>11876</v>
      </c>
      <c r="L388" s="56">
        <v>14318</v>
      </c>
      <c r="M388" s="56"/>
      <c r="N388" s="57">
        <v>6076</v>
      </c>
      <c r="O388" s="57">
        <v>56084</v>
      </c>
      <c r="P388" s="57">
        <v>0</v>
      </c>
      <c r="Q388" s="56">
        <v>0</v>
      </c>
      <c r="R388" s="57">
        <f t="shared" si="5"/>
        <v>95865</v>
      </c>
      <c r="S388" s="56"/>
      <c r="T388" s="57">
        <v>46346</v>
      </c>
      <c r="U388" s="58">
        <v>5712</v>
      </c>
      <c r="V388" s="58">
        <v>52058</v>
      </c>
    </row>
    <row r="389" spans="1:22">
      <c r="A389" s="54">
        <v>94031</v>
      </c>
      <c r="B389" s="55" t="s">
        <v>1765</v>
      </c>
      <c r="C389" s="106">
        <v>8.1000000000000004E-6</v>
      </c>
      <c r="D389" s="106">
        <v>6.9E-6</v>
      </c>
      <c r="E389" s="56">
        <v>7705.65</v>
      </c>
      <c r="F389" s="56">
        <v>3097</v>
      </c>
      <c r="G389" s="56">
        <v>17191</v>
      </c>
      <c r="H389" s="56"/>
      <c r="I389" s="57">
        <v>322.98750000000001</v>
      </c>
      <c r="J389" s="57">
        <v>15065</v>
      </c>
      <c r="K389" s="57">
        <v>1177</v>
      </c>
      <c r="L389" s="56">
        <v>8044</v>
      </c>
      <c r="M389" s="56"/>
      <c r="N389" s="57">
        <v>602</v>
      </c>
      <c r="O389" s="57">
        <v>5560</v>
      </c>
      <c r="P389" s="57">
        <v>0</v>
      </c>
      <c r="Q389" s="56">
        <v>81.59</v>
      </c>
      <c r="R389" s="57">
        <f t="shared" si="5"/>
        <v>9505</v>
      </c>
      <c r="S389" s="56"/>
      <c r="T389" s="57">
        <v>4595</v>
      </c>
      <c r="U389" s="58">
        <v>2417</v>
      </c>
      <c r="V389" s="58">
        <v>7012</v>
      </c>
    </row>
    <row r="390" spans="1:22">
      <c r="A390" s="54">
        <v>94101</v>
      </c>
      <c r="B390" s="55" t="s">
        <v>1766</v>
      </c>
      <c r="C390" s="106">
        <v>1.85028E-2</v>
      </c>
      <c r="D390" s="106">
        <v>1.9464599999999999E-2</v>
      </c>
      <c r="E390" s="56">
        <v>7542805.6200000001</v>
      </c>
      <c r="F390" s="56">
        <v>8735596</v>
      </c>
      <c r="G390" s="56">
        <v>39269140</v>
      </c>
      <c r="H390" s="56"/>
      <c r="I390" s="57">
        <v>737799.15</v>
      </c>
      <c r="J390" s="57">
        <v>34412285</v>
      </c>
      <c r="K390" s="57">
        <v>2689586</v>
      </c>
      <c r="L390" s="56">
        <v>420795</v>
      </c>
      <c r="M390" s="56"/>
      <c r="N390" s="57">
        <v>1376035</v>
      </c>
      <c r="O390" s="57">
        <v>12701395</v>
      </c>
      <c r="P390" s="57">
        <v>0</v>
      </c>
      <c r="Q390" s="56">
        <v>1094802</v>
      </c>
      <c r="R390" s="57">
        <f t="shared" si="5"/>
        <v>21710890</v>
      </c>
      <c r="S390" s="56"/>
      <c r="T390" s="57">
        <v>10496065</v>
      </c>
      <c r="U390" s="58">
        <v>-261265</v>
      </c>
      <c r="V390" s="58">
        <v>10234799</v>
      </c>
    </row>
    <row r="391" spans="1:22">
      <c r="A391" s="54">
        <v>94102</v>
      </c>
      <c r="B391" s="55" t="s">
        <v>1767</v>
      </c>
      <c r="C391" s="106">
        <v>2.7569999999999998E-4</v>
      </c>
      <c r="D391" s="106">
        <v>2.7809999999999998E-4</v>
      </c>
      <c r="E391" s="56">
        <v>89848.97</v>
      </c>
      <c r="F391" s="56">
        <v>124810</v>
      </c>
      <c r="G391" s="56">
        <v>585128</v>
      </c>
      <c r="H391" s="56"/>
      <c r="I391" s="57">
        <v>10994</v>
      </c>
      <c r="J391" s="57">
        <v>512758</v>
      </c>
      <c r="K391" s="57">
        <v>40076</v>
      </c>
      <c r="L391" s="56">
        <v>5166</v>
      </c>
      <c r="M391" s="56"/>
      <c r="N391" s="57">
        <v>20504</v>
      </c>
      <c r="O391" s="57">
        <v>189256</v>
      </c>
      <c r="P391" s="57">
        <v>0</v>
      </c>
      <c r="Q391" s="56">
        <v>36634</v>
      </c>
      <c r="R391" s="57">
        <f t="shared" ref="R391:R454" si="6">IF(J391&gt;O391,J391-O391,O391-J391)</f>
        <v>323502</v>
      </c>
      <c r="S391" s="56"/>
      <c r="T391" s="57">
        <v>156396</v>
      </c>
      <c r="U391" s="58">
        <v>-8485</v>
      </c>
      <c r="V391" s="58">
        <v>147911</v>
      </c>
    </row>
    <row r="392" spans="1:22">
      <c r="A392" s="54">
        <v>94108</v>
      </c>
      <c r="B392" s="55" t="s">
        <v>1768</v>
      </c>
      <c r="C392" s="106">
        <v>3.1809999999999998E-4</v>
      </c>
      <c r="D392" s="106">
        <v>3.991E-4</v>
      </c>
      <c r="E392" s="56">
        <v>100947.51999999999</v>
      </c>
      <c r="F392" s="56">
        <v>179114</v>
      </c>
      <c r="G392" s="56">
        <v>675115</v>
      </c>
      <c r="H392" s="56"/>
      <c r="I392" s="57">
        <v>12684</v>
      </c>
      <c r="J392" s="57">
        <v>591616</v>
      </c>
      <c r="K392" s="57">
        <v>46239</v>
      </c>
      <c r="L392" s="56">
        <v>0</v>
      </c>
      <c r="M392" s="56"/>
      <c r="N392" s="57">
        <v>23657</v>
      </c>
      <c r="O392" s="57">
        <v>218362</v>
      </c>
      <c r="P392" s="57">
        <v>0</v>
      </c>
      <c r="Q392" s="56">
        <v>121376</v>
      </c>
      <c r="R392" s="57">
        <f t="shared" si="6"/>
        <v>373254</v>
      </c>
      <c r="S392" s="56"/>
      <c r="T392" s="57">
        <v>180448</v>
      </c>
      <c r="U392" s="58">
        <v>-40521</v>
      </c>
      <c r="V392" s="58">
        <v>139927</v>
      </c>
    </row>
    <row r="393" spans="1:22">
      <c r="A393" s="54">
        <v>94109</v>
      </c>
      <c r="B393" s="55" t="s">
        <v>1769</v>
      </c>
      <c r="C393" s="106">
        <v>1.0399999999999999E-4</v>
      </c>
      <c r="D393" s="106">
        <v>1.359E-4</v>
      </c>
      <c r="E393" s="56">
        <v>30807.5</v>
      </c>
      <c r="F393" s="56">
        <v>60991</v>
      </c>
      <c r="G393" s="56">
        <v>220722.84</v>
      </c>
      <c r="H393" s="56"/>
      <c r="I393" s="57">
        <v>4147</v>
      </c>
      <c r="J393" s="57">
        <v>193424</v>
      </c>
      <c r="K393" s="57">
        <v>15118</v>
      </c>
      <c r="L393" s="56">
        <v>1600</v>
      </c>
      <c r="M393" s="56"/>
      <c r="N393" s="57">
        <v>7734</v>
      </c>
      <c r="O393" s="57">
        <v>71392</v>
      </c>
      <c r="P393" s="57">
        <v>0</v>
      </c>
      <c r="Q393" s="56">
        <v>33989</v>
      </c>
      <c r="R393" s="57">
        <f t="shared" si="6"/>
        <v>122032</v>
      </c>
      <c r="S393" s="56"/>
      <c r="T393" s="57">
        <v>58996</v>
      </c>
      <c r="U393" s="58">
        <v>-8690</v>
      </c>
      <c r="V393" s="58">
        <v>50306</v>
      </c>
    </row>
    <row r="394" spans="1:22">
      <c r="A394" s="54">
        <v>94111</v>
      </c>
      <c r="B394" s="55" t="s">
        <v>1770</v>
      </c>
      <c r="C394" s="106">
        <v>2.5623300000000002E-2</v>
      </c>
      <c r="D394" s="106">
        <v>2.7054000000000002E-2</v>
      </c>
      <c r="E394" s="56">
        <v>10028319.130000001</v>
      </c>
      <c r="F394" s="56">
        <v>12141673</v>
      </c>
      <c r="G394" s="56">
        <v>54381226</v>
      </c>
      <c r="H394" s="56"/>
      <c r="I394" s="57">
        <v>1021729</v>
      </c>
      <c r="J394" s="57">
        <v>47655290</v>
      </c>
      <c r="K394" s="57">
        <v>3724629</v>
      </c>
      <c r="L394" s="56">
        <v>15132</v>
      </c>
      <c r="M394" s="56"/>
      <c r="N394" s="57">
        <v>1905579</v>
      </c>
      <c r="O394" s="57">
        <v>17589319</v>
      </c>
      <c r="P394" s="57">
        <v>0</v>
      </c>
      <c r="Q394" s="56">
        <v>1552982</v>
      </c>
      <c r="R394" s="57">
        <f t="shared" si="6"/>
        <v>30065971</v>
      </c>
      <c r="S394" s="56"/>
      <c r="T394" s="57">
        <v>14535304</v>
      </c>
      <c r="U394" s="58">
        <v>-430419</v>
      </c>
      <c r="V394" s="58">
        <v>14104885</v>
      </c>
    </row>
    <row r="395" spans="1:22">
      <c r="A395" s="54">
        <v>94112</v>
      </c>
      <c r="B395" s="55" t="s">
        <v>1771</v>
      </c>
      <c r="C395" s="106">
        <v>1.6530000000000001E-4</v>
      </c>
      <c r="D395" s="106">
        <v>1.6909999999999999E-4</v>
      </c>
      <c r="E395" s="56">
        <v>58678.14</v>
      </c>
      <c r="F395" s="56">
        <v>75891</v>
      </c>
      <c r="G395" s="56">
        <v>350822</v>
      </c>
      <c r="H395" s="56"/>
      <c r="I395" s="57">
        <v>6591</v>
      </c>
      <c r="J395" s="57">
        <v>307432</v>
      </c>
      <c r="K395" s="57">
        <v>24028</v>
      </c>
      <c r="L395" s="56">
        <v>0</v>
      </c>
      <c r="M395" s="56"/>
      <c r="N395" s="57">
        <v>12293</v>
      </c>
      <c r="O395" s="57">
        <v>113472</v>
      </c>
      <c r="P395" s="57">
        <v>0</v>
      </c>
      <c r="Q395" s="56">
        <v>20904</v>
      </c>
      <c r="R395" s="57">
        <f t="shared" si="6"/>
        <v>193960</v>
      </c>
      <c r="S395" s="56"/>
      <c r="T395" s="57">
        <v>93770</v>
      </c>
      <c r="U395" s="58">
        <v>-7213</v>
      </c>
      <c r="V395" s="58">
        <v>86557</v>
      </c>
    </row>
    <row r="396" spans="1:22">
      <c r="A396" s="54">
        <v>94117</v>
      </c>
      <c r="B396" s="55" t="s">
        <v>1772</v>
      </c>
      <c r="C396" s="106">
        <v>4.0709999999999997E-4</v>
      </c>
      <c r="D396" s="106">
        <v>4.17E-4</v>
      </c>
      <c r="E396" s="56">
        <v>162037.82999999999</v>
      </c>
      <c r="F396" s="56">
        <v>187147</v>
      </c>
      <c r="G396" s="56">
        <v>864003</v>
      </c>
      <c r="H396" s="56"/>
      <c r="I396" s="57">
        <v>16233</v>
      </c>
      <c r="J396" s="57">
        <v>757142</v>
      </c>
      <c r="K396" s="57">
        <v>59176</v>
      </c>
      <c r="L396" s="56">
        <v>12662</v>
      </c>
      <c r="M396" s="56"/>
      <c r="N396" s="57">
        <v>30276</v>
      </c>
      <c r="O396" s="57">
        <v>279457</v>
      </c>
      <c r="P396" s="57">
        <v>0</v>
      </c>
      <c r="Q396" s="56">
        <v>9635</v>
      </c>
      <c r="R396" s="57">
        <f t="shared" si="6"/>
        <v>477685</v>
      </c>
      <c r="S396" s="56"/>
      <c r="T396" s="57">
        <v>230935</v>
      </c>
      <c r="U396" s="58">
        <v>2033</v>
      </c>
      <c r="V396" s="58">
        <v>232968</v>
      </c>
    </row>
    <row r="397" spans="1:22">
      <c r="A397" s="54">
        <v>94118</v>
      </c>
      <c r="B397" s="55" t="s">
        <v>1773</v>
      </c>
      <c r="C397" s="106">
        <v>1.63E-4</v>
      </c>
      <c r="D397" s="106">
        <v>1.918E-4</v>
      </c>
      <c r="E397" s="56">
        <v>53075.589999999989</v>
      </c>
      <c r="F397" s="56">
        <v>86079</v>
      </c>
      <c r="G397" s="56">
        <v>345941</v>
      </c>
      <c r="H397" s="56"/>
      <c r="I397" s="57">
        <v>6499.625</v>
      </c>
      <c r="J397" s="57">
        <v>303154</v>
      </c>
      <c r="K397" s="57">
        <v>23694</v>
      </c>
      <c r="L397" s="56">
        <v>0</v>
      </c>
      <c r="M397" s="56"/>
      <c r="N397" s="57">
        <v>12122</v>
      </c>
      <c r="O397" s="57">
        <v>111893</v>
      </c>
      <c r="P397" s="57">
        <v>0</v>
      </c>
      <c r="Q397" s="56">
        <v>58615</v>
      </c>
      <c r="R397" s="57">
        <f t="shared" si="6"/>
        <v>191261</v>
      </c>
      <c r="S397" s="56"/>
      <c r="T397" s="57">
        <v>92465</v>
      </c>
      <c r="U397" s="58">
        <v>-20217</v>
      </c>
      <c r="V397" s="58">
        <v>72248</v>
      </c>
    </row>
    <row r="398" spans="1:22">
      <c r="A398" s="54">
        <v>94121</v>
      </c>
      <c r="B398" s="55" t="s">
        <v>1774</v>
      </c>
      <c r="C398" s="106">
        <v>1.12823E-2</v>
      </c>
      <c r="D398" s="106">
        <v>1.20112E-2</v>
      </c>
      <c r="E398" s="56">
        <v>4810509.83</v>
      </c>
      <c r="F398" s="56">
        <v>5390554</v>
      </c>
      <c r="G398" s="56">
        <v>23944820</v>
      </c>
      <c r="H398" s="56"/>
      <c r="I398" s="57">
        <v>449882</v>
      </c>
      <c r="J398" s="57">
        <v>20983295</v>
      </c>
      <c r="K398" s="57">
        <v>1640006</v>
      </c>
      <c r="L398" s="56">
        <v>42878</v>
      </c>
      <c r="M398" s="56"/>
      <c r="N398" s="57">
        <v>839053</v>
      </c>
      <c r="O398" s="57">
        <v>7744825</v>
      </c>
      <c r="P398" s="57">
        <v>0</v>
      </c>
      <c r="Q398" s="56">
        <v>429585</v>
      </c>
      <c r="R398" s="57">
        <f t="shared" si="6"/>
        <v>13238470</v>
      </c>
      <c r="S398" s="56"/>
      <c r="T398" s="57">
        <v>6400099</v>
      </c>
      <c r="U398" s="58">
        <v>-137554</v>
      </c>
      <c r="V398" s="58">
        <v>6262545</v>
      </c>
    </row>
    <row r="399" spans="1:22">
      <c r="A399" s="54">
        <v>94127</v>
      </c>
      <c r="B399" s="55" t="s">
        <v>1775</v>
      </c>
      <c r="C399" s="106">
        <v>1.528E-4</v>
      </c>
      <c r="D399" s="106">
        <v>1.4530000000000001E-4</v>
      </c>
      <c r="E399" s="56">
        <v>61107.729999999996</v>
      </c>
      <c r="F399" s="56">
        <v>65210</v>
      </c>
      <c r="G399" s="56">
        <v>324293</v>
      </c>
      <c r="H399" s="56"/>
      <c r="I399" s="57">
        <v>6092.9</v>
      </c>
      <c r="J399" s="57">
        <v>284184</v>
      </c>
      <c r="K399" s="57">
        <v>22211</v>
      </c>
      <c r="L399" s="56">
        <v>3883</v>
      </c>
      <c r="M399" s="56"/>
      <c r="N399" s="57">
        <v>11364</v>
      </c>
      <c r="O399" s="57">
        <v>104891</v>
      </c>
      <c r="P399" s="57">
        <v>0</v>
      </c>
      <c r="Q399" s="56">
        <v>617</v>
      </c>
      <c r="R399" s="57">
        <f t="shared" si="6"/>
        <v>179293</v>
      </c>
      <c r="S399" s="56"/>
      <c r="T399" s="57">
        <v>86679</v>
      </c>
      <c r="U399" s="58">
        <v>1078</v>
      </c>
      <c r="V399" s="58">
        <v>87756</v>
      </c>
    </row>
    <row r="400" spans="1:22">
      <c r="A400" s="54">
        <v>94131</v>
      </c>
      <c r="B400" s="55" t="s">
        <v>1776</v>
      </c>
      <c r="C400" s="106">
        <v>2.0049999999999999E-4</v>
      </c>
      <c r="D400" s="106">
        <v>2.0120000000000001E-4</v>
      </c>
      <c r="E400" s="56">
        <v>83859.38</v>
      </c>
      <c r="F400" s="56">
        <v>90297</v>
      </c>
      <c r="G400" s="56">
        <v>425528</v>
      </c>
      <c r="H400" s="56"/>
      <c r="I400" s="57">
        <v>7994.9375</v>
      </c>
      <c r="J400" s="57">
        <v>372898</v>
      </c>
      <c r="K400" s="57">
        <v>29145</v>
      </c>
      <c r="L400" s="56">
        <v>4546</v>
      </c>
      <c r="M400" s="56"/>
      <c r="N400" s="57">
        <v>14911</v>
      </c>
      <c r="O400" s="57">
        <v>137635</v>
      </c>
      <c r="P400" s="57">
        <v>0</v>
      </c>
      <c r="Q400" s="56">
        <v>1120</v>
      </c>
      <c r="R400" s="57">
        <f t="shared" si="6"/>
        <v>235263</v>
      </c>
      <c r="S400" s="56"/>
      <c r="T400" s="57">
        <v>113737</v>
      </c>
      <c r="U400" s="58">
        <v>979</v>
      </c>
      <c r="V400" s="58">
        <v>114716</v>
      </c>
    </row>
    <row r="401" spans="1:22">
      <c r="A401" s="54">
        <v>94151</v>
      </c>
      <c r="B401" s="55" t="s">
        <v>1777</v>
      </c>
      <c r="C401" s="106">
        <v>4.2870000000000001E-4</v>
      </c>
      <c r="D401" s="106">
        <v>4.0200000000000001E-4</v>
      </c>
      <c r="E401" s="56">
        <v>148093.01</v>
      </c>
      <c r="F401" s="56">
        <v>180415</v>
      </c>
      <c r="G401" s="56">
        <v>909845</v>
      </c>
      <c r="H401" s="56"/>
      <c r="I401" s="57">
        <v>17094</v>
      </c>
      <c r="J401" s="57">
        <v>797314</v>
      </c>
      <c r="K401" s="57">
        <v>62316</v>
      </c>
      <c r="L401" s="56">
        <v>0</v>
      </c>
      <c r="M401" s="56"/>
      <c r="N401" s="57">
        <v>31882</v>
      </c>
      <c r="O401" s="57">
        <v>294285</v>
      </c>
      <c r="P401" s="57">
        <v>0</v>
      </c>
      <c r="Q401" s="56">
        <v>19133</v>
      </c>
      <c r="R401" s="57">
        <f t="shared" si="6"/>
        <v>503029</v>
      </c>
      <c r="S401" s="56"/>
      <c r="T401" s="57">
        <v>243188</v>
      </c>
      <c r="U401" s="58">
        <v>-6795</v>
      </c>
      <c r="V401" s="58">
        <v>236393</v>
      </c>
    </row>
    <row r="402" spans="1:22">
      <c r="A402" s="54">
        <v>94157</v>
      </c>
      <c r="B402" s="55" t="s">
        <v>1778</v>
      </c>
      <c r="C402" s="106">
        <v>9.3999999999999998E-6</v>
      </c>
      <c r="D402" s="106">
        <v>8.1999999999999994E-6</v>
      </c>
      <c r="E402" s="56">
        <v>4972.8100000000013</v>
      </c>
      <c r="F402" s="56">
        <v>3680</v>
      </c>
      <c r="G402" s="56">
        <v>19950</v>
      </c>
      <c r="H402" s="56"/>
      <c r="I402" s="57">
        <v>374.82499999999999</v>
      </c>
      <c r="J402" s="57">
        <v>17483</v>
      </c>
      <c r="K402" s="57">
        <v>1366</v>
      </c>
      <c r="L402" s="56">
        <v>5150</v>
      </c>
      <c r="M402" s="56"/>
      <c r="N402" s="57">
        <v>699</v>
      </c>
      <c r="O402" s="57">
        <v>6453</v>
      </c>
      <c r="P402" s="57">
        <v>0</v>
      </c>
      <c r="Q402" s="56">
        <v>0</v>
      </c>
      <c r="R402" s="57">
        <f t="shared" si="6"/>
        <v>11030</v>
      </c>
      <c r="S402" s="56"/>
      <c r="T402" s="57">
        <v>5332</v>
      </c>
      <c r="U402" s="58">
        <v>1947</v>
      </c>
      <c r="V402" s="58">
        <v>7280</v>
      </c>
    </row>
    <row r="403" spans="1:22">
      <c r="A403" s="54">
        <v>94161</v>
      </c>
      <c r="B403" s="55" t="s">
        <v>1779</v>
      </c>
      <c r="C403" s="106">
        <v>5.7899999999999998E-5</v>
      </c>
      <c r="D403" s="106">
        <v>5.3000000000000001E-5</v>
      </c>
      <c r="E403" s="56">
        <v>21890.33</v>
      </c>
      <c r="F403" s="56">
        <v>23786</v>
      </c>
      <c r="G403" s="56">
        <v>122883</v>
      </c>
      <c r="H403" s="56"/>
      <c r="I403" s="57">
        <v>2309</v>
      </c>
      <c r="J403" s="57">
        <v>107685</v>
      </c>
      <c r="K403" s="57">
        <v>8416</v>
      </c>
      <c r="L403" s="56">
        <v>8543</v>
      </c>
      <c r="M403" s="56"/>
      <c r="N403" s="57">
        <v>4306</v>
      </c>
      <c r="O403" s="57">
        <v>39746</v>
      </c>
      <c r="P403" s="57">
        <v>0</v>
      </c>
      <c r="Q403" s="56">
        <v>0</v>
      </c>
      <c r="R403" s="57">
        <f t="shared" si="6"/>
        <v>67939</v>
      </c>
      <c r="S403" s="56"/>
      <c r="T403" s="57">
        <v>32845</v>
      </c>
      <c r="U403" s="58">
        <v>3088</v>
      </c>
      <c r="V403" s="58">
        <v>35933</v>
      </c>
    </row>
    <row r="404" spans="1:22">
      <c r="A404" s="54">
        <v>94168</v>
      </c>
      <c r="B404" s="55" t="s">
        <v>1780</v>
      </c>
      <c r="C404" s="106">
        <v>3.4E-5</v>
      </c>
      <c r="D404" s="106">
        <v>4.18E-5</v>
      </c>
      <c r="E404" s="56">
        <v>12127.4</v>
      </c>
      <c r="F404" s="56">
        <v>18760</v>
      </c>
      <c r="G404" s="56">
        <v>72159.39</v>
      </c>
      <c r="H404" s="56"/>
      <c r="I404" s="57">
        <v>1355.75</v>
      </c>
      <c r="J404" s="57">
        <v>63235</v>
      </c>
      <c r="K404" s="57">
        <v>4942</v>
      </c>
      <c r="L404" s="56">
        <v>0</v>
      </c>
      <c r="M404" s="56"/>
      <c r="N404" s="57">
        <v>2529</v>
      </c>
      <c r="O404" s="57">
        <v>23340</v>
      </c>
      <c r="P404" s="57">
        <v>0</v>
      </c>
      <c r="Q404" s="56">
        <v>13113</v>
      </c>
      <c r="R404" s="57">
        <f t="shared" si="6"/>
        <v>39895</v>
      </c>
      <c r="S404" s="56"/>
      <c r="T404" s="57">
        <v>19287</v>
      </c>
      <c r="U404" s="58">
        <v>-4643</v>
      </c>
      <c r="V404" s="58">
        <v>14644</v>
      </c>
    </row>
    <row r="405" spans="1:22">
      <c r="A405" s="54">
        <v>94171</v>
      </c>
      <c r="B405" s="55" t="s">
        <v>1781</v>
      </c>
      <c r="C405" s="106">
        <v>5.5000000000000002E-5</v>
      </c>
      <c r="D405" s="106">
        <v>5.1100000000000002E-5</v>
      </c>
      <c r="E405" s="56">
        <v>21113.95</v>
      </c>
      <c r="F405" s="56">
        <v>22933</v>
      </c>
      <c r="G405" s="56">
        <v>116728</v>
      </c>
      <c r="H405" s="56"/>
      <c r="I405" s="57">
        <v>2193.125</v>
      </c>
      <c r="J405" s="57">
        <v>102291.31</v>
      </c>
      <c r="K405" s="57">
        <v>7995</v>
      </c>
      <c r="L405" s="56">
        <v>6490</v>
      </c>
      <c r="M405" s="56"/>
      <c r="N405" s="57">
        <v>4090</v>
      </c>
      <c r="O405" s="57">
        <v>37755.19</v>
      </c>
      <c r="P405" s="57">
        <v>0</v>
      </c>
      <c r="Q405" s="56">
        <v>1733</v>
      </c>
      <c r="R405" s="57">
        <f t="shared" si="6"/>
        <v>64536.119999999995</v>
      </c>
      <c r="S405" s="56"/>
      <c r="T405" s="57">
        <v>31200</v>
      </c>
      <c r="U405" s="58">
        <v>1343</v>
      </c>
      <c r="V405" s="58">
        <v>32542</v>
      </c>
    </row>
    <row r="406" spans="1:22">
      <c r="A406" s="54">
        <v>94172</v>
      </c>
      <c r="B406" s="55" t="s">
        <v>1782</v>
      </c>
      <c r="C406" s="106">
        <v>2.6699999999999998E-4</v>
      </c>
      <c r="D406" s="106">
        <v>3.1379999999999998E-4</v>
      </c>
      <c r="E406" s="56">
        <v>80978.819999999978</v>
      </c>
      <c r="F406" s="56">
        <v>140832</v>
      </c>
      <c r="G406" s="56">
        <v>566663</v>
      </c>
      <c r="H406" s="56"/>
      <c r="I406" s="57">
        <v>10646.625</v>
      </c>
      <c r="J406" s="57">
        <v>496578</v>
      </c>
      <c r="K406" s="57">
        <v>38811</v>
      </c>
      <c r="L406" s="56">
        <v>0</v>
      </c>
      <c r="M406" s="56"/>
      <c r="N406" s="57">
        <v>19857</v>
      </c>
      <c r="O406" s="57">
        <v>183284</v>
      </c>
      <c r="P406" s="57">
        <v>0</v>
      </c>
      <c r="Q406" s="56">
        <v>98660</v>
      </c>
      <c r="R406" s="57">
        <f t="shared" si="6"/>
        <v>313294</v>
      </c>
      <c r="S406" s="56"/>
      <c r="T406" s="57">
        <v>151461</v>
      </c>
      <c r="U406" s="58">
        <v>-34663</v>
      </c>
      <c r="V406" s="58">
        <v>116798</v>
      </c>
    </row>
    <row r="407" spans="1:22">
      <c r="A407" s="54">
        <v>94201</v>
      </c>
      <c r="B407" s="55" t="s">
        <v>1783</v>
      </c>
      <c r="C407" s="106">
        <v>3.4813000000000001E-3</v>
      </c>
      <c r="D407" s="106">
        <v>3.4115E-3</v>
      </c>
      <c r="E407" s="56">
        <v>1407553.7100000002</v>
      </c>
      <c r="F407" s="56">
        <v>1531061</v>
      </c>
      <c r="G407" s="56">
        <v>7388485</v>
      </c>
      <c r="H407" s="56"/>
      <c r="I407" s="57">
        <v>138817</v>
      </c>
      <c r="J407" s="57">
        <v>6474668</v>
      </c>
      <c r="K407" s="57">
        <v>506045</v>
      </c>
      <c r="L407" s="56">
        <v>56033</v>
      </c>
      <c r="M407" s="56"/>
      <c r="N407" s="57">
        <v>258901</v>
      </c>
      <c r="O407" s="57">
        <v>2389766</v>
      </c>
      <c r="P407" s="57">
        <v>0</v>
      </c>
      <c r="Q407" s="56">
        <v>3701</v>
      </c>
      <c r="R407" s="57">
        <f t="shared" si="6"/>
        <v>4084902</v>
      </c>
      <c r="S407" s="56"/>
      <c r="T407" s="57">
        <v>1974834</v>
      </c>
      <c r="U407" s="58">
        <v>16227</v>
      </c>
      <c r="V407" s="58">
        <v>1991060</v>
      </c>
    </row>
    <row r="408" spans="1:22">
      <c r="A408" s="54">
        <v>94204</v>
      </c>
      <c r="B408" s="55" t="s">
        <v>1784</v>
      </c>
      <c r="C408" s="106">
        <v>2.4899999999999999E-5</v>
      </c>
      <c r="D408" s="106">
        <v>2.41E-5</v>
      </c>
      <c r="E408" s="56">
        <v>15445.930000000004</v>
      </c>
      <c r="F408" s="56">
        <v>10816</v>
      </c>
      <c r="G408" s="56">
        <v>52846</v>
      </c>
      <c r="H408" s="56"/>
      <c r="I408" s="57">
        <v>993</v>
      </c>
      <c r="J408" s="57">
        <v>46310</v>
      </c>
      <c r="K408" s="57">
        <v>3619</v>
      </c>
      <c r="L408" s="56">
        <v>10811</v>
      </c>
      <c r="M408" s="56"/>
      <c r="N408" s="57">
        <v>1852</v>
      </c>
      <c r="O408" s="57">
        <v>17093</v>
      </c>
      <c r="P408" s="57">
        <v>0</v>
      </c>
      <c r="Q408" s="56">
        <v>0</v>
      </c>
      <c r="R408" s="57">
        <f t="shared" si="6"/>
        <v>29217</v>
      </c>
      <c r="S408" s="56"/>
      <c r="T408" s="57">
        <v>14125</v>
      </c>
      <c r="U408" s="58">
        <v>3721</v>
      </c>
      <c r="V408" s="58">
        <v>17846</v>
      </c>
    </row>
    <row r="409" spans="1:22">
      <c r="A409" s="54">
        <v>94205</v>
      </c>
      <c r="B409" s="55" t="s">
        <v>1785</v>
      </c>
      <c r="C409" s="106">
        <v>2.6100000000000001E-5</v>
      </c>
      <c r="D409" s="106">
        <v>2.6999999999999999E-5</v>
      </c>
      <c r="E409" s="56">
        <v>12435.88</v>
      </c>
      <c r="F409" s="56">
        <v>12117</v>
      </c>
      <c r="G409" s="56">
        <v>55393</v>
      </c>
      <c r="H409" s="56"/>
      <c r="I409" s="57">
        <v>1040.7375</v>
      </c>
      <c r="J409" s="57">
        <v>48542</v>
      </c>
      <c r="K409" s="57">
        <v>3794</v>
      </c>
      <c r="L409" s="56">
        <v>2432</v>
      </c>
      <c r="M409" s="56"/>
      <c r="N409" s="57">
        <v>1941</v>
      </c>
      <c r="O409" s="57">
        <v>17917</v>
      </c>
      <c r="P409" s="57">
        <v>0</v>
      </c>
      <c r="Q409" s="56">
        <v>6726</v>
      </c>
      <c r="R409" s="57">
        <f t="shared" si="6"/>
        <v>30625</v>
      </c>
      <c r="S409" s="56"/>
      <c r="T409" s="57">
        <v>14806</v>
      </c>
      <c r="U409" s="58">
        <v>-2600</v>
      </c>
      <c r="V409" s="58">
        <v>12205</v>
      </c>
    </row>
    <row r="410" spans="1:22">
      <c r="A410" s="54">
        <v>94209</v>
      </c>
      <c r="B410" s="55" t="s">
        <v>1786</v>
      </c>
      <c r="C410" s="106">
        <v>3.2909999999999998E-4</v>
      </c>
      <c r="D410" s="106">
        <v>3.5540000000000002E-4</v>
      </c>
      <c r="E410" s="56">
        <v>141049.71999999997</v>
      </c>
      <c r="F410" s="56">
        <v>159501</v>
      </c>
      <c r="G410" s="56">
        <v>698460</v>
      </c>
      <c r="H410" s="56"/>
      <c r="I410" s="57">
        <v>13123</v>
      </c>
      <c r="J410" s="57">
        <v>612074</v>
      </c>
      <c r="K410" s="57">
        <v>47838</v>
      </c>
      <c r="L410" s="56">
        <v>24306</v>
      </c>
      <c r="M410" s="56"/>
      <c r="N410" s="57">
        <v>24475</v>
      </c>
      <c r="O410" s="57">
        <v>225913</v>
      </c>
      <c r="P410" s="57">
        <v>0</v>
      </c>
      <c r="Q410" s="56">
        <v>9712</v>
      </c>
      <c r="R410" s="57">
        <f t="shared" si="6"/>
        <v>386161</v>
      </c>
      <c r="S410" s="56"/>
      <c r="T410" s="57">
        <v>186688</v>
      </c>
      <c r="U410" s="58">
        <v>6974</v>
      </c>
      <c r="V410" s="58">
        <v>193663</v>
      </c>
    </row>
    <row r="411" spans="1:22">
      <c r="A411" s="54">
        <v>94211</v>
      </c>
      <c r="B411" s="55" t="s">
        <v>1787</v>
      </c>
      <c r="C411" s="106">
        <v>1.2400000000000001E-4</v>
      </c>
      <c r="D411" s="106">
        <v>1.217E-4</v>
      </c>
      <c r="E411" s="56">
        <v>49845.440000000002</v>
      </c>
      <c r="F411" s="56">
        <v>54618</v>
      </c>
      <c r="G411" s="56">
        <v>263170</v>
      </c>
      <c r="H411" s="56"/>
      <c r="I411" s="57">
        <v>4944.5</v>
      </c>
      <c r="J411" s="57">
        <v>230620</v>
      </c>
      <c r="K411" s="57">
        <v>18025</v>
      </c>
      <c r="L411" s="56">
        <v>334</v>
      </c>
      <c r="M411" s="56"/>
      <c r="N411" s="57">
        <v>9222</v>
      </c>
      <c r="O411" s="57">
        <v>85121</v>
      </c>
      <c r="P411" s="57">
        <v>0</v>
      </c>
      <c r="Q411" s="56">
        <v>30868</v>
      </c>
      <c r="R411" s="57">
        <f t="shared" si="6"/>
        <v>145499</v>
      </c>
      <c r="S411" s="56"/>
      <c r="T411" s="57">
        <v>70341</v>
      </c>
      <c r="U411" s="58">
        <v>-13456</v>
      </c>
      <c r="V411" s="58">
        <v>56885</v>
      </c>
    </row>
    <row r="412" spans="1:22">
      <c r="A412" s="54">
        <v>94221</v>
      </c>
      <c r="B412" s="55" t="s">
        <v>1788</v>
      </c>
      <c r="C412" s="106">
        <v>1.0705999999999999E-3</v>
      </c>
      <c r="D412" s="106">
        <v>1.1294E-3</v>
      </c>
      <c r="E412" s="56">
        <v>386218.22</v>
      </c>
      <c r="F412" s="56">
        <v>506868</v>
      </c>
      <c r="G412" s="56">
        <v>2272172</v>
      </c>
      <c r="H412" s="56"/>
      <c r="I412" s="57">
        <v>42690</v>
      </c>
      <c r="J412" s="57">
        <v>1991147</v>
      </c>
      <c r="K412" s="57">
        <v>155623</v>
      </c>
      <c r="L412" s="56">
        <v>98739</v>
      </c>
      <c r="M412" s="56"/>
      <c r="N412" s="57">
        <v>79619</v>
      </c>
      <c r="O412" s="57">
        <v>734922</v>
      </c>
      <c r="P412" s="57">
        <v>0</v>
      </c>
      <c r="Q412" s="56">
        <v>138383</v>
      </c>
      <c r="R412" s="57">
        <f t="shared" si="6"/>
        <v>1256225</v>
      </c>
      <c r="S412" s="56"/>
      <c r="T412" s="57">
        <v>607318</v>
      </c>
      <c r="U412" s="58">
        <v>-16318</v>
      </c>
      <c r="V412" s="58">
        <v>591000</v>
      </c>
    </row>
    <row r="413" spans="1:22">
      <c r="A413" s="54">
        <v>94231</v>
      </c>
      <c r="B413" s="55" t="s">
        <v>1789</v>
      </c>
      <c r="C413" s="106">
        <v>2.1269999999999999E-4</v>
      </c>
      <c r="D413" s="106">
        <v>1.9469999999999999E-4</v>
      </c>
      <c r="E413" s="56">
        <v>77695.47</v>
      </c>
      <c r="F413" s="56">
        <v>87380</v>
      </c>
      <c r="G413" s="56">
        <v>451421</v>
      </c>
      <c r="H413" s="56"/>
      <c r="I413" s="57">
        <v>8481</v>
      </c>
      <c r="J413" s="57">
        <v>395588</v>
      </c>
      <c r="K413" s="57">
        <v>30918</v>
      </c>
      <c r="L413" s="56">
        <v>1986</v>
      </c>
      <c r="M413" s="56"/>
      <c r="N413" s="57">
        <v>15818</v>
      </c>
      <c r="O413" s="57">
        <v>146010</v>
      </c>
      <c r="P413" s="57">
        <v>0</v>
      </c>
      <c r="Q413" s="56">
        <v>11747</v>
      </c>
      <c r="R413" s="57">
        <f t="shared" si="6"/>
        <v>249578</v>
      </c>
      <c r="S413" s="56"/>
      <c r="T413" s="57">
        <v>120658</v>
      </c>
      <c r="U413" s="58">
        <v>-4519</v>
      </c>
      <c r="V413" s="58">
        <v>116139</v>
      </c>
    </row>
    <row r="414" spans="1:22">
      <c r="A414" s="54">
        <v>94241</v>
      </c>
      <c r="B414" s="55" t="s">
        <v>1790</v>
      </c>
      <c r="C414" s="106">
        <v>8.4099999999999998E-5</v>
      </c>
      <c r="D414" s="106">
        <v>8.4800000000000001E-5</v>
      </c>
      <c r="E414" s="56">
        <v>37415.33</v>
      </c>
      <c r="F414" s="56">
        <v>38058</v>
      </c>
      <c r="G414" s="56">
        <v>178488</v>
      </c>
      <c r="H414" s="56"/>
      <c r="I414" s="57">
        <v>3353</v>
      </c>
      <c r="J414" s="57">
        <v>156413</v>
      </c>
      <c r="K414" s="57">
        <v>12225</v>
      </c>
      <c r="L414" s="56">
        <v>3164</v>
      </c>
      <c r="M414" s="56"/>
      <c r="N414" s="57">
        <v>6254</v>
      </c>
      <c r="O414" s="57">
        <v>57731</v>
      </c>
      <c r="P414" s="57">
        <v>0</v>
      </c>
      <c r="Q414" s="56">
        <v>1327</v>
      </c>
      <c r="R414" s="57">
        <f t="shared" si="6"/>
        <v>98682</v>
      </c>
      <c r="S414" s="56"/>
      <c r="T414" s="57">
        <v>47707</v>
      </c>
      <c r="U414" s="58">
        <v>664</v>
      </c>
      <c r="V414" s="58">
        <v>48372</v>
      </c>
    </row>
    <row r="415" spans="1:22">
      <c r="A415" s="54">
        <v>94251</v>
      </c>
      <c r="B415" s="55" t="s">
        <v>1791</v>
      </c>
      <c r="C415" s="106">
        <v>1.4E-5</v>
      </c>
      <c r="D415" s="106">
        <v>2.37E-5</v>
      </c>
      <c r="E415" s="56">
        <v>7105.57</v>
      </c>
      <c r="F415" s="56">
        <v>10636</v>
      </c>
      <c r="G415" s="56">
        <v>29712.69</v>
      </c>
      <c r="H415" s="56"/>
      <c r="I415" s="57">
        <v>558.25</v>
      </c>
      <c r="J415" s="57">
        <v>26038</v>
      </c>
      <c r="K415" s="57">
        <v>2035</v>
      </c>
      <c r="L415" s="56">
        <v>0</v>
      </c>
      <c r="M415" s="56"/>
      <c r="N415" s="57">
        <v>1041</v>
      </c>
      <c r="O415" s="57">
        <v>9610</v>
      </c>
      <c r="P415" s="57">
        <v>0</v>
      </c>
      <c r="Q415" s="56">
        <v>9627</v>
      </c>
      <c r="R415" s="57">
        <f t="shared" si="6"/>
        <v>16428</v>
      </c>
      <c r="S415" s="56"/>
      <c r="T415" s="57">
        <v>7942</v>
      </c>
      <c r="U415" s="58">
        <v>-3119</v>
      </c>
      <c r="V415" s="58">
        <v>4823</v>
      </c>
    </row>
    <row r="416" spans="1:22">
      <c r="A416" s="54">
        <v>94261</v>
      </c>
      <c r="B416" s="55" t="s">
        <v>1792</v>
      </c>
      <c r="C416" s="106">
        <v>2.9499999999999999E-5</v>
      </c>
      <c r="D416" s="106">
        <v>1.66E-5</v>
      </c>
      <c r="E416" s="56">
        <v>13526.809999999998</v>
      </c>
      <c r="F416" s="56">
        <v>7450</v>
      </c>
      <c r="G416" s="56">
        <v>62609</v>
      </c>
      <c r="H416" s="56"/>
      <c r="I416" s="57">
        <v>1176.3125</v>
      </c>
      <c r="J416" s="57">
        <v>54865</v>
      </c>
      <c r="K416" s="57">
        <v>4288</v>
      </c>
      <c r="L416" s="56">
        <v>12167</v>
      </c>
      <c r="M416" s="56"/>
      <c r="N416" s="57">
        <v>2194</v>
      </c>
      <c r="O416" s="57">
        <v>20251</v>
      </c>
      <c r="P416" s="57">
        <v>0</v>
      </c>
      <c r="Q416" s="56">
        <v>0</v>
      </c>
      <c r="R416" s="57">
        <f t="shared" si="6"/>
        <v>34614</v>
      </c>
      <c r="S416" s="56"/>
      <c r="T416" s="57">
        <v>16734</v>
      </c>
      <c r="U416" s="58">
        <v>3736</v>
      </c>
      <c r="V416" s="58">
        <v>20471</v>
      </c>
    </row>
    <row r="417" spans="1:22">
      <c r="A417" s="54">
        <v>94301</v>
      </c>
      <c r="B417" s="55" t="s">
        <v>1793</v>
      </c>
      <c r="C417" s="106">
        <v>6.0746999999999997E-3</v>
      </c>
      <c r="D417" s="106">
        <v>6.0625999999999996E-3</v>
      </c>
      <c r="E417" s="56">
        <v>2375297.7800000003</v>
      </c>
      <c r="F417" s="56">
        <v>2720859</v>
      </c>
      <c r="G417" s="56">
        <v>12892548</v>
      </c>
      <c r="H417" s="56"/>
      <c r="I417" s="57">
        <v>242229</v>
      </c>
      <c r="J417" s="57">
        <v>11297982</v>
      </c>
      <c r="K417" s="57">
        <v>883024</v>
      </c>
      <c r="L417" s="56">
        <v>18885</v>
      </c>
      <c r="M417" s="56"/>
      <c r="N417" s="57">
        <v>451769</v>
      </c>
      <c r="O417" s="57">
        <v>4170026</v>
      </c>
      <c r="P417" s="57">
        <v>0</v>
      </c>
      <c r="Q417" s="56">
        <v>169326</v>
      </c>
      <c r="R417" s="57">
        <f t="shared" si="6"/>
        <v>7127956</v>
      </c>
      <c r="S417" s="56"/>
      <c r="T417" s="57">
        <v>3445989</v>
      </c>
      <c r="U417" s="58">
        <v>-41856</v>
      </c>
      <c r="V417" s="58">
        <v>3404133</v>
      </c>
    </row>
    <row r="418" spans="1:22">
      <c r="A418" s="54">
        <v>94311</v>
      </c>
      <c r="B418" s="55" t="s">
        <v>1794</v>
      </c>
      <c r="C418" s="106">
        <v>7.4399999999999998E-4</v>
      </c>
      <c r="D418" s="106">
        <v>8.4360000000000001E-4</v>
      </c>
      <c r="E418" s="56">
        <v>317607.65000000002</v>
      </c>
      <c r="F418" s="56">
        <v>378603</v>
      </c>
      <c r="G418" s="56">
        <v>1579017.24</v>
      </c>
      <c r="H418" s="56"/>
      <c r="I418" s="57">
        <v>29667</v>
      </c>
      <c r="J418" s="57">
        <v>1383722</v>
      </c>
      <c r="K418" s="57">
        <v>108149</v>
      </c>
      <c r="L418" s="56">
        <v>5590</v>
      </c>
      <c r="M418" s="56"/>
      <c r="N418" s="57">
        <v>55331</v>
      </c>
      <c r="O418" s="57">
        <v>510725</v>
      </c>
      <c r="P418" s="57">
        <v>0</v>
      </c>
      <c r="Q418" s="56">
        <v>74131</v>
      </c>
      <c r="R418" s="57">
        <f t="shared" si="6"/>
        <v>872997</v>
      </c>
      <c r="S418" s="56"/>
      <c r="T418" s="57">
        <v>422048</v>
      </c>
      <c r="U418" s="58">
        <v>-19207</v>
      </c>
      <c r="V418" s="58">
        <v>402841</v>
      </c>
    </row>
    <row r="419" spans="1:22">
      <c r="A419" s="54">
        <v>94313</v>
      </c>
      <c r="B419" s="55" t="s">
        <v>1795</v>
      </c>
      <c r="C419" s="106">
        <v>2.0299999999999999E-5</v>
      </c>
      <c r="D419" s="106">
        <v>1.8099999999999999E-5</v>
      </c>
      <c r="E419" s="56">
        <v>12274.81</v>
      </c>
      <c r="F419" s="56">
        <v>8123</v>
      </c>
      <c r="G419" s="56">
        <v>43083</v>
      </c>
      <c r="H419" s="56"/>
      <c r="I419" s="57">
        <v>809.46249999999998</v>
      </c>
      <c r="J419" s="57">
        <v>37755</v>
      </c>
      <c r="K419" s="57">
        <v>2951</v>
      </c>
      <c r="L419" s="56">
        <v>7808</v>
      </c>
      <c r="M419" s="56"/>
      <c r="N419" s="57">
        <v>1510</v>
      </c>
      <c r="O419" s="57">
        <v>13935</v>
      </c>
      <c r="P419" s="57">
        <v>0</v>
      </c>
      <c r="Q419" s="56">
        <v>0</v>
      </c>
      <c r="R419" s="57">
        <f t="shared" si="6"/>
        <v>23820</v>
      </c>
      <c r="S419" s="56"/>
      <c r="T419" s="57">
        <v>11516</v>
      </c>
      <c r="U419" s="58">
        <v>2576</v>
      </c>
      <c r="V419" s="58">
        <v>14092</v>
      </c>
    </row>
    <row r="420" spans="1:22">
      <c r="A420" s="54">
        <v>94317</v>
      </c>
      <c r="B420" s="55" t="s">
        <v>1796</v>
      </c>
      <c r="C420" s="106">
        <v>1.2099999999999999E-5</v>
      </c>
      <c r="D420" s="106">
        <v>1.15E-5</v>
      </c>
      <c r="E420" s="56">
        <v>8376.6</v>
      </c>
      <c r="F420" s="56">
        <v>5161</v>
      </c>
      <c r="G420" s="56">
        <v>25680</v>
      </c>
      <c r="H420" s="56"/>
      <c r="I420" s="57">
        <v>482</v>
      </c>
      <c r="J420" s="57">
        <v>22504</v>
      </c>
      <c r="K420" s="57">
        <v>1759</v>
      </c>
      <c r="L420" s="56">
        <v>6768</v>
      </c>
      <c r="M420" s="56"/>
      <c r="N420" s="57">
        <v>900</v>
      </c>
      <c r="O420" s="57">
        <v>8306</v>
      </c>
      <c r="P420" s="57">
        <v>0</v>
      </c>
      <c r="Q420" s="56">
        <v>0</v>
      </c>
      <c r="R420" s="57">
        <f t="shared" si="6"/>
        <v>14198</v>
      </c>
      <c r="S420" s="56"/>
      <c r="T420" s="57">
        <v>6864</v>
      </c>
      <c r="U420" s="58">
        <v>2325</v>
      </c>
      <c r="V420" s="58">
        <v>9189</v>
      </c>
    </row>
    <row r="421" spans="1:22">
      <c r="A421" s="54">
        <v>94321</v>
      </c>
      <c r="B421" s="55" t="s">
        <v>1797</v>
      </c>
      <c r="C421" s="106">
        <v>2.7070000000000002E-4</v>
      </c>
      <c r="D421" s="106">
        <v>2.7270000000000001E-4</v>
      </c>
      <c r="E421" s="56">
        <v>94893.09</v>
      </c>
      <c r="F421" s="56">
        <v>122386</v>
      </c>
      <c r="G421" s="56">
        <v>574516</v>
      </c>
      <c r="H421" s="56"/>
      <c r="I421" s="57">
        <v>10794</v>
      </c>
      <c r="J421" s="57">
        <v>503459</v>
      </c>
      <c r="K421" s="57">
        <v>39349</v>
      </c>
      <c r="L421" s="56">
        <v>3401</v>
      </c>
      <c r="M421" s="56"/>
      <c r="N421" s="57">
        <v>20132</v>
      </c>
      <c r="O421" s="57">
        <v>185824</v>
      </c>
      <c r="P421" s="57">
        <v>0</v>
      </c>
      <c r="Q421" s="56">
        <v>21015</v>
      </c>
      <c r="R421" s="57">
        <f t="shared" si="6"/>
        <v>317635</v>
      </c>
      <c r="S421" s="56"/>
      <c r="T421" s="57">
        <v>153560</v>
      </c>
      <c r="U421" s="58">
        <v>-4393</v>
      </c>
      <c r="V421" s="58">
        <v>149167</v>
      </c>
    </row>
    <row r="422" spans="1:22">
      <c r="A422" s="54">
        <v>94331</v>
      </c>
      <c r="B422" s="55" t="s">
        <v>1798</v>
      </c>
      <c r="C422" s="106">
        <v>1.517E-4</v>
      </c>
      <c r="D422" s="106">
        <v>1.7420000000000001E-4</v>
      </c>
      <c r="E422" s="56">
        <v>69883.19</v>
      </c>
      <c r="F422" s="56">
        <v>78180</v>
      </c>
      <c r="G422" s="56">
        <v>321958</v>
      </c>
      <c r="H422" s="56"/>
      <c r="I422" s="57">
        <v>6049</v>
      </c>
      <c r="J422" s="57">
        <v>282138</v>
      </c>
      <c r="K422" s="57">
        <v>22051</v>
      </c>
      <c r="L422" s="56">
        <v>13796</v>
      </c>
      <c r="M422" s="56"/>
      <c r="N422" s="57">
        <v>11282</v>
      </c>
      <c r="O422" s="57">
        <v>104136</v>
      </c>
      <c r="P422" s="57">
        <v>0</v>
      </c>
      <c r="Q422" s="56">
        <v>6234</v>
      </c>
      <c r="R422" s="57">
        <f t="shared" si="6"/>
        <v>178002</v>
      </c>
      <c r="S422" s="56"/>
      <c r="T422" s="57">
        <v>86055</v>
      </c>
      <c r="U422" s="58">
        <v>4466</v>
      </c>
      <c r="V422" s="58">
        <v>90520</v>
      </c>
    </row>
    <row r="423" spans="1:22">
      <c r="A423" s="54">
        <v>94341</v>
      </c>
      <c r="B423" s="55" t="s">
        <v>1799</v>
      </c>
      <c r="C423" s="106">
        <v>8.1000000000000004E-5</v>
      </c>
      <c r="D423" s="106">
        <v>8.8399999999999994E-5</v>
      </c>
      <c r="E423" s="56">
        <v>31929.82</v>
      </c>
      <c r="F423" s="56">
        <v>39673</v>
      </c>
      <c r="G423" s="56">
        <v>171909</v>
      </c>
      <c r="H423" s="56"/>
      <c r="I423" s="57">
        <v>3229.875</v>
      </c>
      <c r="J423" s="57">
        <v>150647</v>
      </c>
      <c r="K423" s="57">
        <v>11774</v>
      </c>
      <c r="L423" s="56">
        <v>513</v>
      </c>
      <c r="M423" s="56"/>
      <c r="N423" s="57">
        <v>6024</v>
      </c>
      <c r="O423" s="57">
        <v>55603</v>
      </c>
      <c r="P423" s="57">
        <v>0</v>
      </c>
      <c r="Q423" s="56">
        <v>8986</v>
      </c>
      <c r="R423" s="57">
        <f t="shared" si="6"/>
        <v>95044</v>
      </c>
      <c r="S423" s="56"/>
      <c r="T423" s="57">
        <v>45949</v>
      </c>
      <c r="U423" s="58">
        <v>-3091</v>
      </c>
      <c r="V423" s="58">
        <v>42858</v>
      </c>
    </row>
    <row r="424" spans="1:22">
      <c r="A424" s="54">
        <v>94347</v>
      </c>
      <c r="B424" s="55" t="s">
        <v>1800</v>
      </c>
      <c r="C424" s="106">
        <v>1.2300000000000001E-5</v>
      </c>
      <c r="D424" s="106">
        <v>1.31E-5</v>
      </c>
      <c r="E424" s="56">
        <v>6974.9200000000037</v>
      </c>
      <c r="F424" s="56">
        <v>5879</v>
      </c>
      <c r="G424" s="56">
        <v>26105</v>
      </c>
      <c r="H424" s="56"/>
      <c r="I424" s="57">
        <v>490</v>
      </c>
      <c r="J424" s="57">
        <v>22876</v>
      </c>
      <c r="K424" s="57">
        <v>1788</v>
      </c>
      <c r="L424" s="56">
        <v>3157</v>
      </c>
      <c r="M424" s="56"/>
      <c r="N424" s="57">
        <v>915</v>
      </c>
      <c r="O424" s="57">
        <v>8443</v>
      </c>
      <c r="P424" s="57">
        <v>0</v>
      </c>
      <c r="Q424" s="56">
        <v>0</v>
      </c>
      <c r="R424" s="57">
        <f t="shared" si="6"/>
        <v>14433</v>
      </c>
      <c r="S424" s="56"/>
      <c r="T424" s="57">
        <v>6977</v>
      </c>
      <c r="U424" s="58">
        <v>1291</v>
      </c>
      <c r="V424" s="58">
        <v>8268</v>
      </c>
    </row>
    <row r="425" spans="1:22">
      <c r="A425" s="54">
        <v>94351</v>
      </c>
      <c r="B425" s="55" t="s">
        <v>1801</v>
      </c>
      <c r="C425" s="106">
        <v>2.377E-4</v>
      </c>
      <c r="D425" s="106">
        <v>2.3049999999999999E-4</v>
      </c>
      <c r="E425" s="56">
        <v>90845.03</v>
      </c>
      <c r="F425" s="56">
        <v>103447</v>
      </c>
      <c r="G425" s="56">
        <v>504479</v>
      </c>
      <c r="H425" s="56"/>
      <c r="I425" s="57">
        <v>9478</v>
      </c>
      <c r="J425" s="57">
        <v>442084</v>
      </c>
      <c r="K425" s="57">
        <v>34552</v>
      </c>
      <c r="L425" s="56">
        <v>2466</v>
      </c>
      <c r="M425" s="56"/>
      <c r="N425" s="57">
        <v>17678</v>
      </c>
      <c r="O425" s="57">
        <v>163171</v>
      </c>
      <c r="P425" s="57">
        <v>0</v>
      </c>
      <c r="Q425" s="56">
        <v>4917</v>
      </c>
      <c r="R425" s="57">
        <f t="shared" si="6"/>
        <v>278913</v>
      </c>
      <c r="S425" s="56"/>
      <c r="T425" s="57">
        <v>134840</v>
      </c>
      <c r="U425" s="58">
        <v>-1210</v>
      </c>
      <c r="V425" s="58">
        <v>133630</v>
      </c>
    </row>
    <row r="426" spans="1:22">
      <c r="A426" s="54">
        <v>94401</v>
      </c>
      <c r="B426" s="55" t="s">
        <v>2293</v>
      </c>
      <c r="C426" s="106">
        <v>3.4548999999999999E-3</v>
      </c>
      <c r="D426" s="106">
        <v>3.3264000000000002E-3</v>
      </c>
      <c r="E426" s="56">
        <v>1346130.7</v>
      </c>
      <c r="F426" s="56">
        <v>1492868</v>
      </c>
      <c r="G426" s="56">
        <v>7332455</v>
      </c>
      <c r="H426" s="56"/>
      <c r="I426" s="57">
        <v>137764</v>
      </c>
      <c r="J426" s="57">
        <v>6425568</v>
      </c>
      <c r="K426" s="57">
        <v>502208</v>
      </c>
      <c r="L426" s="56">
        <v>30696</v>
      </c>
      <c r="M426" s="56"/>
      <c r="N426" s="57">
        <v>256937</v>
      </c>
      <c r="O426" s="57">
        <v>2371644</v>
      </c>
      <c r="P426" s="57">
        <v>0</v>
      </c>
      <c r="Q426" s="56">
        <v>635</v>
      </c>
      <c r="R426" s="57">
        <f t="shared" si="6"/>
        <v>4053924</v>
      </c>
      <c r="S426" s="56"/>
      <c r="T426" s="57">
        <v>1959858</v>
      </c>
      <c r="U426" s="58">
        <v>9582</v>
      </c>
      <c r="V426" s="58">
        <v>1969439</v>
      </c>
    </row>
    <row r="427" spans="1:22">
      <c r="A427" s="54">
        <v>94402</v>
      </c>
      <c r="B427" s="55" t="s">
        <v>1803</v>
      </c>
      <c r="C427" s="106">
        <v>0</v>
      </c>
      <c r="D427" s="106">
        <v>0</v>
      </c>
      <c r="E427" s="56">
        <v>0</v>
      </c>
      <c r="F427" s="56">
        <v>0</v>
      </c>
      <c r="G427" s="56">
        <v>0</v>
      </c>
      <c r="H427" s="56"/>
      <c r="I427" s="57">
        <v>0</v>
      </c>
      <c r="J427" s="57">
        <v>0</v>
      </c>
      <c r="K427" s="57">
        <v>0</v>
      </c>
      <c r="L427" s="56">
        <v>0</v>
      </c>
      <c r="M427" s="56"/>
      <c r="N427" s="57">
        <v>0</v>
      </c>
      <c r="O427" s="57">
        <v>0</v>
      </c>
      <c r="P427" s="57">
        <v>0</v>
      </c>
      <c r="Q427" s="56">
        <v>2781798</v>
      </c>
      <c r="R427" s="57">
        <f t="shared" si="6"/>
        <v>0</v>
      </c>
      <c r="S427" s="56"/>
      <c r="T427" s="57">
        <v>0</v>
      </c>
      <c r="U427" s="58">
        <v>-1007431</v>
      </c>
      <c r="V427" s="58">
        <v>-1007431</v>
      </c>
    </row>
    <row r="428" spans="1:22">
      <c r="A428" s="54">
        <v>94408</v>
      </c>
      <c r="B428" s="55" t="s">
        <v>1805</v>
      </c>
      <c r="C428" s="106">
        <v>4.0099999999999999E-5</v>
      </c>
      <c r="D428" s="106">
        <v>1.9000000000000001E-5</v>
      </c>
      <c r="E428" s="56">
        <v>13759.910000000002</v>
      </c>
      <c r="F428" s="56">
        <v>8527</v>
      </c>
      <c r="G428" s="56">
        <v>85106</v>
      </c>
      <c r="H428" s="56"/>
      <c r="I428" s="57">
        <v>1599</v>
      </c>
      <c r="J428" s="57">
        <v>74580</v>
      </c>
      <c r="K428" s="57">
        <v>5829</v>
      </c>
      <c r="L428" s="56">
        <v>10369</v>
      </c>
      <c r="M428" s="56"/>
      <c r="N428" s="57">
        <v>2982</v>
      </c>
      <c r="O428" s="57">
        <v>27527</v>
      </c>
      <c r="P428" s="57">
        <v>0</v>
      </c>
      <c r="Q428" s="56">
        <v>3687</v>
      </c>
      <c r="R428" s="57">
        <f t="shared" si="6"/>
        <v>47053</v>
      </c>
      <c r="S428" s="56"/>
      <c r="T428" s="57">
        <v>22747</v>
      </c>
      <c r="U428" s="58">
        <v>939</v>
      </c>
      <c r="V428" s="58">
        <v>23687</v>
      </c>
    </row>
    <row r="429" spans="1:22">
      <c r="A429" s="54">
        <v>94411</v>
      </c>
      <c r="B429" s="55" t="s">
        <v>1806</v>
      </c>
      <c r="C429" s="106">
        <v>1.1592E-3</v>
      </c>
      <c r="D429" s="106">
        <v>1.1820999999999999E-3</v>
      </c>
      <c r="E429" s="56">
        <v>485425.04999999993</v>
      </c>
      <c r="F429" s="56">
        <v>530519</v>
      </c>
      <c r="G429" s="56">
        <v>2460211</v>
      </c>
      <c r="H429" s="56"/>
      <c r="I429" s="57">
        <v>46223.1</v>
      </c>
      <c r="J429" s="57">
        <v>2155929</v>
      </c>
      <c r="K429" s="57">
        <v>168502</v>
      </c>
      <c r="L429" s="56">
        <v>19239</v>
      </c>
      <c r="M429" s="56"/>
      <c r="N429" s="57">
        <v>86209</v>
      </c>
      <c r="O429" s="57">
        <v>795742</v>
      </c>
      <c r="P429" s="57">
        <v>0</v>
      </c>
      <c r="Q429" s="56">
        <v>5607</v>
      </c>
      <c r="R429" s="57">
        <f t="shared" si="6"/>
        <v>1360187</v>
      </c>
      <c r="S429" s="56"/>
      <c r="T429" s="57">
        <v>657578</v>
      </c>
      <c r="U429" s="58">
        <v>5340</v>
      </c>
      <c r="V429" s="58">
        <v>662918</v>
      </c>
    </row>
    <row r="430" spans="1:22">
      <c r="A430" s="54">
        <v>94412</v>
      </c>
      <c r="B430" s="55" t="s">
        <v>1807</v>
      </c>
      <c r="C430" s="106">
        <v>1.63E-5</v>
      </c>
      <c r="D430" s="106">
        <v>1.7200000000000001E-5</v>
      </c>
      <c r="E430" s="56">
        <v>13713.210000000001</v>
      </c>
      <c r="F430" s="56">
        <v>7719</v>
      </c>
      <c r="G430" s="56">
        <v>34594</v>
      </c>
      <c r="H430" s="56"/>
      <c r="I430" s="57">
        <v>649.96249999999998</v>
      </c>
      <c r="J430" s="57">
        <v>30315</v>
      </c>
      <c r="K430" s="57">
        <v>2369</v>
      </c>
      <c r="L430" s="56">
        <v>13305</v>
      </c>
      <c r="M430" s="56"/>
      <c r="N430" s="57">
        <v>1212</v>
      </c>
      <c r="O430" s="57">
        <v>11189</v>
      </c>
      <c r="P430" s="57">
        <v>0</v>
      </c>
      <c r="Q430" s="56">
        <v>0</v>
      </c>
      <c r="R430" s="57">
        <f t="shared" si="6"/>
        <v>19126</v>
      </c>
      <c r="S430" s="56"/>
      <c r="T430" s="57">
        <v>9246</v>
      </c>
      <c r="U430" s="58">
        <v>4869</v>
      </c>
      <c r="V430" s="58">
        <v>14116</v>
      </c>
    </row>
    <row r="431" spans="1:22">
      <c r="A431" s="54">
        <v>94421</v>
      </c>
      <c r="B431" s="55" t="s">
        <v>1808</v>
      </c>
      <c r="C431" s="106">
        <v>1.6899999999999999E-4</v>
      </c>
      <c r="D431" s="106">
        <v>1.7149999999999999E-4</v>
      </c>
      <c r="E431" s="56">
        <v>68012.739999999991</v>
      </c>
      <c r="F431" s="56">
        <v>76968</v>
      </c>
      <c r="G431" s="56">
        <v>358675</v>
      </c>
      <c r="H431" s="56"/>
      <c r="I431" s="57">
        <v>6739</v>
      </c>
      <c r="J431" s="57">
        <v>314313</v>
      </c>
      <c r="K431" s="57">
        <v>24566</v>
      </c>
      <c r="L431" s="56">
        <v>3528</v>
      </c>
      <c r="M431" s="56"/>
      <c r="N431" s="57">
        <v>12568</v>
      </c>
      <c r="O431" s="57">
        <v>116011</v>
      </c>
      <c r="P431" s="57">
        <v>0</v>
      </c>
      <c r="Q431" s="56">
        <v>12354</v>
      </c>
      <c r="R431" s="57">
        <f t="shared" si="6"/>
        <v>198302</v>
      </c>
      <c r="S431" s="56"/>
      <c r="T431" s="57">
        <v>95868</v>
      </c>
      <c r="U431" s="58">
        <v>-4340</v>
      </c>
      <c r="V431" s="58">
        <v>91529</v>
      </c>
    </row>
    <row r="432" spans="1:22">
      <c r="A432" s="54">
        <v>94427</v>
      </c>
      <c r="B432" s="55" t="s">
        <v>1809</v>
      </c>
      <c r="C432" s="106">
        <v>1.29E-5</v>
      </c>
      <c r="D432" s="106">
        <v>1.56E-5</v>
      </c>
      <c r="E432" s="56">
        <v>6501.51</v>
      </c>
      <c r="F432" s="56">
        <v>7001</v>
      </c>
      <c r="G432" s="56">
        <v>27378</v>
      </c>
      <c r="H432" s="56"/>
      <c r="I432" s="57">
        <v>514</v>
      </c>
      <c r="J432" s="57">
        <v>23992</v>
      </c>
      <c r="K432" s="57">
        <v>1875</v>
      </c>
      <c r="L432" s="56">
        <v>785</v>
      </c>
      <c r="M432" s="56"/>
      <c r="N432" s="57">
        <v>959</v>
      </c>
      <c r="O432" s="57">
        <v>8855</v>
      </c>
      <c r="P432" s="57">
        <v>0</v>
      </c>
      <c r="Q432" s="56">
        <v>709</v>
      </c>
      <c r="R432" s="57">
        <f t="shared" si="6"/>
        <v>15137</v>
      </c>
      <c r="S432" s="56"/>
      <c r="T432" s="57">
        <v>7318</v>
      </c>
      <c r="U432" s="58">
        <v>47</v>
      </c>
      <c r="V432" s="58">
        <v>7365</v>
      </c>
    </row>
    <row r="433" spans="1:22">
      <c r="A433" s="54">
        <v>94428</v>
      </c>
      <c r="B433" s="55" t="s">
        <v>1810</v>
      </c>
      <c r="C433" s="106">
        <v>7.4400000000000006E-5</v>
      </c>
      <c r="D433" s="106">
        <v>7.7799999999999994E-5</v>
      </c>
      <c r="E433" s="56">
        <v>33919.200000000012</v>
      </c>
      <c r="F433" s="56">
        <v>34916</v>
      </c>
      <c r="G433" s="56">
        <v>157902</v>
      </c>
      <c r="H433" s="56"/>
      <c r="I433" s="57">
        <v>2967</v>
      </c>
      <c r="J433" s="57">
        <v>138372</v>
      </c>
      <c r="K433" s="57">
        <v>10815</v>
      </c>
      <c r="L433" s="56">
        <v>3518</v>
      </c>
      <c r="M433" s="56"/>
      <c r="N433" s="57">
        <v>5533</v>
      </c>
      <c r="O433" s="57">
        <v>51072</v>
      </c>
      <c r="P433" s="57">
        <v>0</v>
      </c>
      <c r="Q433" s="56">
        <v>0</v>
      </c>
      <c r="R433" s="57">
        <f t="shared" si="6"/>
        <v>87300</v>
      </c>
      <c r="S433" s="56"/>
      <c r="T433" s="57">
        <v>42205</v>
      </c>
      <c r="U433" s="58">
        <v>1203</v>
      </c>
      <c r="V433" s="58">
        <v>43408</v>
      </c>
    </row>
    <row r="434" spans="1:22">
      <c r="A434" s="54">
        <v>94431</v>
      </c>
      <c r="B434" s="55" t="s">
        <v>1811</v>
      </c>
      <c r="C434" s="106">
        <v>3.7589999999999998E-4</v>
      </c>
      <c r="D434" s="106">
        <v>3.6390000000000001E-4</v>
      </c>
      <c r="E434" s="56">
        <v>261745.86000000004</v>
      </c>
      <c r="F434" s="56">
        <v>163316</v>
      </c>
      <c r="G434" s="56">
        <v>797786</v>
      </c>
      <c r="H434" s="56"/>
      <c r="I434" s="57">
        <v>14989</v>
      </c>
      <c r="J434" s="57">
        <v>699115</v>
      </c>
      <c r="K434" s="57">
        <v>54641</v>
      </c>
      <c r="L434" s="56">
        <v>140656</v>
      </c>
      <c r="M434" s="56"/>
      <c r="N434" s="57">
        <v>27955</v>
      </c>
      <c r="O434" s="57">
        <v>258040</v>
      </c>
      <c r="P434" s="57">
        <v>0</v>
      </c>
      <c r="Q434" s="56">
        <v>1228</v>
      </c>
      <c r="R434" s="57">
        <f t="shared" si="6"/>
        <v>441075</v>
      </c>
      <c r="S434" s="56"/>
      <c r="T434" s="57">
        <v>213236</v>
      </c>
      <c r="U434" s="58">
        <v>40508</v>
      </c>
      <c r="V434" s="58">
        <v>253745</v>
      </c>
    </row>
    <row r="435" spans="1:22">
      <c r="A435" s="54">
        <v>94437</v>
      </c>
      <c r="B435" s="55" t="s">
        <v>1812</v>
      </c>
      <c r="C435" s="106">
        <v>1.34E-5</v>
      </c>
      <c r="D435" s="106">
        <v>1.1600000000000001E-5</v>
      </c>
      <c r="E435" s="56">
        <v>11266.369999999999</v>
      </c>
      <c r="F435" s="56">
        <v>5206</v>
      </c>
      <c r="G435" s="56">
        <v>28439</v>
      </c>
      <c r="H435" s="56"/>
      <c r="I435" s="57">
        <v>534</v>
      </c>
      <c r="J435" s="57">
        <v>24922</v>
      </c>
      <c r="K435" s="57">
        <v>1948</v>
      </c>
      <c r="L435" s="56">
        <v>12092</v>
      </c>
      <c r="M435" s="56"/>
      <c r="N435" s="57">
        <v>997</v>
      </c>
      <c r="O435" s="57">
        <v>9199</v>
      </c>
      <c r="P435" s="57">
        <v>0</v>
      </c>
      <c r="Q435" s="56">
        <v>0</v>
      </c>
      <c r="R435" s="57">
        <f t="shared" si="6"/>
        <v>15723</v>
      </c>
      <c r="S435" s="56"/>
      <c r="T435" s="57">
        <v>7601</v>
      </c>
      <c r="U435" s="58">
        <v>4157</v>
      </c>
      <c r="V435" s="58">
        <v>11759</v>
      </c>
    </row>
    <row r="436" spans="1:22">
      <c r="A436" s="54">
        <v>94501</v>
      </c>
      <c r="B436" s="55" t="s">
        <v>1813</v>
      </c>
      <c r="C436" s="106">
        <v>5.8474E-3</v>
      </c>
      <c r="D436" s="106">
        <v>5.5922999999999997E-3</v>
      </c>
      <c r="E436" s="56">
        <v>2261129.31</v>
      </c>
      <c r="F436" s="56">
        <v>2509791</v>
      </c>
      <c r="G436" s="56">
        <v>12410142</v>
      </c>
      <c r="H436" s="56"/>
      <c r="I436" s="57">
        <v>233165</v>
      </c>
      <c r="J436" s="57">
        <v>10875240</v>
      </c>
      <c r="K436" s="57">
        <v>849984</v>
      </c>
      <c r="L436" s="56">
        <v>248127</v>
      </c>
      <c r="M436" s="56"/>
      <c r="N436" s="57">
        <v>434865</v>
      </c>
      <c r="O436" s="57">
        <v>4013995</v>
      </c>
      <c r="P436" s="57">
        <v>0</v>
      </c>
      <c r="Q436" s="56">
        <v>0</v>
      </c>
      <c r="R436" s="57">
        <f t="shared" si="6"/>
        <v>6861245</v>
      </c>
      <c r="S436" s="56"/>
      <c r="T436" s="57">
        <v>3317049</v>
      </c>
      <c r="U436" s="58">
        <v>102688</v>
      </c>
      <c r="V436" s="58">
        <v>3419736</v>
      </c>
    </row>
    <row r="437" spans="1:22">
      <c r="A437" s="54">
        <v>94511</v>
      </c>
      <c r="B437" s="55" t="s">
        <v>1814</v>
      </c>
      <c r="C437" s="106">
        <v>1.7432000000000001E-3</v>
      </c>
      <c r="D437" s="106">
        <v>1.7692999999999999E-3</v>
      </c>
      <c r="E437" s="56">
        <v>680925.99</v>
      </c>
      <c r="F437" s="56">
        <v>794051</v>
      </c>
      <c r="G437" s="56">
        <v>3699654</v>
      </c>
      <c r="H437" s="56"/>
      <c r="I437" s="57">
        <v>69510</v>
      </c>
      <c r="J437" s="57">
        <v>3242077</v>
      </c>
      <c r="K437" s="57">
        <v>253393</v>
      </c>
      <c r="L437" s="56">
        <v>224818</v>
      </c>
      <c r="M437" s="56"/>
      <c r="N437" s="57">
        <v>129640</v>
      </c>
      <c r="O437" s="57">
        <v>1196634</v>
      </c>
      <c r="P437" s="57">
        <v>0</v>
      </c>
      <c r="Q437" s="56">
        <v>42694</v>
      </c>
      <c r="R437" s="57">
        <f t="shared" si="6"/>
        <v>2045443</v>
      </c>
      <c r="S437" s="56"/>
      <c r="T437" s="57">
        <v>988863</v>
      </c>
      <c r="U437" s="58">
        <v>69976</v>
      </c>
      <c r="V437" s="58">
        <v>1058839</v>
      </c>
    </row>
    <row r="438" spans="1:22">
      <c r="A438" s="54">
        <v>94512</v>
      </c>
      <c r="B438" s="55" t="s">
        <v>1815</v>
      </c>
      <c r="C438" s="106">
        <v>0</v>
      </c>
      <c r="D438" s="106">
        <v>0</v>
      </c>
      <c r="E438" s="56">
        <v>0</v>
      </c>
      <c r="F438" s="56">
        <v>0</v>
      </c>
      <c r="G438" s="56">
        <v>0</v>
      </c>
      <c r="H438" s="56"/>
      <c r="I438" s="57">
        <v>0</v>
      </c>
      <c r="J438" s="57">
        <v>0</v>
      </c>
      <c r="K438" s="57">
        <v>0</v>
      </c>
      <c r="L438" s="56">
        <v>0</v>
      </c>
      <c r="M438" s="56"/>
      <c r="N438" s="57">
        <v>0</v>
      </c>
      <c r="O438" s="57">
        <v>0</v>
      </c>
      <c r="P438" s="57">
        <v>0</v>
      </c>
      <c r="Q438" s="56">
        <v>217292</v>
      </c>
      <c r="R438" s="57">
        <f t="shared" si="6"/>
        <v>0</v>
      </c>
      <c r="S438" s="56"/>
      <c r="T438" s="57">
        <v>0</v>
      </c>
      <c r="U438" s="58">
        <v>-78713</v>
      </c>
      <c r="V438" s="58">
        <v>-78713</v>
      </c>
    </row>
    <row r="439" spans="1:22">
      <c r="A439" s="54">
        <v>94517</v>
      </c>
      <c r="B439" s="55" t="s">
        <v>1816</v>
      </c>
      <c r="C439" s="106">
        <v>4.9599999999999999E-5</v>
      </c>
      <c r="D439" s="106">
        <v>4.9100000000000001E-5</v>
      </c>
      <c r="E439" s="56">
        <v>28272.959999999999</v>
      </c>
      <c r="F439" s="56">
        <v>22036</v>
      </c>
      <c r="G439" s="56">
        <v>105268</v>
      </c>
      <c r="H439" s="56"/>
      <c r="I439" s="57">
        <v>1977.8</v>
      </c>
      <c r="J439" s="57">
        <v>92248</v>
      </c>
      <c r="K439" s="57">
        <v>7210</v>
      </c>
      <c r="L439" s="56">
        <v>19501</v>
      </c>
      <c r="M439" s="56"/>
      <c r="N439" s="57">
        <v>3689</v>
      </c>
      <c r="O439" s="57">
        <v>34048</v>
      </c>
      <c r="P439" s="57">
        <v>0</v>
      </c>
      <c r="Q439" s="56">
        <v>0</v>
      </c>
      <c r="R439" s="57">
        <f t="shared" si="6"/>
        <v>58200</v>
      </c>
      <c r="S439" s="56"/>
      <c r="T439" s="57">
        <v>28137</v>
      </c>
      <c r="U439" s="58">
        <v>7376</v>
      </c>
      <c r="V439" s="58">
        <v>35513</v>
      </c>
    </row>
    <row r="440" spans="1:22">
      <c r="A440" s="54">
        <v>94521</v>
      </c>
      <c r="B440" s="55" t="s">
        <v>1817</v>
      </c>
      <c r="C440" s="106">
        <v>1.2410000000000001E-4</v>
      </c>
      <c r="D440" s="106">
        <v>1.6320000000000001E-4</v>
      </c>
      <c r="E440" s="56">
        <v>54157.59</v>
      </c>
      <c r="F440" s="56">
        <v>73243</v>
      </c>
      <c r="G440" s="56">
        <v>263382</v>
      </c>
      <c r="H440" s="56"/>
      <c r="I440" s="57">
        <v>4948</v>
      </c>
      <c r="J440" s="57">
        <v>230806</v>
      </c>
      <c r="K440" s="57">
        <v>18039</v>
      </c>
      <c r="L440" s="56">
        <v>5851</v>
      </c>
      <c r="M440" s="56"/>
      <c r="N440" s="57">
        <v>9229</v>
      </c>
      <c r="O440" s="57">
        <v>85189</v>
      </c>
      <c r="P440" s="57">
        <v>0</v>
      </c>
      <c r="Q440" s="56">
        <v>18701</v>
      </c>
      <c r="R440" s="57">
        <f t="shared" si="6"/>
        <v>145617</v>
      </c>
      <c r="S440" s="56"/>
      <c r="T440" s="57">
        <v>70398</v>
      </c>
      <c r="U440" s="58">
        <v>-2526</v>
      </c>
      <c r="V440" s="58">
        <v>67872</v>
      </c>
    </row>
    <row r="441" spans="1:22">
      <c r="A441" s="54">
        <v>94527</v>
      </c>
      <c r="B441" s="55" t="s">
        <v>1818</v>
      </c>
      <c r="C441" s="106">
        <v>6.3999999999999997E-6</v>
      </c>
      <c r="D441" s="106">
        <v>9.0000000000000002E-6</v>
      </c>
      <c r="E441" s="56">
        <v>0</v>
      </c>
      <c r="F441" s="56">
        <v>4039</v>
      </c>
      <c r="G441" s="56">
        <v>13583</v>
      </c>
      <c r="H441" s="56"/>
      <c r="I441" s="57">
        <v>255.2</v>
      </c>
      <c r="J441" s="57">
        <v>11903</v>
      </c>
      <c r="K441" s="57">
        <v>930</v>
      </c>
      <c r="L441" s="56">
        <v>477</v>
      </c>
      <c r="M441" s="56"/>
      <c r="N441" s="57">
        <v>476</v>
      </c>
      <c r="O441" s="57">
        <v>4393</v>
      </c>
      <c r="P441" s="57">
        <v>0</v>
      </c>
      <c r="Q441" s="56">
        <v>3557</v>
      </c>
      <c r="R441" s="57">
        <f t="shared" si="6"/>
        <v>7510</v>
      </c>
      <c r="S441" s="56"/>
      <c r="T441" s="57">
        <v>3631</v>
      </c>
      <c r="U441" s="58">
        <v>-766</v>
      </c>
      <c r="V441" s="58">
        <v>2864</v>
      </c>
    </row>
    <row r="442" spans="1:22">
      <c r="A442" s="54">
        <v>94531</v>
      </c>
      <c r="B442" s="55" t="s">
        <v>1819</v>
      </c>
      <c r="C442" s="106">
        <v>1.5500000000000001E-5</v>
      </c>
      <c r="D442" s="106">
        <v>1.66E-5</v>
      </c>
      <c r="E442" s="56">
        <v>9988.7199999999993</v>
      </c>
      <c r="F442" s="56">
        <v>7450</v>
      </c>
      <c r="G442" s="56">
        <v>32896</v>
      </c>
      <c r="H442" s="56"/>
      <c r="I442" s="57">
        <v>618.0625</v>
      </c>
      <c r="J442" s="57">
        <v>28828</v>
      </c>
      <c r="K442" s="57">
        <v>2253</v>
      </c>
      <c r="L442" s="56">
        <v>5256</v>
      </c>
      <c r="M442" s="56"/>
      <c r="N442" s="57">
        <v>1153</v>
      </c>
      <c r="O442" s="57">
        <v>10640</v>
      </c>
      <c r="P442" s="57">
        <v>0</v>
      </c>
      <c r="Q442" s="56">
        <v>0</v>
      </c>
      <c r="R442" s="57">
        <f t="shared" si="6"/>
        <v>18188</v>
      </c>
      <c r="S442" s="56"/>
      <c r="T442" s="57">
        <v>8793</v>
      </c>
      <c r="U442" s="58">
        <v>1863</v>
      </c>
      <c r="V442" s="58">
        <v>10656</v>
      </c>
    </row>
    <row r="443" spans="1:22">
      <c r="A443" s="54">
        <v>94532</v>
      </c>
      <c r="B443" s="55" t="s">
        <v>1820</v>
      </c>
      <c r="C443" s="106">
        <v>9.4099999999999997E-5</v>
      </c>
      <c r="D443" s="106">
        <v>1.155E-4</v>
      </c>
      <c r="E443" s="56">
        <v>41786.75</v>
      </c>
      <c r="F443" s="56">
        <v>51836</v>
      </c>
      <c r="G443" s="56">
        <v>199712</v>
      </c>
      <c r="H443" s="56"/>
      <c r="I443" s="57">
        <v>3752</v>
      </c>
      <c r="J443" s="57">
        <v>175011</v>
      </c>
      <c r="K443" s="57">
        <v>13678</v>
      </c>
      <c r="L443" s="56">
        <v>0</v>
      </c>
      <c r="M443" s="56"/>
      <c r="N443" s="57">
        <v>6998</v>
      </c>
      <c r="O443" s="57">
        <v>64596</v>
      </c>
      <c r="P443" s="57">
        <v>0</v>
      </c>
      <c r="Q443" s="56">
        <v>15319</v>
      </c>
      <c r="R443" s="57">
        <f t="shared" si="6"/>
        <v>110415</v>
      </c>
      <c r="S443" s="56"/>
      <c r="T443" s="57">
        <v>53380</v>
      </c>
      <c r="U443" s="58">
        <v>-5410</v>
      </c>
      <c r="V443" s="58">
        <v>47970</v>
      </c>
    </row>
    <row r="444" spans="1:22">
      <c r="A444" s="54">
        <v>94541</v>
      </c>
      <c r="B444" s="55" t="s">
        <v>1821</v>
      </c>
      <c r="C444" s="106">
        <v>2.9839999999999999E-4</v>
      </c>
      <c r="D444" s="106">
        <v>2.8739999999999999E-4</v>
      </c>
      <c r="E444" s="56">
        <v>104979.31</v>
      </c>
      <c r="F444" s="56">
        <v>128983</v>
      </c>
      <c r="G444" s="56">
        <v>633305</v>
      </c>
      <c r="H444" s="56"/>
      <c r="I444" s="57">
        <v>11899</v>
      </c>
      <c r="J444" s="57">
        <v>554977</v>
      </c>
      <c r="K444" s="57">
        <v>43376</v>
      </c>
      <c r="L444" s="56">
        <v>0</v>
      </c>
      <c r="M444" s="56"/>
      <c r="N444" s="57">
        <v>22192</v>
      </c>
      <c r="O444" s="57">
        <v>204839</v>
      </c>
      <c r="P444" s="57">
        <v>0</v>
      </c>
      <c r="Q444" s="56">
        <v>23573</v>
      </c>
      <c r="R444" s="57">
        <f t="shared" si="6"/>
        <v>350138</v>
      </c>
      <c r="S444" s="56"/>
      <c r="T444" s="57">
        <v>169273</v>
      </c>
      <c r="U444" s="58">
        <v>-7692</v>
      </c>
      <c r="V444" s="58">
        <v>161581</v>
      </c>
    </row>
    <row r="445" spans="1:22">
      <c r="A445" s="54">
        <v>94547</v>
      </c>
      <c r="B445" s="55" t="s">
        <v>1822</v>
      </c>
      <c r="C445" s="106">
        <v>1.24E-5</v>
      </c>
      <c r="D445" s="106">
        <v>1.3499999999999999E-5</v>
      </c>
      <c r="E445" s="56">
        <v>7369.380000000001</v>
      </c>
      <c r="F445" s="56">
        <v>6059</v>
      </c>
      <c r="G445" s="56">
        <v>26317</v>
      </c>
      <c r="H445" s="56"/>
      <c r="I445" s="57">
        <v>494.45</v>
      </c>
      <c r="J445" s="57">
        <v>23062</v>
      </c>
      <c r="K445" s="57">
        <v>1802</v>
      </c>
      <c r="L445" s="56">
        <v>2133</v>
      </c>
      <c r="M445" s="56"/>
      <c r="N445" s="57">
        <v>922</v>
      </c>
      <c r="O445" s="57">
        <v>8512</v>
      </c>
      <c r="P445" s="57">
        <v>0</v>
      </c>
      <c r="Q445" s="56">
        <v>0</v>
      </c>
      <c r="R445" s="57">
        <f t="shared" si="6"/>
        <v>14550</v>
      </c>
      <c r="S445" s="56"/>
      <c r="T445" s="57">
        <v>7034</v>
      </c>
      <c r="U445" s="58">
        <v>656</v>
      </c>
      <c r="V445" s="58">
        <v>7690</v>
      </c>
    </row>
    <row r="446" spans="1:22">
      <c r="A446" s="54">
        <v>94551</v>
      </c>
      <c r="B446" s="55" t="s">
        <v>1823</v>
      </c>
      <c r="C446" s="106">
        <v>4.5899999999999998E-5</v>
      </c>
      <c r="D446" s="106">
        <v>3.0599999999999998E-5</v>
      </c>
      <c r="E446" s="56">
        <v>22107.480000000003</v>
      </c>
      <c r="F446" s="56">
        <v>13733</v>
      </c>
      <c r="G446" s="56">
        <v>97415</v>
      </c>
      <c r="H446" s="56"/>
      <c r="I446" s="57">
        <v>1830</v>
      </c>
      <c r="J446" s="57">
        <v>85367</v>
      </c>
      <c r="K446" s="57">
        <v>6672</v>
      </c>
      <c r="L446" s="56">
        <v>14242</v>
      </c>
      <c r="M446" s="56"/>
      <c r="N446" s="57">
        <v>3414</v>
      </c>
      <c r="O446" s="57">
        <v>31508</v>
      </c>
      <c r="P446" s="57">
        <v>0</v>
      </c>
      <c r="Q446" s="56">
        <v>2442</v>
      </c>
      <c r="R446" s="57">
        <f t="shared" si="6"/>
        <v>53859</v>
      </c>
      <c r="S446" s="56"/>
      <c r="T446" s="57">
        <v>26038</v>
      </c>
      <c r="U446" s="58">
        <v>3648</v>
      </c>
      <c r="V446" s="58">
        <v>29686</v>
      </c>
    </row>
    <row r="447" spans="1:22">
      <c r="A447" s="54">
        <v>94601</v>
      </c>
      <c r="B447" s="55" t="s">
        <v>1824</v>
      </c>
      <c r="C447" s="106">
        <v>1.0011E-3</v>
      </c>
      <c r="D447" s="106">
        <v>9.7179999999999999E-4</v>
      </c>
      <c r="E447" s="56">
        <v>433754.10999999993</v>
      </c>
      <c r="F447" s="56">
        <v>436138</v>
      </c>
      <c r="G447" s="56">
        <v>2124670</v>
      </c>
      <c r="H447" s="56"/>
      <c r="I447" s="57">
        <v>39919</v>
      </c>
      <c r="J447" s="57">
        <v>1861888</v>
      </c>
      <c r="K447" s="57">
        <v>145521</v>
      </c>
      <c r="L447" s="56">
        <v>36047</v>
      </c>
      <c r="M447" s="56"/>
      <c r="N447" s="57">
        <v>74451</v>
      </c>
      <c r="O447" s="57">
        <v>687213</v>
      </c>
      <c r="P447" s="57">
        <v>0</v>
      </c>
      <c r="Q447" s="56">
        <v>3381</v>
      </c>
      <c r="R447" s="57">
        <f t="shared" si="6"/>
        <v>1174675</v>
      </c>
      <c r="S447" s="56"/>
      <c r="T447" s="57">
        <v>567893</v>
      </c>
      <c r="U447" s="58">
        <v>8786</v>
      </c>
      <c r="V447" s="58">
        <v>576679</v>
      </c>
    </row>
    <row r="448" spans="1:22">
      <c r="A448" s="54">
        <v>94604</v>
      </c>
      <c r="B448" s="55" t="s">
        <v>1825</v>
      </c>
      <c r="C448" s="106">
        <v>2.65E-5</v>
      </c>
      <c r="D448" s="106">
        <v>2.76E-5</v>
      </c>
      <c r="E448" s="56">
        <v>12705.000000000002</v>
      </c>
      <c r="F448" s="56">
        <v>12387</v>
      </c>
      <c r="G448" s="56">
        <v>56242</v>
      </c>
      <c r="H448" s="56"/>
      <c r="I448" s="57">
        <v>1056.6875</v>
      </c>
      <c r="J448" s="57">
        <v>49286</v>
      </c>
      <c r="K448" s="57">
        <v>3852</v>
      </c>
      <c r="L448" s="56">
        <v>1065</v>
      </c>
      <c r="M448" s="56"/>
      <c r="N448" s="57">
        <v>1971</v>
      </c>
      <c r="O448" s="57">
        <v>18191</v>
      </c>
      <c r="P448" s="57">
        <v>0</v>
      </c>
      <c r="Q448" s="56">
        <v>52</v>
      </c>
      <c r="R448" s="57">
        <f t="shared" si="6"/>
        <v>31095</v>
      </c>
      <c r="S448" s="56"/>
      <c r="T448" s="57">
        <v>15033</v>
      </c>
      <c r="U448" s="58">
        <v>272</v>
      </c>
      <c r="V448" s="58">
        <v>15304</v>
      </c>
    </row>
    <row r="449" spans="1:22">
      <c r="A449" s="54">
        <v>94606</v>
      </c>
      <c r="B449" s="55" t="s">
        <v>1826</v>
      </c>
      <c r="C449" s="106">
        <v>2.6229999999999998E-4</v>
      </c>
      <c r="D449" s="106">
        <v>2.8610000000000002E-4</v>
      </c>
      <c r="E449" s="56">
        <v>101570.82999999999</v>
      </c>
      <c r="F449" s="56">
        <v>128400</v>
      </c>
      <c r="G449" s="56">
        <v>556688</v>
      </c>
      <c r="H449" s="56"/>
      <c r="I449" s="57">
        <v>10459</v>
      </c>
      <c r="J449" s="57">
        <v>487837</v>
      </c>
      <c r="K449" s="57">
        <v>38128</v>
      </c>
      <c r="L449" s="56">
        <v>0</v>
      </c>
      <c r="M449" s="56"/>
      <c r="N449" s="57">
        <v>19507</v>
      </c>
      <c r="O449" s="57">
        <v>180058</v>
      </c>
      <c r="P449" s="57">
        <v>0</v>
      </c>
      <c r="Q449" s="56">
        <v>52213</v>
      </c>
      <c r="R449" s="57">
        <f t="shared" si="6"/>
        <v>307779</v>
      </c>
      <c r="S449" s="56"/>
      <c r="T449" s="57">
        <v>148795</v>
      </c>
      <c r="U449" s="58">
        <v>-19437</v>
      </c>
      <c r="V449" s="58">
        <v>129358</v>
      </c>
    </row>
    <row r="450" spans="1:22">
      <c r="A450" s="54">
        <v>94611</v>
      </c>
      <c r="B450" s="55" t="s">
        <v>1827</v>
      </c>
      <c r="C450" s="106">
        <v>4.4450000000000002E-4</v>
      </c>
      <c r="D450" s="106">
        <v>4.5360000000000002E-4</v>
      </c>
      <c r="E450" s="56">
        <v>189159.12</v>
      </c>
      <c r="F450" s="56">
        <v>203573</v>
      </c>
      <c r="G450" s="56">
        <v>943378</v>
      </c>
      <c r="H450" s="56"/>
      <c r="I450" s="57">
        <v>17724.4375</v>
      </c>
      <c r="J450" s="57">
        <v>826700</v>
      </c>
      <c r="K450" s="57">
        <v>64613</v>
      </c>
      <c r="L450" s="56">
        <v>3960</v>
      </c>
      <c r="M450" s="56"/>
      <c r="N450" s="57">
        <v>33057</v>
      </c>
      <c r="O450" s="57">
        <v>305131</v>
      </c>
      <c r="P450" s="57">
        <v>0</v>
      </c>
      <c r="Q450" s="56">
        <v>4915.3</v>
      </c>
      <c r="R450" s="57">
        <f t="shared" si="6"/>
        <v>521569</v>
      </c>
      <c r="S450" s="56"/>
      <c r="T450" s="57">
        <v>252151</v>
      </c>
      <c r="U450" s="58">
        <v>-1078</v>
      </c>
      <c r="V450" s="58">
        <v>251074</v>
      </c>
    </row>
    <row r="451" spans="1:22">
      <c r="A451" s="54">
        <v>94621</v>
      </c>
      <c r="B451" s="55" t="s">
        <v>1828</v>
      </c>
      <c r="C451" s="106">
        <v>1.3119999999999999E-4</v>
      </c>
      <c r="D451" s="106">
        <v>1.5200000000000001E-4</v>
      </c>
      <c r="E451" s="56">
        <v>64393.31</v>
      </c>
      <c r="F451" s="56">
        <v>68217</v>
      </c>
      <c r="G451" s="56">
        <v>278450</v>
      </c>
      <c r="H451" s="56"/>
      <c r="I451" s="57">
        <v>5232</v>
      </c>
      <c r="J451" s="57">
        <v>244011</v>
      </c>
      <c r="K451" s="57">
        <v>19071</v>
      </c>
      <c r="L451" s="56">
        <v>13237</v>
      </c>
      <c r="M451" s="56"/>
      <c r="N451" s="57">
        <v>9757</v>
      </c>
      <c r="O451" s="57">
        <v>90063</v>
      </c>
      <c r="P451" s="57">
        <v>0</v>
      </c>
      <c r="Q451" s="56">
        <v>19570</v>
      </c>
      <c r="R451" s="57">
        <f t="shared" si="6"/>
        <v>153948</v>
      </c>
      <c r="S451" s="56"/>
      <c r="T451" s="57">
        <v>74426</v>
      </c>
      <c r="U451" s="58">
        <v>-3</v>
      </c>
      <c r="V451" s="58">
        <v>74422</v>
      </c>
    </row>
    <row r="452" spans="1:22">
      <c r="A452" s="54">
        <v>94631</v>
      </c>
      <c r="B452" s="55" t="s">
        <v>1829</v>
      </c>
      <c r="C452" s="106">
        <v>3.9799999999999998E-5</v>
      </c>
      <c r="D452" s="106">
        <v>4.0299999999999997E-5</v>
      </c>
      <c r="E452" s="56">
        <v>19878.57</v>
      </c>
      <c r="F452" s="56">
        <v>18086</v>
      </c>
      <c r="G452" s="56">
        <v>84469</v>
      </c>
      <c r="H452" s="56"/>
      <c r="I452" s="57">
        <v>1587</v>
      </c>
      <c r="J452" s="57">
        <v>74022</v>
      </c>
      <c r="K452" s="57">
        <v>5785</v>
      </c>
      <c r="L452" s="56">
        <v>5170</v>
      </c>
      <c r="M452" s="56"/>
      <c r="N452" s="57">
        <v>2960</v>
      </c>
      <c r="O452" s="57">
        <v>27321</v>
      </c>
      <c r="P452" s="57">
        <v>0</v>
      </c>
      <c r="Q452" s="56">
        <v>0</v>
      </c>
      <c r="R452" s="57">
        <f t="shared" si="6"/>
        <v>46701</v>
      </c>
      <c r="S452" s="56"/>
      <c r="T452" s="57">
        <v>22577</v>
      </c>
      <c r="U452" s="58">
        <v>1734</v>
      </c>
      <c r="V452" s="58">
        <v>24311</v>
      </c>
    </row>
    <row r="453" spans="1:22">
      <c r="A453" s="54">
        <v>94641</v>
      </c>
      <c r="B453" s="55" t="s">
        <v>1830</v>
      </c>
      <c r="C453" s="106">
        <v>4.6999999999999999E-6</v>
      </c>
      <c r="D453" s="106">
        <v>4.6999999999999999E-6</v>
      </c>
      <c r="E453" s="56">
        <v>4524.25</v>
      </c>
      <c r="F453" s="56">
        <v>2109</v>
      </c>
      <c r="G453" s="56">
        <v>9975</v>
      </c>
      <c r="H453" s="56"/>
      <c r="I453" s="57">
        <v>187.41249999999999</v>
      </c>
      <c r="J453" s="57">
        <v>8741</v>
      </c>
      <c r="K453" s="57">
        <v>683</v>
      </c>
      <c r="L453" s="56">
        <v>4799</v>
      </c>
      <c r="M453" s="56"/>
      <c r="N453" s="57">
        <v>350</v>
      </c>
      <c r="O453" s="57">
        <v>3226</v>
      </c>
      <c r="P453" s="57">
        <v>0</v>
      </c>
      <c r="Q453" s="56">
        <v>0</v>
      </c>
      <c r="R453" s="57">
        <f t="shared" si="6"/>
        <v>5515</v>
      </c>
      <c r="S453" s="56"/>
      <c r="T453" s="57">
        <v>2666</v>
      </c>
      <c r="U453" s="58">
        <v>1678</v>
      </c>
      <c r="V453" s="58">
        <v>4344</v>
      </c>
    </row>
    <row r="454" spans="1:22">
      <c r="A454" s="54">
        <v>94701</v>
      </c>
      <c r="B454" s="55" t="s">
        <v>1831</v>
      </c>
      <c r="C454" s="106">
        <v>2.5636000000000001E-3</v>
      </c>
      <c r="D454" s="106">
        <v>2.6064999999999999E-3</v>
      </c>
      <c r="E454" s="56">
        <v>956457.01999999979</v>
      </c>
      <c r="F454" s="56">
        <v>1169782</v>
      </c>
      <c r="G454" s="56">
        <v>5440818</v>
      </c>
      <c r="H454" s="56"/>
      <c r="I454" s="57">
        <v>102223.55</v>
      </c>
      <c r="J454" s="57">
        <v>4767891</v>
      </c>
      <c r="K454" s="57">
        <v>372647</v>
      </c>
      <c r="L454" s="56">
        <v>75767</v>
      </c>
      <c r="M454" s="56"/>
      <c r="N454" s="57">
        <v>190652</v>
      </c>
      <c r="O454" s="57">
        <v>1759804</v>
      </c>
      <c r="P454" s="57">
        <v>0</v>
      </c>
      <c r="Q454" s="56">
        <v>100921</v>
      </c>
      <c r="R454" s="57">
        <f t="shared" si="6"/>
        <v>3008087</v>
      </c>
      <c r="S454" s="56"/>
      <c r="T454" s="57">
        <v>1454251</v>
      </c>
      <c r="U454" s="58">
        <v>4371</v>
      </c>
      <c r="V454" s="58">
        <v>1458622</v>
      </c>
    </row>
    <row r="455" spans="1:22">
      <c r="A455" s="54">
        <v>94704</v>
      </c>
      <c r="B455" s="55" t="s">
        <v>1832</v>
      </c>
      <c r="C455" s="106">
        <v>1.04E-5</v>
      </c>
      <c r="D455" s="106">
        <v>1.0900000000000001E-5</v>
      </c>
      <c r="E455" s="56">
        <v>4510.1299999999992</v>
      </c>
      <c r="F455" s="56">
        <v>4892</v>
      </c>
      <c r="G455" s="56">
        <v>22072</v>
      </c>
      <c r="H455" s="56"/>
      <c r="I455" s="57">
        <v>414.7</v>
      </c>
      <c r="J455" s="57">
        <v>19342</v>
      </c>
      <c r="K455" s="57">
        <v>1512</v>
      </c>
      <c r="L455" s="56">
        <v>147</v>
      </c>
      <c r="M455" s="56"/>
      <c r="N455" s="57">
        <v>773</v>
      </c>
      <c r="O455" s="57">
        <v>7139</v>
      </c>
      <c r="P455" s="57">
        <v>0</v>
      </c>
      <c r="Q455" s="56">
        <v>86</v>
      </c>
      <c r="R455" s="57">
        <f t="shared" ref="R455:R518" si="7">IF(J455&gt;O455,J455-O455,O455-J455)</f>
        <v>12203</v>
      </c>
      <c r="S455" s="56"/>
      <c r="T455" s="57">
        <v>5900</v>
      </c>
      <c r="U455" s="58">
        <v>47</v>
      </c>
      <c r="V455" s="58">
        <v>5946</v>
      </c>
    </row>
    <row r="456" spans="1:22">
      <c r="A456" s="54">
        <v>94711</v>
      </c>
      <c r="B456" s="55" t="s">
        <v>1833</v>
      </c>
      <c r="C456" s="106">
        <v>3.5110000000000002E-4</v>
      </c>
      <c r="D456" s="106">
        <v>3.5270000000000001E-4</v>
      </c>
      <c r="E456" s="56">
        <v>140447.14000000001</v>
      </c>
      <c r="F456" s="56">
        <v>158290</v>
      </c>
      <c r="G456" s="56">
        <v>745152</v>
      </c>
      <c r="H456" s="56"/>
      <c r="I456" s="57">
        <v>14000</v>
      </c>
      <c r="J456" s="57">
        <v>652991</v>
      </c>
      <c r="K456" s="57">
        <v>51036</v>
      </c>
      <c r="L456" s="56">
        <v>14121</v>
      </c>
      <c r="M456" s="56"/>
      <c r="N456" s="57">
        <v>26111</v>
      </c>
      <c r="O456" s="57">
        <v>241015</v>
      </c>
      <c r="P456" s="57">
        <v>0</v>
      </c>
      <c r="Q456" s="56">
        <v>8957</v>
      </c>
      <c r="R456" s="57">
        <f t="shared" si="7"/>
        <v>411976</v>
      </c>
      <c r="S456" s="56"/>
      <c r="T456" s="57">
        <v>199168</v>
      </c>
      <c r="U456" s="58">
        <v>1479</v>
      </c>
      <c r="V456" s="58">
        <v>200647</v>
      </c>
    </row>
    <row r="457" spans="1:22">
      <c r="A457" s="54">
        <v>94801</v>
      </c>
      <c r="B457" s="55" t="s">
        <v>1834</v>
      </c>
      <c r="C457" s="106">
        <v>7.6539999999999996E-4</v>
      </c>
      <c r="D457" s="106">
        <v>7.425E-4</v>
      </c>
      <c r="E457" s="56">
        <v>315763.95000000007</v>
      </c>
      <c r="F457" s="56">
        <v>333230</v>
      </c>
      <c r="G457" s="56">
        <v>1624435</v>
      </c>
      <c r="H457" s="56"/>
      <c r="I457" s="57">
        <v>30520</v>
      </c>
      <c r="J457" s="57">
        <v>1423523</v>
      </c>
      <c r="K457" s="57">
        <v>111259</v>
      </c>
      <c r="L457" s="56">
        <v>62992</v>
      </c>
      <c r="M457" s="56"/>
      <c r="N457" s="57">
        <v>56922</v>
      </c>
      <c r="O457" s="57">
        <v>525415</v>
      </c>
      <c r="P457" s="57">
        <v>0</v>
      </c>
      <c r="Q457" s="56">
        <v>0</v>
      </c>
      <c r="R457" s="57">
        <f t="shared" si="7"/>
        <v>898108</v>
      </c>
      <c r="S457" s="56"/>
      <c r="T457" s="57">
        <v>434188</v>
      </c>
      <c r="U457" s="58">
        <v>22612</v>
      </c>
      <c r="V457" s="58">
        <v>456800</v>
      </c>
    </row>
    <row r="458" spans="1:22">
      <c r="A458" s="54">
        <v>94804</v>
      </c>
      <c r="B458" s="55" t="s">
        <v>1835</v>
      </c>
      <c r="C458" s="106">
        <v>3.8E-6</v>
      </c>
      <c r="D458" s="106">
        <v>5.5999999999999997E-6</v>
      </c>
      <c r="E458" s="56">
        <v>2420.6699999999996</v>
      </c>
      <c r="F458" s="56">
        <v>2513</v>
      </c>
      <c r="G458" s="56">
        <v>8065</v>
      </c>
      <c r="H458" s="56"/>
      <c r="I458" s="57">
        <v>151.52500000000001</v>
      </c>
      <c r="J458" s="57">
        <v>7067</v>
      </c>
      <c r="K458" s="57">
        <v>552</v>
      </c>
      <c r="L458" s="56">
        <v>3516</v>
      </c>
      <c r="M458" s="56"/>
      <c r="N458" s="57">
        <v>283</v>
      </c>
      <c r="O458" s="57">
        <v>2609</v>
      </c>
      <c r="P458" s="57">
        <v>0</v>
      </c>
      <c r="Q458" s="56">
        <v>294</v>
      </c>
      <c r="R458" s="57">
        <f t="shared" si="7"/>
        <v>4458</v>
      </c>
      <c r="S458" s="56"/>
      <c r="T458" s="57">
        <v>2156</v>
      </c>
      <c r="U458" s="58">
        <v>1680</v>
      </c>
      <c r="V458" s="58">
        <v>3836</v>
      </c>
    </row>
    <row r="459" spans="1:22">
      <c r="A459" s="54">
        <v>94812</v>
      </c>
      <c r="B459" s="55" t="s">
        <v>1836</v>
      </c>
      <c r="C459" s="106">
        <v>3.3500000000000001E-5</v>
      </c>
      <c r="D459" s="106">
        <v>2.8200000000000001E-5</v>
      </c>
      <c r="E459" s="56">
        <v>17636.609999999993</v>
      </c>
      <c r="F459" s="56">
        <v>12656</v>
      </c>
      <c r="G459" s="56">
        <v>71098</v>
      </c>
      <c r="H459" s="56"/>
      <c r="I459" s="57">
        <v>1335.8125</v>
      </c>
      <c r="J459" s="57">
        <v>62305</v>
      </c>
      <c r="K459" s="57">
        <v>4870</v>
      </c>
      <c r="L459" s="56">
        <v>10393</v>
      </c>
      <c r="M459" s="56"/>
      <c r="N459" s="57">
        <v>2491</v>
      </c>
      <c r="O459" s="57">
        <v>22996</v>
      </c>
      <c r="P459" s="57">
        <v>0</v>
      </c>
      <c r="Q459" s="56">
        <v>0</v>
      </c>
      <c r="R459" s="57">
        <f t="shared" si="7"/>
        <v>39309</v>
      </c>
      <c r="S459" s="56"/>
      <c r="T459" s="57">
        <v>19004</v>
      </c>
      <c r="U459" s="58">
        <v>3222</v>
      </c>
      <c r="V459" s="58">
        <v>22225</v>
      </c>
    </row>
    <row r="460" spans="1:22">
      <c r="A460" s="54">
        <v>94901</v>
      </c>
      <c r="B460" s="55" t="s">
        <v>1837</v>
      </c>
      <c r="C460" s="106">
        <v>7.0014999999999999E-3</v>
      </c>
      <c r="D460" s="106">
        <v>6.6921999999999997E-3</v>
      </c>
      <c r="E460" s="56">
        <v>2681224.3200000003</v>
      </c>
      <c r="F460" s="56">
        <v>3003419</v>
      </c>
      <c r="G460" s="56">
        <v>14859529</v>
      </c>
      <c r="H460" s="56"/>
      <c r="I460" s="57">
        <v>279185</v>
      </c>
      <c r="J460" s="57">
        <v>13021684</v>
      </c>
      <c r="K460" s="57">
        <v>1017745</v>
      </c>
      <c r="L460" s="56">
        <v>28689</v>
      </c>
      <c r="M460" s="56"/>
      <c r="N460" s="57">
        <v>520695</v>
      </c>
      <c r="O460" s="57">
        <v>4806236</v>
      </c>
      <c r="P460" s="57">
        <v>0</v>
      </c>
      <c r="Q460" s="56">
        <v>82188</v>
      </c>
      <c r="R460" s="57">
        <f t="shared" si="7"/>
        <v>8215448</v>
      </c>
      <c r="S460" s="56"/>
      <c r="T460" s="57">
        <v>3971734</v>
      </c>
      <c r="U460" s="58">
        <v>-17216</v>
      </c>
      <c r="V460" s="58">
        <v>3954518</v>
      </c>
    </row>
    <row r="461" spans="1:22">
      <c r="A461" s="54">
        <v>94908</v>
      </c>
      <c r="B461" s="55" t="s">
        <v>1838</v>
      </c>
      <c r="C461" s="106">
        <v>3.9799999999999998E-5</v>
      </c>
      <c r="D461" s="106">
        <v>4.2799999999999997E-5</v>
      </c>
      <c r="E461" s="56">
        <v>16384.420000000002</v>
      </c>
      <c r="F461" s="56">
        <v>19208</v>
      </c>
      <c r="G461" s="56">
        <v>84469</v>
      </c>
      <c r="H461" s="56"/>
      <c r="I461" s="57">
        <v>1587</v>
      </c>
      <c r="J461" s="57">
        <v>74022</v>
      </c>
      <c r="K461" s="57">
        <v>5785</v>
      </c>
      <c r="L461" s="56">
        <v>0</v>
      </c>
      <c r="M461" s="56"/>
      <c r="N461" s="57">
        <v>2960</v>
      </c>
      <c r="O461" s="57">
        <v>27321</v>
      </c>
      <c r="P461" s="57">
        <v>0</v>
      </c>
      <c r="Q461" s="56">
        <v>5878</v>
      </c>
      <c r="R461" s="57">
        <f t="shared" si="7"/>
        <v>46701</v>
      </c>
      <c r="S461" s="56"/>
      <c r="T461" s="57">
        <v>22577</v>
      </c>
      <c r="U461" s="58">
        <v>-2269</v>
      </c>
      <c r="V461" s="58">
        <v>20308</v>
      </c>
    </row>
    <row r="462" spans="1:22">
      <c r="A462" s="54">
        <v>94911</v>
      </c>
      <c r="B462" s="55" t="s">
        <v>1839</v>
      </c>
      <c r="C462" s="106">
        <v>2.7745999999999999E-3</v>
      </c>
      <c r="D462" s="106">
        <v>2.8086000000000001E-3</v>
      </c>
      <c r="E462" s="56">
        <v>1108370.94</v>
      </c>
      <c r="F462" s="56">
        <v>1260483</v>
      </c>
      <c r="G462" s="56">
        <v>5888631</v>
      </c>
      <c r="H462" s="56"/>
      <c r="I462" s="57">
        <v>110637</v>
      </c>
      <c r="J462" s="57">
        <v>5160318</v>
      </c>
      <c r="K462" s="57">
        <v>403319</v>
      </c>
      <c r="L462" s="56">
        <v>7508</v>
      </c>
      <c r="M462" s="56"/>
      <c r="N462" s="57">
        <v>206344</v>
      </c>
      <c r="O462" s="57">
        <v>1904646</v>
      </c>
      <c r="P462" s="57">
        <v>0</v>
      </c>
      <c r="Q462" s="56">
        <v>58992</v>
      </c>
      <c r="R462" s="57">
        <f t="shared" si="7"/>
        <v>3255672</v>
      </c>
      <c r="S462" s="56"/>
      <c r="T462" s="57">
        <v>1573945</v>
      </c>
      <c r="U462" s="58">
        <v>-16182</v>
      </c>
      <c r="V462" s="58">
        <v>1557762</v>
      </c>
    </row>
    <row r="463" spans="1:22">
      <c r="A463" s="54">
        <v>94917</v>
      </c>
      <c r="B463" s="55" t="s">
        <v>1840</v>
      </c>
      <c r="C463" s="106">
        <v>3.7400000000000001E-5</v>
      </c>
      <c r="D463" s="106">
        <v>4.0399999999999999E-5</v>
      </c>
      <c r="E463" s="56">
        <v>24113.03</v>
      </c>
      <c r="F463" s="56">
        <v>18131</v>
      </c>
      <c r="G463" s="56">
        <v>79375</v>
      </c>
      <c r="H463" s="56"/>
      <c r="I463" s="57">
        <v>1491.325</v>
      </c>
      <c r="J463" s="57">
        <v>69558</v>
      </c>
      <c r="K463" s="57">
        <v>5437</v>
      </c>
      <c r="L463" s="56">
        <v>14598</v>
      </c>
      <c r="M463" s="56"/>
      <c r="N463" s="57">
        <v>2781</v>
      </c>
      <c r="O463" s="57">
        <v>25674</v>
      </c>
      <c r="P463" s="57">
        <v>0</v>
      </c>
      <c r="Q463" s="56">
        <v>0</v>
      </c>
      <c r="R463" s="57">
        <f t="shared" si="7"/>
        <v>43884</v>
      </c>
      <c r="S463" s="56"/>
      <c r="T463" s="57">
        <v>21216</v>
      </c>
      <c r="U463" s="58">
        <v>5296</v>
      </c>
      <c r="V463" s="58">
        <v>26512</v>
      </c>
    </row>
    <row r="464" spans="1:22">
      <c r="A464" s="54">
        <v>94921</v>
      </c>
      <c r="B464" s="55" t="s">
        <v>1841</v>
      </c>
      <c r="C464" s="106">
        <v>3.7063E-3</v>
      </c>
      <c r="D464" s="106">
        <v>4.0699999999999998E-3</v>
      </c>
      <c r="E464" s="56">
        <v>1372917.85</v>
      </c>
      <c r="F464" s="56">
        <v>1826592</v>
      </c>
      <c r="G464" s="56">
        <v>7866010</v>
      </c>
      <c r="H464" s="56"/>
      <c r="I464" s="57">
        <v>147789</v>
      </c>
      <c r="J464" s="57">
        <v>6893132</v>
      </c>
      <c r="K464" s="57">
        <v>538751</v>
      </c>
      <c r="L464" s="56">
        <v>0</v>
      </c>
      <c r="M464" s="56"/>
      <c r="N464" s="57">
        <v>275634</v>
      </c>
      <c r="O464" s="57">
        <v>2544219</v>
      </c>
      <c r="P464" s="57">
        <v>0</v>
      </c>
      <c r="Q464" s="56">
        <v>505665</v>
      </c>
      <c r="R464" s="57">
        <f t="shared" si="7"/>
        <v>4348913</v>
      </c>
      <c r="S464" s="56"/>
      <c r="T464" s="57">
        <v>2102469</v>
      </c>
      <c r="U464" s="58">
        <v>-155426</v>
      </c>
      <c r="V464" s="58">
        <v>1947043</v>
      </c>
    </row>
    <row r="465" spans="1:22">
      <c r="A465" s="54">
        <v>94923</v>
      </c>
      <c r="B465" s="55" t="s">
        <v>1842</v>
      </c>
      <c r="C465" s="106">
        <v>2.4499999999999999E-5</v>
      </c>
      <c r="D465" s="106">
        <v>2.9300000000000001E-5</v>
      </c>
      <c r="E465" s="56">
        <v>14093.810000000001</v>
      </c>
      <c r="F465" s="56">
        <v>13150</v>
      </c>
      <c r="G465" s="56">
        <v>51997</v>
      </c>
      <c r="H465" s="56"/>
      <c r="I465" s="57">
        <v>976.9375</v>
      </c>
      <c r="J465" s="57">
        <v>45566</v>
      </c>
      <c r="K465" s="57">
        <v>3561</v>
      </c>
      <c r="L465" s="56">
        <v>1458</v>
      </c>
      <c r="M465" s="56"/>
      <c r="N465" s="57">
        <v>1822</v>
      </c>
      <c r="O465" s="57">
        <v>16818</v>
      </c>
      <c r="P465" s="57">
        <v>0</v>
      </c>
      <c r="Q465" s="56">
        <v>173</v>
      </c>
      <c r="R465" s="57">
        <f t="shared" si="7"/>
        <v>28748</v>
      </c>
      <c r="S465" s="56"/>
      <c r="T465" s="57">
        <v>13898</v>
      </c>
      <c r="U465" s="58">
        <v>373</v>
      </c>
      <c r="V465" s="58">
        <v>14272</v>
      </c>
    </row>
    <row r="466" spans="1:22">
      <c r="A466" s="54">
        <v>94927</v>
      </c>
      <c r="B466" s="55" t="s">
        <v>1843</v>
      </c>
      <c r="C466" s="106">
        <v>3.3899999999999997E-5</v>
      </c>
      <c r="D466" s="106">
        <v>3.2700000000000002E-5</v>
      </c>
      <c r="E466" s="56">
        <v>16597.12</v>
      </c>
      <c r="F466" s="56">
        <v>14676</v>
      </c>
      <c r="G466" s="56">
        <v>71947</v>
      </c>
      <c r="H466" s="56"/>
      <c r="I466" s="57">
        <v>1352</v>
      </c>
      <c r="J466" s="57">
        <v>63049</v>
      </c>
      <c r="K466" s="57">
        <v>4928</v>
      </c>
      <c r="L466" s="56">
        <v>3081</v>
      </c>
      <c r="M466" s="56"/>
      <c r="N466" s="57">
        <v>2521</v>
      </c>
      <c r="O466" s="57">
        <v>23271</v>
      </c>
      <c r="P466" s="57">
        <v>0</v>
      </c>
      <c r="Q466" s="56">
        <v>52</v>
      </c>
      <c r="R466" s="57">
        <f t="shared" si="7"/>
        <v>39778</v>
      </c>
      <c r="S466" s="56"/>
      <c r="T466" s="57">
        <v>19230</v>
      </c>
      <c r="U466" s="58">
        <v>803</v>
      </c>
      <c r="V466" s="58">
        <v>20033</v>
      </c>
    </row>
    <row r="467" spans="1:22">
      <c r="A467" s="54">
        <v>94931</v>
      </c>
      <c r="B467" s="55" t="s">
        <v>1844</v>
      </c>
      <c r="C467" s="106">
        <v>2.1130000000000001E-4</v>
      </c>
      <c r="D467" s="106">
        <v>2.4020000000000001E-4</v>
      </c>
      <c r="E467" s="56">
        <v>88195.43</v>
      </c>
      <c r="F467" s="56">
        <v>107800</v>
      </c>
      <c r="G467" s="56">
        <v>448449</v>
      </c>
      <c r="H467" s="56"/>
      <c r="I467" s="57">
        <v>8426</v>
      </c>
      <c r="J467" s="57">
        <v>392985</v>
      </c>
      <c r="K467" s="57">
        <v>30715</v>
      </c>
      <c r="L467" s="56">
        <v>0</v>
      </c>
      <c r="M467" s="56"/>
      <c r="N467" s="57">
        <v>15714</v>
      </c>
      <c r="O467" s="57">
        <v>145049</v>
      </c>
      <c r="P467" s="57">
        <v>0</v>
      </c>
      <c r="Q467" s="56">
        <v>23880</v>
      </c>
      <c r="R467" s="57">
        <f t="shared" si="7"/>
        <v>247936</v>
      </c>
      <c r="S467" s="56"/>
      <c r="T467" s="57">
        <v>119864</v>
      </c>
      <c r="U467" s="58">
        <v>-8140</v>
      </c>
      <c r="V467" s="58">
        <v>111724</v>
      </c>
    </row>
    <row r="468" spans="1:22">
      <c r="A468" s="54">
        <v>94941</v>
      </c>
      <c r="B468" s="55" t="s">
        <v>1845</v>
      </c>
      <c r="C468" s="106">
        <v>5.2959999999999997E-4</v>
      </c>
      <c r="D468" s="106">
        <v>5.0549999999999998E-4</v>
      </c>
      <c r="E468" s="56">
        <v>202001.05</v>
      </c>
      <c r="F468" s="56">
        <v>226865</v>
      </c>
      <c r="G468" s="56">
        <v>1123989</v>
      </c>
      <c r="H468" s="56"/>
      <c r="I468" s="57">
        <v>21117.8</v>
      </c>
      <c r="J468" s="57">
        <v>984972</v>
      </c>
      <c r="K468" s="57">
        <v>76983</v>
      </c>
      <c r="L468" s="56">
        <v>96457</v>
      </c>
      <c r="M468" s="56"/>
      <c r="N468" s="57">
        <v>39386</v>
      </c>
      <c r="O468" s="57">
        <v>363548</v>
      </c>
      <c r="P468" s="57">
        <v>0</v>
      </c>
      <c r="Q468" s="56">
        <v>0</v>
      </c>
      <c r="R468" s="57">
        <f t="shared" si="7"/>
        <v>621424</v>
      </c>
      <c r="S468" s="56"/>
      <c r="T468" s="57">
        <v>300426</v>
      </c>
      <c r="U468" s="58">
        <v>42457</v>
      </c>
      <c r="V468" s="58">
        <v>342883</v>
      </c>
    </row>
    <row r="469" spans="1:22">
      <c r="A469" s="54">
        <v>95001</v>
      </c>
      <c r="B469" s="55" t="s">
        <v>1846</v>
      </c>
      <c r="C469" s="106">
        <v>2.3779000000000001E-3</v>
      </c>
      <c r="D469" s="106">
        <v>2.3674E-3</v>
      </c>
      <c r="E469" s="56">
        <v>1026879.06</v>
      </c>
      <c r="F469" s="56">
        <v>1062475</v>
      </c>
      <c r="G469" s="56">
        <v>5046700</v>
      </c>
      <c r="H469" s="56"/>
      <c r="I469" s="57">
        <v>94819</v>
      </c>
      <c r="J469" s="57">
        <v>4422518</v>
      </c>
      <c r="K469" s="57">
        <v>345654</v>
      </c>
      <c r="L469" s="56">
        <v>86860</v>
      </c>
      <c r="M469" s="56"/>
      <c r="N469" s="57">
        <v>176842</v>
      </c>
      <c r="O469" s="57">
        <v>1632328</v>
      </c>
      <c r="P469" s="57">
        <v>0</v>
      </c>
      <c r="Q469" s="56">
        <v>8022</v>
      </c>
      <c r="R469" s="57">
        <f t="shared" si="7"/>
        <v>2790190</v>
      </c>
      <c r="S469" s="56"/>
      <c r="T469" s="57">
        <v>1348909</v>
      </c>
      <c r="U469" s="58">
        <v>22510</v>
      </c>
      <c r="V469" s="58">
        <v>1371419</v>
      </c>
    </row>
    <row r="470" spans="1:22">
      <c r="A470" s="54">
        <v>95002</v>
      </c>
      <c r="B470" s="55" t="s">
        <v>1847</v>
      </c>
      <c r="C470" s="106">
        <v>2.0120000000000001E-4</v>
      </c>
      <c r="D470" s="106">
        <v>1.919E-4</v>
      </c>
      <c r="E470" s="56">
        <v>91760.39</v>
      </c>
      <c r="F470" s="56">
        <v>86124</v>
      </c>
      <c r="G470" s="56">
        <v>427014</v>
      </c>
      <c r="H470" s="56"/>
      <c r="I470" s="57">
        <v>8022.85</v>
      </c>
      <c r="J470" s="57">
        <v>374200</v>
      </c>
      <c r="K470" s="57">
        <v>29247</v>
      </c>
      <c r="L470" s="56">
        <v>17432</v>
      </c>
      <c r="M470" s="56"/>
      <c r="N470" s="57">
        <v>14963</v>
      </c>
      <c r="O470" s="57">
        <v>138115</v>
      </c>
      <c r="P470" s="57">
        <v>0</v>
      </c>
      <c r="Q470" s="56">
        <v>0</v>
      </c>
      <c r="R470" s="57">
        <f t="shared" si="7"/>
        <v>236085</v>
      </c>
      <c r="S470" s="56"/>
      <c r="T470" s="57">
        <v>114135</v>
      </c>
      <c r="U470" s="58">
        <v>5391</v>
      </c>
      <c r="V470" s="58">
        <v>119526</v>
      </c>
    </row>
    <row r="471" spans="1:22">
      <c r="A471" s="54">
        <v>95005</v>
      </c>
      <c r="B471" s="55" t="s">
        <v>1848</v>
      </c>
      <c r="C471" s="106">
        <v>2.3829999999999999E-4</v>
      </c>
      <c r="D471" s="106">
        <v>2.4499999999999999E-4</v>
      </c>
      <c r="E471" s="56">
        <v>102066.84000000001</v>
      </c>
      <c r="F471" s="56">
        <v>109954.53</v>
      </c>
      <c r="G471" s="56">
        <v>505752</v>
      </c>
      <c r="H471" s="56"/>
      <c r="I471" s="57">
        <v>9502</v>
      </c>
      <c r="J471" s="57">
        <v>443200</v>
      </c>
      <c r="K471" s="57">
        <v>34640</v>
      </c>
      <c r="L471" s="56">
        <v>23207</v>
      </c>
      <c r="M471" s="56"/>
      <c r="N471" s="57">
        <v>17722</v>
      </c>
      <c r="O471" s="57">
        <v>163583</v>
      </c>
      <c r="P471" s="57">
        <v>0</v>
      </c>
      <c r="Q471" s="56">
        <v>399</v>
      </c>
      <c r="R471" s="57">
        <f t="shared" si="7"/>
        <v>279617</v>
      </c>
      <c r="S471" s="56"/>
      <c r="T471" s="57">
        <v>135180</v>
      </c>
      <c r="U471" s="58">
        <v>9376</v>
      </c>
      <c r="V471" s="58">
        <v>144556</v>
      </c>
    </row>
    <row r="472" spans="1:22">
      <c r="A472" s="54">
        <v>95008</v>
      </c>
      <c r="B472" s="55" t="s">
        <v>1849</v>
      </c>
      <c r="C472" s="106">
        <v>1.169E-4</v>
      </c>
      <c r="D472" s="106">
        <v>1.3669999999999999E-4</v>
      </c>
      <c r="E472" s="56">
        <v>50977.440000000002</v>
      </c>
      <c r="F472" s="56">
        <v>61350</v>
      </c>
      <c r="G472" s="56">
        <v>248101</v>
      </c>
      <c r="H472" s="56"/>
      <c r="I472" s="57">
        <v>4661</v>
      </c>
      <c r="J472" s="57">
        <v>217416</v>
      </c>
      <c r="K472" s="57">
        <v>16993</v>
      </c>
      <c r="L472" s="56">
        <v>21945</v>
      </c>
      <c r="M472" s="56"/>
      <c r="N472" s="57">
        <v>8694</v>
      </c>
      <c r="O472" s="57">
        <v>80247</v>
      </c>
      <c r="P472" s="57">
        <v>0</v>
      </c>
      <c r="Q472" s="56">
        <v>8420</v>
      </c>
      <c r="R472" s="57">
        <f t="shared" si="7"/>
        <v>137169</v>
      </c>
      <c r="S472" s="56"/>
      <c r="T472" s="57">
        <v>66314</v>
      </c>
      <c r="U472" s="58">
        <v>7393</v>
      </c>
      <c r="V472" s="58">
        <v>73707</v>
      </c>
    </row>
    <row r="473" spans="1:22">
      <c r="A473" s="54">
        <v>95009</v>
      </c>
      <c r="B473" s="55" t="s">
        <v>2294</v>
      </c>
      <c r="C473" s="106">
        <v>3.9902000000000002E-3</v>
      </c>
      <c r="D473" s="106">
        <v>3.614E-3</v>
      </c>
      <c r="E473" s="56">
        <v>1651705.2100000002</v>
      </c>
      <c r="F473" s="56">
        <v>1621942</v>
      </c>
      <c r="G473" s="56">
        <v>8468541</v>
      </c>
      <c r="H473" s="56"/>
      <c r="I473" s="57">
        <v>159109</v>
      </c>
      <c r="J473" s="57">
        <v>7421142</v>
      </c>
      <c r="K473" s="57">
        <v>580019</v>
      </c>
      <c r="L473" s="56">
        <v>1306132</v>
      </c>
      <c r="M473" s="56"/>
      <c r="N473" s="57">
        <v>296747</v>
      </c>
      <c r="O473" s="57">
        <v>2739105</v>
      </c>
      <c r="P473" s="57">
        <v>0</v>
      </c>
      <c r="Q473" s="56">
        <v>0</v>
      </c>
      <c r="R473" s="57">
        <f t="shared" si="7"/>
        <v>4682037</v>
      </c>
      <c r="S473" s="56"/>
      <c r="T473" s="57">
        <v>2263517</v>
      </c>
      <c r="U473" s="58">
        <v>547444</v>
      </c>
      <c r="V473" s="58">
        <v>2810961</v>
      </c>
    </row>
    <row r="474" spans="1:22">
      <c r="A474" s="54">
        <v>95011</v>
      </c>
      <c r="B474" s="55" t="s">
        <v>1851</v>
      </c>
      <c r="C474" s="106">
        <v>1.707E-4</v>
      </c>
      <c r="D474" s="106">
        <v>1.8760000000000001E-4</v>
      </c>
      <c r="E474" s="56">
        <v>71947.840000000011</v>
      </c>
      <c r="F474" s="56">
        <v>84194</v>
      </c>
      <c r="G474" s="56">
        <v>362283</v>
      </c>
      <c r="H474" s="56"/>
      <c r="I474" s="57">
        <v>6807</v>
      </c>
      <c r="J474" s="57">
        <v>317475</v>
      </c>
      <c r="K474" s="57">
        <v>24813</v>
      </c>
      <c r="L474" s="56">
        <v>0</v>
      </c>
      <c r="M474" s="56"/>
      <c r="N474" s="57">
        <v>12695</v>
      </c>
      <c r="O474" s="57">
        <v>117178</v>
      </c>
      <c r="P474" s="57">
        <v>0</v>
      </c>
      <c r="Q474" s="56">
        <v>13568</v>
      </c>
      <c r="R474" s="57">
        <f t="shared" si="7"/>
        <v>200297</v>
      </c>
      <c r="S474" s="56"/>
      <c r="T474" s="57">
        <v>96833</v>
      </c>
      <c r="U474" s="58">
        <v>-4659</v>
      </c>
      <c r="V474" s="58">
        <v>92174</v>
      </c>
    </row>
    <row r="475" spans="1:22">
      <c r="A475" s="54">
        <v>95017</v>
      </c>
      <c r="B475" s="55" t="s">
        <v>1852</v>
      </c>
      <c r="C475" s="106">
        <v>3.5800000000000003E-5</v>
      </c>
      <c r="D475" s="106">
        <v>3.9900000000000001E-5</v>
      </c>
      <c r="E475" s="56">
        <v>21743.88</v>
      </c>
      <c r="F475" s="56">
        <v>17907</v>
      </c>
      <c r="G475" s="56">
        <v>75980</v>
      </c>
      <c r="H475" s="56"/>
      <c r="I475" s="57">
        <v>1427.5250000000001</v>
      </c>
      <c r="J475" s="57">
        <v>66582</v>
      </c>
      <c r="K475" s="57">
        <v>5204</v>
      </c>
      <c r="L475" s="56">
        <v>20942</v>
      </c>
      <c r="M475" s="56"/>
      <c r="N475" s="57">
        <v>2662</v>
      </c>
      <c r="O475" s="57">
        <v>24575</v>
      </c>
      <c r="P475" s="57">
        <v>0</v>
      </c>
      <c r="Q475" s="56">
        <v>0</v>
      </c>
      <c r="R475" s="57">
        <f t="shared" si="7"/>
        <v>42007</v>
      </c>
      <c r="S475" s="56"/>
      <c r="T475" s="57">
        <v>20308</v>
      </c>
      <c r="U475" s="58">
        <v>7629</v>
      </c>
      <c r="V475" s="58">
        <v>27937</v>
      </c>
    </row>
    <row r="476" spans="1:22">
      <c r="A476" s="54">
        <v>95101</v>
      </c>
      <c r="B476" s="55" t="s">
        <v>1853</v>
      </c>
      <c r="C476" s="106">
        <v>8.0955999999999997E-3</v>
      </c>
      <c r="D476" s="106">
        <v>7.8796000000000005E-3</v>
      </c>
      <c r="E476" s="56">
        <v>3063500.72</v>
      </c>
      <c r="F476" s="56">
        <v>3536317</v>
      </c>
      <c r="G476" s="56">
        <v>17181575</v>
      </c>
      <c r="H476" s="56"/>
      <c r="I476" s="57">
        <v>322812.05</v>
      </c>
      <c r="J476" s="57">
        <v>15056537</v>
      </c>
      <c r="K476" s="57">
        <v>1176785</v>
      </c>
      <c r="L476" s="56">
        <v>77016</v>
      </c>
      <c r="M476" s="56"/>
      <c r="N476" s="57">
        <v>602062</v>
      </c>
      <c r="O476" s="57">
        <v>5557289</v>
      </c>
      <c r="P476" s="57">
        <v>0</v>
      </c>
      <c r="Q476" s="56">
        <v>94065</v>
      </c>
      <c r="R476" s="57">
        <f t="shared" si="7"/>
        <v>9499248</v>
      </c>
      <c r="S476" s="56"/>
      <c r="T476" s="57">
        <v>4592383</v>
      </c>
      <c r="U476" s="58">
        <v>13084</v>
      </c>
      <c r="V476" s="58">
        <v>4605467</v>
      </c>
    </row>
    <row r="477" spans="1:22">
      <c r="A477" s="54">
        <v>95103</v>
      </c>
      <c r="B477" s="55" t="s">
        <v>1854</v>
      </c>
      <c r="C477" s="106">
        <v>6.02E-5</v>
      </c>
      <c r="D477" s="106">
        <v>5.91E-5</v>
      </c>
      <c r="E477" s="56">
        <v>34084.349999999991</v>
      </c>
      <c r="F477" s="56">
        <v>26524</v>
      </c>
      <c r="G477" s="56">
        <v>127765</v>
      </c>
      <c r="H477" s="56"/>
      <c r="I477" s="57">
        <v>2400.4749999999999</v>
      </c>
      <c r="J477" s="57">
        <v>111962</v>
      </c>
      <c r="K477" s="57">
        <v>8751</v>
      </c>
      <c r="L477" s="56">
        <v>41064</v>
      </c>
      <c r="M477" s="56"/>
      <c r="N477" s="57">
        <v>4477</v>
      </c>
      <c r="O477" s="57">
        <v>41325</v>
      </c>
      <c r="P477" s="57">
        <v>0</v>
      </c>
      <c r="Q477" s="56">
        <v>0</v>
      </c>
      <c r="R477" s="57">
        <f t="shared" si="7"/>
        <v>70637</v>
      </c>
      <c r="S477" s="56"/>
      <c r="T477" s="57">
        <v>34150</v>
      </c>
      <c r="U477" s="58">
        <v>17815</v>
      </c>
      <c r="V477" s="58">
        <v>51965</v>
      </c>
    </row>
    <row r="478" spans="1:22">
      <c r="A478" s="54">
        <v>95104</v>
      </c>
      <c r="B478" s="55" t="s">
        <v>1855</v>
      </c>
      <c r="C478" s="106">
        <v>1.011E-4</v>
      </c>
      <c r="D478" s="106">
        <v>1.022E-4</v>
      </c>
      <c r="E478" s="56">
        <v>48495.61</v>
      </c>
      <c r="F478" s="56">
        <v>45867</v>
      </c>
      <c r="G478" s="56">
        <v>214568</v>
      </c>
      <c r="H478" s="56"/>
      <c r="I478" s="57">
        <v>4031</v>
      </c>
      <c r="J478" s="57">
        <v>188030</v>
      </c>
      <c r="K478" s="57">
        <v>14696</v>
      </c>
      <c r="L478" s="56">
        <v>18344</v>
      </c>
      <c r="M478" s="56"/>
      <c r="N478" s="57">
        <v>7519</v>
      </c>
      <c r="O478" s="57">
        <v>69401</v>
      </c>
      <c r="P478" s="57">
        <v>0</v>
      </c>
      <c r="Q478" s="56">
        <v>0</v>
      </c>
      <c r="R478" s="57">
        <f t="shared" si="7"/>
        <v>118629</v>
      </c>
      <c r="S478" s="56"/>
      <c r="T478" s="57">
        <v>57351</v>
      </c>
      <c r="U478" s="58">
        <v>6442</v>
      </c>
      <c r="V478" s="58">
        <v>63793</v>
      </c>
    </row>
    <row r="479" spans="1:22">
      <c r="A479" s="54">
        <v>95105</v>
      </c>
      <c r="B479" s="55" t="s">
        <v>1856</v>
      </c>
      <c r="C479" s="106">
        <v>6.3700000000000003E-5</v>
      </c>
      <c r="D479" s="106">
        <v>6.2199999999999994E-5</v>
      </c>
      <c r="E479" s="56">
        <v>28733.570000000007</v>
      </c>
      <c r="F479" s="56">
        <v>27915</v>
      </c>
      <c r="G479" s="56">
        <v>135193</v>
      </c>
      <c r="H479" s="56"/>
      <c r="I479" s="57">
        <v>2540</v>
      </c>
      <c r="J479" s="57">
        <v>118472</v>
      </c>
      <c r="K479" s="57">
        <v>9259</v>
      </c>
      <c r="L479" s="56">
        <v>9013</v>
      </c>
      <c r="M479" s="56"/>
      <c r="N479" s="57">
        <v>4737</v>
      </c>
      <c r="O479" s="57">
        <v>43727</v>
      </c>
      <c r="P479" s="57">
        <v>0</v>
      </c>
      <c r="Q479" s="56">
        <v>0</v>
      </c>
      <c r="R479" s="57">
        <f t="shared" si="7"/>
        <v>74745</v>
      </c>
      <c r="S479" s="56"/>
      <c r="T479" s="57">
        <v>36135</v>
      </c>
      <c r="U479" s="58">
        <v>3391</v>
      </c>
      <c r="V479" s="58">
        <v>39526</v>
      </c>
    </row>
    <row r="480" spans="1:22">
      <c r="A480" s="54">
        <v>95106</v>
      </c>
      <c r="B480" s="55" t="s">
        <v>1857</v>
      </c>
      <c r="C480" s="106">
        <v>1.3900000000000001E-5</v>
      </c>
      <c r="D480" s="106">
        <v>5.9000000000000003E-6</v>
      </c>
      <c r="E480" s="56">
        <v>4209.76</v>
      </c>
      <c r="F480" s="56">
        <v>2648</v>
      </c>
      <c r="G480" s="56">
        <v>29500</v>
      </c>
      <c r="H480" s="56"/>
      <c r="I480" s="57">
        <v>554</v>
      </c>
      <c r="J480" s="57">
        <v>25852</v>
      </c>
      <c r="K480" s="57">
        <v>2021</v>
      </c>
      <c r="L480" s="56">
        <v>7510</v>
      </c>
      <c r="M480" s="56"/>
      <c r="N480" s="57">
        <v>1034</v>
      </c>
      <c r="O480" s="57">
        <v>9542</v>
      </c>
      <c r="P480" s="57">
        <v>0</v>
      </c>
      <c r="Q480" s="56">
        <v>0</v>
      </c>
      <c r="R480" s="57">
        <f t="shared" si="7"/>
        <v>16310</v>
      </c>
      <c r="S480" s="56"/>
      <c r="T480" s="57">
        <v>7885</v>
      </c>
      <c r="U480" s="58">
        <v>2593</v>
      </c>
      <c r="V480" s="58">
        <v>10478</v>
      </c>
    </row>
    <row r="481" spans="1:22">
      <c r="A481" s="54">
        <v>95110</v>
      </c>
      <c r="B481" s="55" t="s">
        <v>1858</v>
      </c>
      <c r="C481" s="106">
        <v>4.4609000000000003E-3</v>
      </c>
      <c r="D481" s="106">
        <v>5.5170000000000002E-3</v>
      </c>
      <c r="E481" s="56">
        <v>1868606.24</v>
      </c>
      <c r="F481" s="56">
        <v>2475996</v>
      </c>
      <c r="G481" s="56">
        <v>9467524</v>
      </c>
      <c r="H481" s="56"/>
      <c r="I481" s="57">
        <v>177878</v>
      </c>
      <c r="J481" s="57">
        <v>8296569</v>
      </c>
      <c r="K481" s="57">
        <v>648441</v>
      </c>
      <c r="L481" s="56">
        <v>0</v>
      </c>
      <c r="M481" s="56"/>
      <c r="N481" s="57">
        <v>331753</v>
      </c>
      <c r="O481" s="57">
        <v>3062220</v>
      </c>
      <c r="P481" s="57">
        <v>0</v>
      </c>
      <c r="Q481" s="56">
        <v>1586204</v>
      </c>
      <c r="R481" s="57">
        <f t="shared" si="7"/>
        <v>5234349</v>
      </c>
      <c r="S481" s="56"/>
      <c r="T481" s="57">
        <v>2530530</v>
      </c>
      <c r="U481" s="58">
        <v>-606775</v>
      </c>
      <c r="V481" s="58">
        <v>1923756</v>
      </c>
    </row>
    <row r="482" spans="1:22">
      <c r="A482" s="54">
        <v>95111</v>
      </c>
      <c r="B482" s="55" t="s">
        <v>1859</v>
      </c>
      <c r="C482" s="106">
        <v>1.0709000000000001E-3</v>
      </c>
      <c r="D482" s="106">
        <v>1.1418999999999999E-3</v>
      </c>
      <c r="E482" s="56">
        <v>392359.07</v>
      </c>
      <c r="F482" s="56">
        <v>512478</v>
      </c>
      <c r="G482" s="56">
        <v>2272809</v>
      </c>
      <c r="H482" s="56"/>
      <c r="I482" s="57">
        <v>42702</v>
      </c>
      <c r="J482" s="57">
        <v>1991705</v>
      </c>
      <c r="K482" s="57">
        <v>155667</v>
      </c>
      <c r="L482" s="56">
        <v>0</v>
      </c>
      <c r="M482" s="56"/>
      <c r="N482" s="57">
        <v>79642</v>
      </c>
      <c r="O482" s="57">
        <v>735128</v>
      </c>
      <c r="P482" s="57">
        <v>0</v>
      </c>
      <c r="Q482" s="56">
        <v>161003</v>
      </c>
      <c r="R482" s="57">
        <f t="shared" si="7"/>
        <v>1256577</v>
      </c>
      <c r="S482" s="56"/>
      <c r="T482" s="57">
        <v>607488</v>
      </c>
      <c r="U482" s="58">
        <v>-55722</v>
      </c>
      <c r="V482" s="58">
        <v>551766</v>
      </c>
    </row>
    <row r="483" spans="1:22">
      <c r="A483" s="54">
        <v>95113</v>
      </c>
      <c r="B483" s="55" t="s">
        <v>1860</v>
      </c>
      <c r="C483" s="106">
        <v>4.7500000000000003E-5</v>
      </c>
      <c r="D483" s="106">
        <v>4.4299999999999999E-5</v>
      </c>
      <c r="E483" s="56">
        <v>62344.110000000008</v>
      </c>
      <c r="F483" s="56">
        <v>19882</v>
      </c>
      <c r="G483" s="56">
        <v>100811</v>
      </c>
      <c r="H483" s="56"/>
      <c r="I483" s="57">
        <v>1894.0625</v>
      </c>
      <c r="J483" s="57">
        <v>88342</v>
      </c>
      <c r="K483" s="57">
        <v>6905</v>
      </c>
      <c r="L483" s="56">
        <v>69845</v>
      </c>
      <c r="M483" s="56"/>
      <c r="N483" s="57">
        <v>3533</v>
      </c>
      <c r="O483" s="57">
        <v>32607</v>
      </c>
      <c r="P483" s="57">
        <v>0</v>
      </c>
      <c r="Q483" s="56">
        <v>0</v>
      </c>
      <c r="R483" s="57">
        <f t="shared" si="7"/>
        <v>55735</v>
      </c>
      <c r="S483" s="56"/>
      <c r="T483" s="57">
        <v>26945</v>
      </c>
      <c r="U483" s="58">
        <v>22543</v>
      </c>
      <c r="V483" s="58">
        <v>49489</v>
      </c>
    </row>
    <row r="484" spans="1:22">
      <c r="A484" s="54">
        <v>95121</v>
      </c>
      <c r="B484" s="55" t="s">
        <v>1861</v>
      </c>
      <c r="C484" s="106">
        <v>4.9580000000000002E-4</v>
      </c>
      <c r="D484" s="106">
        <v>4.7540000000000001E-4</v>
      </c>
      <c r="E484" s="56">
        <v>201528.43</v>
      </c>
      <c r="F484" s="56">
        <v>213357</v>
      </c>
      <c r="G484" s="56">
        <v>1052254</v>
      </c>
      <c r="H484" s="56"/>
      <c r="I484" s="57">
        <v>19770</v>
      </c>
      <c r="J484" s="57">
        <v>922110</v>
      </c>
      <c r="K484" s="57">
        <v>72070</v>
      </c>
      <c r="L484" s="56">
        <v>18227</v>
      </c>
      <c r="M484" s="56"/>
      <c r="N484" s="57">
        <v>36872</v>
      </c>
      <c r="O484" s="57">
        <v>340346</v>
      </c>
      <c r="P484" s="57">
        <v>0</v>
      </c>
      <c r="Q484" s="56">
        <v>25446.13</v>
      </c>
      <c r="R484" s="57">
        <f t="shared" si="7"/>
        <v>581764</v>
      </c>
      <c r="S484" s="56"/>
      <c r="T484" s="57">
        <v>281252</v>
      </c>
      <c r="U484" s="58">
        <v>-7200</v>
      </c>
      <c r="V484" s="58">
        <v>274052</v>
      </c>
    </row>
    <row r="485" spans="1:22">
      <c r="A485" s="54">
        <v>95122</v>
      </c>
      <c r="B485" s="55" t="s">
        <v>1862</v>
      </c>
      <c r="C485" s="106">
        <v>2.7999999999999999E-6</v>
      </c>
      <c r="D485" s="106">
        <v>3.3000000000000002E-6</v>
      </c>
      <c r="E485" s="56">
        <v>2740.07</v>
      </c>
      <c r="F485" s="56">
        <v>1481</v>
      </c>
      <c r="G485" s="56">
        <v>5943</v>
      </c>
      <c r="H485" s="56"/>
      <c r="I485" s="57">
        <v>112</v>
      </c>
      <c r="J485" s="57">
        <v>5208</v>
      </c>
      <c r="K485" s="57">
        <v>407</v>
      </c>
      <c r="L485" s="56">
        <v>1558</v>
      </c>
      <c r="M485" s="56"/>
      <c r="N485" s="57">
        <v>208</v>
      </c>
      <c r="O485" s="57">
        <v>1922</v>
      </c>
      <c r="P485" s="57">
        <v>0</v>
      </c>
      <c r="Q485" s="56">
        <v>0</v>
      </c>
      <c r="R485" s="57">
        <f t="shared" si="7"/>
        <v>3286</v>
      </c>
      <c r="S485" s="56"/>
      <c r="T485" s="57">
        <v>1588</v>
      </c>
      <c r="U485" s="58">
        <v>459</v>
      </c>
      <c r="V485" s="58">
        <v>2048</v>
      </c>
    </row>
    <row r="486" spans="1:22">
      <c r="A486" s="54">
        <v>95123</v>
      </c>
      <c r="B486" s="55" t="s">
        <v>1863</v>
      </c>
      <c r="C486" s="106">
        <v>5.6700000000000003E-5</v>
      </c>
      <c r="D486" s="106">
        <v>5.1199999999999998E-5</v>
      </c>
      <c r="E486" s="56">
        <v>25666.18</v>
      </c>
      <c r="F486" s="56">
        <v>22978</v>
      </c>
      <c r="G486" s="56">
        <v>120336</v>
      </c>
      <c r="H486" s="56"/>
      <c r="I486" s="57">
        <v>2261</v>
      </c>
      <c r="J486" s="57">
        <v>105453</v>
      </c>
      <c r="K486" s="57">
        <v>8242</v>
      </c>
      <c r="L486" s="56">
        <v>8689</v>
      </c>
      <c r="M486" s="56"/>
      <c r="N486" s="57">
        <v>4217</v>
      </c>
      <c r="O486" s="57">
        <v>38922</v>
      </c>
      <c r="P486" s="57">
        <v>0</v>
      </c>
      <c r="Q486" s="56">
        <v>2933.26</v>
      </c>
      <c r="R486" s="57">
        <f t="shared" si="7"/>
        <v>66531</v>
      </c>
      <c r="S486" s="56"/>
      <c r="T486" s="57">
        <v>32164</v>
      </c>
      <c r="U486" s="58">
        <v>1144</v>
      </c>
      <c r="V486" s="58">
        <v>33309</v>
      </c>
    </row>
    <row r="487" spans="1:22">
      <c r="A487" s="54">
        <v>95131</v>
      </c>
      <c r="B487" s="55" t="s">
        <v>1864</v>
      </c>
      <c r="C487" s="106">
        <v>1.5451E-3</v>
      </c>
      <c r="D487" s="106">
        <v>1.4713E-3</v>
      </c>
      <c r="E487" s="56">
        <v>607661.46</v>
      </c>
      <c r="F487" s="56">
        <v>660311</v>
      </c>
      <c r="G487" s="56">
        <v>3279220</v>
      </c>
      <c r="H487" s="56"/>
      <c r="I487" s="57">
        <v>61611</v>
      </c>
      <c r="J487" s="57">
        <v>2873642</v>
      </c>
      <c r="K487" s="57">
        <v>224597</v>
      </c>
      <c r="L487" s="56">
        <v>53573</v>
      </c>
      <c r="M487" s="56"/>
      <c r="N487" s="57">
        <v>114908</v>
      </c>
      <c r="O487" s="57">
        <v>1060646</v>
      </c>
      <c r="P487" s="57">
        <v>0</v>
      </c>
      <c r="Q487" s="56">
        <v>1701</v>
      </c>
      <c r="R487" s="57">
        <f t="shared" si="7"/>
        <v>1812996</v>
      </c>
      <c r="S487" s="56"/>
      <c r="T487" s="57">
        <v>876487</v>
      </c>
      <c r="U487" s="58">
        <v>16429</v>
      </c>
      <c r="V487" s="58">
        <v>892916</v>
      </c>
    </row>
    <row r="488" spans="1:22">
      <c r="A488" s="54">
        <v>95141</v>
      </c>
      <c r="B488" s="55" t="s">
        <v>1865</v>
      </c>
      <c r="C488" s="106">
        <v>3.1819999999999998E-4</v>
      </c>
      <c r="D488" s="106">
        <v>2.99E-4</v>
      </c>
      <c r="E488" s="56">
        <v>115455.16</v>
      </c>
      <c r="F488" s="56">
        <v>134189</v>
      </c>
      <c r="G488" s="56">
        <v>675327</v>
      </c>
      <c r="H488" s="56"/>
      <c r="I488" s="57">
        <v>12688</v>
      </c>
      <c r="J488" s="57">
        <v>591802</v>
      </c>
      <c r="K488" s="57">
        <v>46254</v>
      </c>
      <c r="L488" s="56">
        <v>2515.36</v>
      </c>
      <c r="M488" s="56"/>
      <c r="N488" s="57">
        <v>23664</v>
      </c>
      <c r="O488" s="57">
        <v>218431</v>
      </c>
      <c r="P488" s="57">
        <v>0</v>
      </c>
      <c r="Q488" s="56">
        <v>28114</v>
      </c>
      <c r="R488" s="57">
        <f t="shared" si="7"/>
        <v>373371</v>
      </c>
      <c r="S488" s="56"/>
      <c r="T488" s="57">
        <v>180505</v>
      </c>
      <c r="U488" s="58">
        <v>-8530</v>
      </c>
      <c r="V488" s="58">
        <v>171975</v>
      </c>
    </row>
    <row r="489" spans="1:22">
      <c r="A489" s="54">
        <v>95151</v>
      </c>
      <c r="B489" s="55" t="s">
        <v>1866</v>
      </c>
      <c r="C489" s="106">
        <v>1.158E-4</v>
      </c>
      <c r="D489" s="106">
        <v>1.05E-4</v>
      </c>
      <c r="E489" s="56">
        <v>39583.1</v>
      </c>
      <c r="F489" s="56">
        <v>47123.37</v>
      </c>
      <c r="G489" s="56">
        <v>245766</v>
      </c>
      <c r="H489" s="56"/>
      <c r="I489" s="57">
        <v>4618</v>
      </c>
      <c r="J489" s="57">
        <v>215370</v>
      </c>
      <c r="K489" s="57">
        <v>16833</v>
      </c>
      <c r="L489" s="56">
        <v>732.32</v>
      </c>
      <c r="M489" s="56"/>
      <c r="N489" s="57">
        <v>8612</v>
      </c>
      <c r="O489" s="57">
        <v>79492</v>
      </c>
      <c r="P489" s="57">
        <v>0</v>
      </c>
      <c r="Q489" s="56">
        <v>5502</v>
      </c>
      <c r="R489" s="57">
        <f t="shared" si="7"/>
        <v>135878</v>
      </c>
      <c r="S489" s="56"/>
      <c r="T489" s="57">
        <v>65690</v>
      </c>
      <c r="U489" s="58">
        <v>-1532</v>
      </c>
      <c r="V489" s="58">
        <v>64158</v>
      </c>
    </row>
    <row r="490" spans="1:22">
      <c r="A490" s="54">
        <v>95161</v>
      </c>
      <c r="B490" s="55" t="s">
        <v>1867</v>
      </c>
      <c r="C490" s="106">
        <v>7.4800000000000002E-5</v>
      </c>
      <c r="D490" s="106">
        <v>7.0599999999999995E-5</v>
      </c>
      <c r="E490" s="56">
        <v>34991.979999999996</v>
      </c>
      <c r="F490" s="56">
        <v>31685</v>
      </c>
      <c r="G490" s="56">
        <v>158751</v>
      </c>
      <c r="H490" s="56"/>
      <c r="I490" s="57">
        <v>2982.65</v>
      </c>
      <c r="J490" s="57">
        <v>139116</v>
      </c>
      <c r="K490" s="57">
        <v>10873</v>
      </c>
      <c r="L490" s="56">
        <v>6290</v>
      </c>
      <c r="M490" s="56"/>
      <c r="N490" s="57">
        <v>5563</v>
      </c>
      <c r="O490" s="57">
        <v>51347</v>
      </c>
      <c r="P490" s="57">
        <v>0</v>
      </c>
      <c r="Q490" s="56">
        <v>2096</v>
      </c>
      <c r="R490" s="57">
        <f t="shared" si="7"/>
        <v>87769</v>
      </c>
      <c r="S490" s="56"/>
      <c r="T490" s="57">
        <v>42432</v>
      </c>
      <c r="U490" s="58">
        <v>1046</v>
      </c>
      <c r="V490" s="58">
        <v>43477</v>
      </c>
    </row>
    <row r="491" spans="1:22">
      <c r="A491" s="54">
        <v>95171</v>
      </c>
      <c r="B491" s="55" t="s">
        <v>1868</v>
      </c>
      <c r="C491" s="106">
        <v>1.2300000000000001E-4</v>
      </c>
      <c r="D491" s="106">
        <v>1.2740000000000001E-4</v>
      </c>
      <c r="E491" s="56">
        <v>48393.279999999999</v>
      </c>
      <c r="F491" s="56">
        <v>57176</v>
      </c>
      <c r="G491" s="56">
        <v>261047</v>
      </c>
      <c r="H491" s="56"/>
      <c r="I491" s="57">
        <v>4904.625</v>
      </c>
      <c r="J491" s="57">
        <v>228761</v>
      </c>
      <c r="K491" s="57">
        <v>17879</v>
      </c>
      <c r="L491" s="56">
        <v>10389</v>
      </c>
      <c r="M491" s="56"/>
      <c r="N491" s="57">
        <v>9147</v>
      </c>
      <c r="O491" s="57">
        <v>84434</v>
      </c>
      <c r="P491" s="57">
        <v>0</v>
      </c>
      <c r="Q491" s="56">
        <v>12793</v>
      </c>
      <c r="R491" s="57">
        <f t="shared" si="7"/>
        <v>144327</v>
      </c>
      <c r="S491" s="56"/>
      <c r="T491" s="57">
        <v>69774</v>
      </c>
      <c r="U491" s="58">
        <v>-1741</v>
      </c>
      <c r="V491" s="58">
        <v>68033</v>
      </c>
    </row>
    <row r="492" spans="1:22">
      <c r="A492" s="54">
        <v>95181</v>
      </c>
      <c r="B492" s="55" t="s">
        <v>1869</v>
      </c>
      <c r="C492" s="106">
        <v>7.7899999999999996E-5</v>
      </c>
      <c r="D492" s="106">
        <v>8.0400000000000003E-5</v>
      </c>
      <c r="E492" s="56">
        <v>26254.759999999995</v>
      </c>
      <c r="F492" s="56">
        <v>36083</v>
      </c>
      <c r="G492" s="56">
        <v>165330</v>
      </c>
      <c r="H492" s="56"/>
      <c r="I492" s="57">
        <v>3106</v>
      </c>
      <c r="J492" s="57">
        <v>144882</v>
      </c>
      <c r="K492" s="57">
        <v>11324</v>
      </c>
      <c r="L492" s="56">
        <v>1657</v>
      </c>
      <c r="M492" s="56"/>
      <c r="N492" s="57">
        <v>5793</v>
      </c>
      <c r="O492" s="57">
        <v>53475</v>
      </c>
      <c r="P492" s="57">
        <v>0</v>
      </c>
      <c r="Q492" s="56">
        <v>6539</v>
      </c>
      <c r="R492" s="57">
        <f t="shared" si="7"/>
        <v>91407</v>
      </c>
      <c r="S492" s="56"/>
      <c r="T492" s="57">
        <v>44190</v>
      </c>
      <c r="U492" s="58">
        <v>-1251</v>
      </c>
      <c r="V492" s="58">
        <v>42939</v>
      </c>
    </row>
    <row r="493" spans="1:22">
      <c r="A493" s="54">
        <v>95191</v>
      </c>
      <c r="B493" s="55" t="s">
        <v>1870</v>
      </c>
      <c r="C493" s="106">
        <v>5.3999999999999998E-5</v>
      </c>
      <c r="D493" s="106">
        <v>7.9099999999999998E-5</v>
      </c>
      <c r="E493" s="56">
        <v>30331.53</v>
      </c>
      <c r="F493" s="56">
        <v>35500</v>
      </c>
      <c r="G493" s="56">
        <v>114606.09</v>
      </c>
      <c r="H493" s="56"/>
      <c r="I493" s="57">
        <v>2153.25</v>
      </c>
      <c r="J493" s="57">
        <v>100431</v>
      </c>
      <c r="K493" s="57">
        <v>7849</v>
      </c>
      <c r="L493" s="56">
        <v>12291</v>
      </c>
      <c r="M493" s="56"/>
      <c r="N493" s="57">
        <v>4016</v>
      </c>
      <c r="O493" s="57">
        <v>37069</v>
      </c>
      <c r="P493" s="57">
        <v>0</v>
      </c>
      <c r="Q493" s="56">
        <v>7144</v>
      </c>
      <c r="R493" s="57">
        <f t="shared" si="7"/>
        <v>63362</v>
      </c>
      <c r="S493" s="56"/>
      <c r="T493" s="57">
        <v>30633</v>
      </c>
      <c r="U493" s="58">
        <v>3134</v>
      </c>
      <c r="V493" s="58">
        <v>33767</v>
      </c>
    </row>
    <row r="494" spans="1:22">
      <c r="A494" s="54">
        <v>95201</v>
      </c>
      <c r="B494" s="55" t="s">
        <v>1871</v>
      </c>
      <c r="C494" s="106">
        <v>6.8329999999999997E-4</v>
      </c>
      <c r="D494" s="106">
        <v>6.3000000000000003E-4</v>
      </c>
      <c r="E494" s="56">
        <v>255294.02999999994</v>
      </c>
      <c r="F494" s="56">
        <v>282740</v>
      </c>
      <c r="G494" s="56">
        <v>1450192</v>
      </c>
      <c r="H494" s="56"/>
      <c r="I494" s="57">
        <v>27247</v>
      </c>
      <c r="J494" s="57">
        <v>1270830</v>
      </c>
      <c r="K494" s="57">
        <v>99325</v>
      </c>
      <c r="L494" s="56">
        <v>8455</v>
      </c>
      <c r="M494" s="56"/>
      <c r="N494" s="57">
        <v>50816</v>
      </c>
      <c r="O494" s="57">
        <v>469057</v>
      </c>
      <c r="P494" s="57">
        <v>0</v>
      </c>
      <c r="Q494" s="56">
        <v>33064</v>
      </c>
      <c r="R494" s="57">
        <f t="shared" si="7"/>
        <v>801773</v>
      </c>
      <c r="S494" s="56"/>
      <c r="T494" s="57">
        <v>387615</v>
      </c>
      <c r="U494" s="58">
        <v>-9716</v>
      </c>
      <c r="V494" s="58">
        <v>377899</v>
      </c>
    </row>
    <row r="495" spans="1:22">
      <c r="A495" s="54">
        <v>95204</v>
      </c>
      <c r="B495" s="55" t="s">
        <v>1872</v>
      </c>
      <c r="C495" s="106">
        <v>1.1600000000000001E-5</v>
      </c>
      <c r="D495" s="106">
        <v>1.49E-5</v>
      </c>
      <c r="E495" s="56">
        <v>6020.3799999999992</v>
      </c>
      <c r="F495" s="56">
        <v>6687</v>
      </c>
      <c r="G495" s="56">
        <v>24619</v>
      </c>
      <c r="H495" s="56"/>
      <c r="I495" s="57">
        <v>462.55</v>
      </c>
      <c r="J495" s="57">
        <v>21574</v>
      </c>
      <c r="K495" s="57">
        <v>1686</v>
      </c>
      <c r="L495" s="56">
        <v>0</v>
      </c>
      <c r="M495" s="56"/>
      <c r="N495" s="57">
        <v>863</v>
      </c>
      <c r="O495" s="57">
        <v>7963</v>
      </c>
      <c r="P495" s="57">
        <v>0</v>
      </c>
      <c r="Q495" s="56">
        <v>1794</v>
      </c>
      <c r="R495" s="57">
        <f t="shared" si="7"/>
        <v>13611</v>
      </c>
      <c r="S495" s="56"/>
      <c r="T495" s="57">
        <v>6580</v>
      </c>
      <c r="U495" s="58">
        <v>-651</v>
      </c>
      <c r="V495" s="58">
        <v>5930</v>
      </c>
    </row>
    <row r="496" spans="1:22">
      <c r="A496" s="54">
        <v>95205</v>
      </c>
      <c r="B496" s="55" t="s">
        <v>1873</v>
      </c>
      <c r="C496" s="106">
        <v>4.7999999999999998E-6</v>
      </c>
      <c r="D496" s="106">
        <v>5.0000000000000004E-6</v>
      </c>
      <c r="E496" s="56">
        <v>2440.6799999999994</v>
      </c>
      <c r="F496" s="56">
        <v>2244</v>
      </c>
      <c r="G496" s="56">
        <v>10187</v>
      </c>
      <c r="H496" s="56"/>
      <c r="I496" s="57">
        <v>191</v>
      </c>
      <c r="J496" s="57">
        <v>8927</v>
      </c>
      <c r="K496" s="57">
        <v>698</v>
      </c>
      <c r="L496" s="56">
        <v>779</v>
      </c>
      <c r="M496" s="56"/>
      <c r="N496" s="57">
        <v>357</v>
      </c>
      <c r="O496" s="57">
        <v>3295</v>
      </c>
      <c r="P496" s="57">
        <v>0</v>
      </c>
      <c r="Q496" s="56">
        <v>0</v>
      </c>
      <c r="R496" s="57">
        <f t="shared" si="7"/>
        <v>5632</v>
      </c>
      <c r="S496" s="56"/>
      <c r="T496" s="57">
        <v>2723</v>
      </c>
      <c r="U496" s="58">
        <v>284</v>
      </c>
      <c r="V496" s="58">
        <v>3007</v>
      </c>
    </row>
    <row r="497" spans="1:22">
      <c r="A497" s="54">
        <v>95211</v>
      </c>
      <c r="B497" s="55" t="s">
        <v>1874</v>
      </c>
      <c r="C497" s="106">
        <v>9.2E-6</v>
      </c>
      <c r="D497" s="106">
        <v>5.9000000000000003E-6</v>
      </c>
      <c r="E497" s="56">
        <v>4004.9900000000002</v>
      </c>
      <c r="F497" s="56">
        <v>2648</v>
      </c>
      <c r="G497" s="56">
        <v>19525</v>
      </c>
      <c r="H497" s="56"/>
      <c r="I497" s="57">
        <v>366.85</v>
      </c>
      <c r="J497" s="57">
        <v>17111</v>
      </c>
      <c r="K497" s="57">
        <v>1337</v>
      </c>
      <c r="L497" s="56">
        <v>1964</v>
      </c>
      <c r="M497" s="56"/>
      <c r="N497" s="57">
        <v>684</v>
      </c>
      <c r="O497" s="57">
        <v>6315</v>
      </c>
      <c r="P497" s="57">
        <v>0</v>
      </c>
      <c r="Q497" s="56">
        <v>1957</v>
      </c>
      <c r="R497" s="57">
        <f t="shared" si="7"/>
        <v>10796</v>
      </c>
      <c r="S497" s="56"/>
      <c r="T497" s="57">
        <v>5219</v>
      </c>
      <c r="U497" s="58">
        <v>-462</v>
      </c>
      <c r="V497" s="58">
        <v>4757</v>
      </c>
    </row>
    <row r="498" spans="1:22">
      <c r="A498" s="54">
        <v>95221</v>
      </c>
      <c r="B498" s="55" t="s">
        <v>1875</v>
      </c>
      <c r="C498" s="106">
        <v>1.6900000000000001E-5</v>
      </c>
      <c r="D498" s="106">
        <v>4.5099999999999998E-5</v>
      </c>
      <c r="E498" s="56">
        <v>14058.05</v>
      </c>
      <c r="F498" s="56">
        <v>20241</v>
      </c>
      <c r="G498" s="56">
        <v>35867</v>
      </c>
      <c r="H498" s="56"/>
      <c r="I498" s="57">
        <v>673.88750000000005</v>
      </c>
      <c r="J498" s="57">
        <v>31431</v>
      </c>
      <c r="K498" s="57">
        <v>2457</v>
      </c>
      <c r="L498" s="56">
        <v>5443</v>
      </c>
      <c r="M498" s="56"/>
      <c r="N498" s="57">
        <v>1257</v>
      </c>
      <c r="O498" s="57">
        <v>11601</v>
      </c>
      <c r="P498" s="57">
        <v>0</v>
      </c>
      <c r="Q498" s="56">
        <v>16082</v>
      </c>
      <c r="R498" s="57">
        <f t="shared" si="7"/>
        <v>19830</v>
      </c>
      <c r="S498" s="56"/>
      <c r="T498" s="57">
        <v>9587</v>
      </c>
      <c r="U498" s="58">
        <v>-2048</v>
      </c>
      <c r="V498" s="58">
        <v>7539</v>
      </c>
    </row>
    <row r="499" spans="1:22">
      <c r="A499" s="54">
        <v>95301</v>
      </c>
      <c r="B499" s="55" t="s">
        <v>1876</v>
      </c>
      <c r="C499" s="106">
        <v>2.4063999999999999E-3</v>
      </c>
      <c r="D499" s="106">
        <v>2.3544E-3</v>
      </c>
      <c r="E499" s="56">
        <v>972445.58999999973</v>
      </c>
      <c r="F499" s="56">
        <v>1056641</v>
      </c>
      <c r="G499" s="56">
        <v>5107187</v>
      </c>
      <c r="H499" s="56"/>
      <c r="I499" s="57">
        <v>95955.199999999997</v>
      </c>
      <c r="J499" s="57">
        <v>4475524</v>
      </c>
      <c r="K499" s="57">
        <v>349797</v>
      </c>
      <c r="L499" s="56">
        <v>72796</v>
      </c>
      <c r="M499" s="56"/>
      <c r="N499" s="57">
        <v>178962</v>
      </c>
      <c r="O499" s="57">
        <v>1651893</v>
      </c>
      <c r="P499" s="57">
        <v>0</v>
      </c>
      <c r="Q499" s="56">
        <v>22569</v>
      </c>
      <c r="R499" s="57">
        <f t="shared" si="7"/>
        <v>2823631</v>
      </c>
      <c r="S499" s="56"/>
      <c r="T499" s="57">
        <v>1365076</v>
      </c>
      <c r="U499" s="58">
        <v>13085</v>
      </c>
      <c r="V499" s="58">
        <v>1378161</v>
      </c>
    </row>
    <row r="500" spans="1:22">
      <c r="A500" s="54">
        <v>95311</v>
      </c>
      <c r="B500" s="55" t="s">
        <v>1877</v>
      </c>
      <c r="C500" s="106">
        <v>2.6841999999999999E-3</v>
      </c>
      <c r="D500" s="106">
        <v>2.9946E-3</v>
      </c>
      <c r="E500" s="56">
        <v>1161820.17</v>
      </c>
      <c r="F500" s="56">
        <v>1343959</v>
      </c>
      <c r="G500" s="56">
        <v>5696772</v>
      </c>
      <c r="H500" s="56"/>
      <c r="I500" s="57">
        <v>107032</v>
      </c>
      <c r="J500" s="57">
        <v>4992188</v>
      </c>
      <c r="K500" s="57">
        <v>390178</v>
      </c>
      <c r="L500" s="56">
        <v>8404</v>
      </c>
      <c r="M500" s="56"/>
      <c r="N500" s="57">
        <v>199621</v>
      </c>
      <c r="O500" s="57">
        <v>1842591</v>
      </c>
      <c r="P500" s="57">
        <v>0</v>
      </c>
      <c r="Q500" s="56">
        <v>175770</v>
      </c>
      <c r="R500" s="57">
        <f t="shared" si="7"/>
        <v>3149597</v>
      </c>
      <c r="S500" s="56"/>
      <c r="T500" s="57">
        <v>1522663</v>
      </c>
      <c r="U500" s="58">
        <v>-55618</v>
      </c>
      <c r="V500" s="58">
        <v>1467045</v>
      </c>
    </row>
    <row r="501" spans="1:22">
      <c r="A501" s="54">
        <v>95317</v>
      </c>
      <c r="B501" s="55" t="s">
        <v>1878</v>
      </c>
      <c r="C501" s="106">
        <v>5.1400000000000003E-5</v>
      </c>
      <c r="D501" s="106">
        <v>5.3900000000000002E-5</v>
      </c>
      <c r="E501" s="56">
        <v>25005.010000000002</v>
      </c>
      <c r="F501" s="56">
        <v>24190</v>
      </c>
      <c r="G501" s="56">
        <v>109088</v>
      </c>
      <c r="H501" s="56"/>
      <c r="I501" s="57">
        <v>2050</v>
      </c>
      <c r="J501" s="57">
        <v>95596</v>
      </c>
      <c r="K501" s="57">
        <v>7472</v>
      </c>
      <c r="L501" s="56">
        <v>5874</v>
      </c>
      <c r="M501" s="56"/>
      <c r="N501" s="57">
        <v>3823</v>
      </c>
      <c r="O501" s="57">
        <v>35284</v>
      </c>
      <c r="P501" s="57">
        <v>0</v>
      </c>
      <c r="Q501" s="56">
        <v>75.62</v>
      </c>
      <c r="R501" s="57">
        <f t="shared" si="7"/>
        <v>60312</v>
      </c>
      <c r="S501" s="56"/>
      <c r="T501" s="57">
        <v>29158</v>
      </c>
      <c r="U501" s="58">
        <v>1881</v>
      </c>
      <c r="V501" s="58">
        <v>31039</v>
      </c>
    </row>
    <row r="502" spans="1:22">
      <c r="A502" s="54">
        <v>95321</v>
      </c>
      <c r="B502" s="55" t="s">
        <v>1879</v>
      </c>
      <c r="C502" s="106">
        <v>5.7000000000000003E-5</v>
      </c>
      <c r="D502" s="106">
        <v>5.6499999999999998E-5</v>
      </c>
      <c r="E502" s="56">
        <v>24286.95</v>
      </c>
      <c r="F502" s="56">
        <v>25357</v>
      </c>
      <c r="G502" s="56">
        <v>120973</v>
      </c>
      <c r="H502" s="56"/>
      <c r="I502" s="57">
        <v>2272.875</v>
      </c>
      <c r="J502" s="57">
        <v>106011</v>
      </c>
      <c r="K502" s="57">
        <v>8286</v>
      </c>
      <c r="L502" s="56">
        <v>4716</v>
      </c>
      <c r="M502" s="56"/>
      <c r="N502" s="57">
        <v>4239</v>
      </c>
      <c r="O502" s="57">
        <v>39128</v>
      </c>
      <c r="P502" s="57">
        <v>0</v>
      </c>
      <c r="Q502" s="56">
        <v>0</v>
      </c>
      <c r="R502" s="57">
        <f t="shared" si="7"/>
        <v>66883</v>
      </c>
      <c r="S502" s="56"/>
      <c r="T502" s="57">
        <v>32334</v>
      </c>
      <c r="U502" s="58">
        <v>1628</v>
      </c>
      <c r="V502" s="58">
        <v>33963</v>
      </c>
    </row>
    <row r="503" spans="1:22">
      <c r="A503" s="54">
        <v>95401</v>
      </c>
      <c r="B503" s="55" t="s">
        <v>1880</v>
      </c>
      <c r="C503" s="106">
        <v>2.9979999999999998E-3</v>
      </c>
      <c r="D503" s="106">
        <v>2.8663999999999999E-3</v>
      </c>
      <c r="E503" s="56">
        <v>1170186.01</v>
      </c>
      <c r="F503" s="56">
        <v>1286423</v>
      </c>
      <c r="G503" s="56">
        <v>6362760</v>
      </c>
      <c r="H503" s="56"/>
      <c r="I503" s="57">
        <v>119545</v>
      </c>
      <c r="J503" s="57">
        <v>5575806</v>
      </c>
      <c r="K503" s="57">
        <v>435792</v>
      </c>
      <c r="L503" s="56">
        <v>42759</v>
      </c>
      <c r="M503" s="56"/>
      <c r="N503" s="57">
        <v>222958</v>
      </c>
      <c r="O503" s="57">
        <v>2058001</v>
      </c>
      <c r="P503" s="57">
        <v>0</v>
      </c>
      <c r="Q503" s="56">
        <v>0</v>
      </c>
      <c r="R503" s="57">
        <f t="shared" si="7"/>
        <v>3517805</v>
      </c>
      <c r="S503" s="56"/>
      <c r="T503" s="57">
        <v>1700672</v>
      </c>
      <c r="U503" s="58">
        <v>15064</v>
      </c>
      <c r="V503" s="58">
        <v>1715737</v>
      </c>
    </row>
    <row r="504" spans="1:22">
      <c r="A504" s="54">
        <v>95404</v>
      </c>
      <c r="B504" s="55" t="s">
        <v>1881</v>
      </c>
      <c r="C504" s="106">
        <v>4.9799999999999998E-5</v>
      </c>
      <c r="D504" s="106">
        <v>3.4999999999999997E-5</v>
      </c>
      <c r="E504" s="56">
        <v>17581.860000000004</v>
      </c>
      <c r="F504" s="56">
        <v>15708</v>
      </c>
      <c r="G504" s="56">
        <v>105692</v>
      </c>
      <c r="H504" s="56"/>
      <c r="I504" s="57">
        <v>1986</v>
      </c>
      <c r="J504" s="57">
        <v>92620</v>
      </c>
      <c r="K504" s="57">
        <v>7239</v>
      </c>
      <c r="L504" s="56">
        <v>6596</v>
      </c>
      <c r="M504" s="56"/>
      <c r="N504" s="57">
        <v>3704</v>
      </c>
      <c r="O504" s="57">
        <v>34186</v>
      </c>
      <c r="P504" s="57">
        <v>0</v>
      </c>
      <c r="Q504" s="56">
        <v>0</v>
      </c>
      <c r="R504" s="57">
        <f t="shared" si="7"/>
        <v>58434</v>
      </c>
      <c r="S504" s="56"/>
      <c r="T504" s="57">
        <v>28250</v>
      </c>
      <c r="U504" s="58">
        <v>1847</v>
      </c>
      <c r="V504" s="58">
        <v>30097</v>
      </c>
    </row>
    <row r="505" spans="1:22">
      <c r="A505" s="54">
        <v>95405</v>
      </c>
      <c r="B505" s="55" t="s">
        <v>1882</v>
      </c>
      <c r="C505" s="106">
        <v>1.84E-5</v>
      </c>
      <c r="D505" s="106">
        <v>1.7E-5</v>
      </c>
      <c r="E505" s="56">
        <v>15271.409999999998</v>
      </c>
      <c r="F505" s="56">
        <v>7629</v>
      </c>
      <c r="G505" s="56">
        <v>39051</v>
      </c>
      <c r="H505" s="56"/>
      <c r="I505" s="57">
        <v>733.7</v>
      </c>
      <c r="J505" s="57">
        <v>34221</v>
      </c>
      <c r="K505" s="57">
        <v>2675</v>
      </c>
      <c r="L505" s="56">
        <v>12414</v>
      </c>
      <c r="M505" s="56"/>
      <c r="N505" s="57">
        <v>1368</v>
      </c>
      <c r="O505" s="57">
        <v>12631</v>
      </c>
      <c r="P505" s="57">
        <v>0</v>
      </c>
      <c r="Q505" s="56">
        <v>0</v>
      </c>
      <c r="R505" s="57">
        <f t="shared" si="7"/>
        <v>21590</v>
      </c>
      <c r="S505" s="56"/>
      <c r="T505" s="57">
        <v>10438</v>
      </c>
      <c r="U505" s="58">
        <v>3754</v>
      </c>
      <c r="V505" s="58">
        <v>14192</v>
      </c>
    </row>
    <row r="506" spans="1:22">
      <c r="A506" s="54">
        <v>95411</v>
      </c>
      <c r="B506" s="55" t="s">
        <v>1883</v>
      </c>
      <c r="C506" s="106">
        <v>2.3272000000000002E-3</v>
      </c>
      <c r="D506" s="106">
        <v>2.3019E-3</v>
      </c>
      <c r="E506" s="56">
        <v>960133.56999999983</v>
      </c>
      <c r="F506" s="56">
        <v>1033079</v>
      </c>
      <c r="G506" s="56">
        <v>4939098</v>
      </c>
      <c r="H506" s="56"/>
      <c r="I506" s="57">
        <v>92797.1</v>
      </c>
      <c r="J506" s="57">
        <v>4328224</v>
      </c>
      <c r="K506" s="57">
        <v>338284</v>
      </c>
      <c r="L506" s="56">
        <v>19324</v>
      </c>
      <c r="M506" s="56"/>
      <c r="N506" s="57">
        <v>173072</v>
      </c>
      <c r="O506" s="57">
        <v>1597525</v>
      </c>
      <c r="P506" s="57">
        <v>0</v>
      </c>
      <c r="Q506" s="56">
        <v>37438</v>
      </c>
      <c r="R506" s="57">
        <f t="shared" si="7"/>
        <v>2730699</v>
      </c>
      <c r="S506" s="56"/>
      <c r="T506" s="57">
        <v>1320148</v>
      </c>
      <c r="U506" s="58">
        <v>-13504</v>
      </c>
      <c r="V506" s="58">
        <v>1306644</v>
      </c>
    </row>
    <row r="507" spans="1:22">
      <c r="A507" s="54">
        <v>95412</v>
      </c>
      <c r="B507" s="55" t="s">
        <v>1884</v>
      </c>
      <c r="C507" s="106">
        <v>0</v>
      </c>
      <c r="D507" s="106">
        <v>0</v>
      </c>
      <c r="E507" s="56">
        <v>0</v>
      </c>
      <c r="F507" s="56">
        <v>0</v>
      </c>
      <c r="G507" s="56">
        <v>0</v>
      </c>
      <c r="H507" s="56"/>
      <c r="I507" s="57">
        <v>0</v>
      </c>
      <c r="J507" s="57">
        <v>0</v>
      </c>
      <c r="K507" s="57">
        <v>0</v>
      </c>
      <c r="L507" s="56">
        <v>0</v>
      </c>
      <c r="M507" s="56"/>
      <c r="N507" s="57">
        <v>0</v>
      </c>
      <c r="O507" s="57">
        <v>0</v>
      </c>
      <c r="P507" s="57">
        <v>0</v>
      </c>
      <c r="Q507" s="56">
        <v>46349</v>
      </c>
      <c r="R507" s="57">
        <f t="shared" si="7"/>
        <v>0</v>
      </c>
      <c r="S507" s="56"/>
      <c r="T507" s="57">
        <v>0</v>
      </c>
      <c r="U507" s="58">
        <v>-18518</v>
      </c>
      <c r="V507" s="58">
        <v>-18518</v>
      </c>
    </row>
    <row r="508" spans="1:22">
      <c r="A508" s="54">
        <v>95413</v>
      </c>
      <c r="B508" s="55" t="s">
        <v>1885</v>
      </c>
      <c r="C508" s="106">
        <v>2.945E-4</v>
      </c>
      <c r="D508" s="106">
        <v>2.9579999999999998E-4</v>
      </c>
      <c r="E508" s="56">
        <v>262974.70999999996</v>
      </c>
      <c r="F508" s="56">
        <v>132753</v>
      </c>
      <c r="G508" s="56">
        <v>625028</v>
      </c>
      <c r="H508" s="56"/>
      <c r="I508" s="57">
        <v>11743.1875</v>
      </c>
      <c r="J508" s="57">
        <v>547723</v>
      </c>
      <c r="K508" s="57">
        <v>42809</v>
      </c>
      <c r="L508" s="56">
        <v>198118</v>
      </c>
      <c r="M508" s="56"/>
      <c r="N508" s="57">
        <v>21902</v>
      </c>
      <c r="O508" s="57">
        <v>202162</v>
      </c>
      <c r="P508" s="57">
        <v>0</v>
      </c>
      <c r="Q508" s="56">
        <v>18897.04</v>
      </c>
      <c r="R508" s="57">
        <f t="shared" si="7"/>
        <v>345561</v>
      </c>
      <c r="S508" s="56"/>
      <c r="T508" s="57">
        <v>167061</v>
      </c>
      <c r="U508" s="58">
        <v>50061</v>
      </c>
      <c r="V508" s="58">
        <v>217122</v>
      </c>
    </row>
    <row r="509" spans="1:22">
      <c r="A509" s="54">
        <v>95415</v>
      </c>
      <c r="B509" s="55" t="s">
        <v>1886</v>
      </c>
      <c r="C509" s="106">
        <v>7.9499999999999994E-5</v>
      </c>
      <c r="D509" s="106">
        <v>7.6600000000000005E-5</v>
      </c>
      <c r="E509" s="56">
        <v>28616.620000000003</v>
      </c>
      <c r="F509" s="56">
        <v>34378</v>
      </c>
      <c r="G509" s="56">
        <v>168726</v>
      </c>
      <c r="H509" s="56"/>
      <c r="I509" s="57">
        <v>3170.0625</v>
      </c>
      <c r="J509" s="57">
        <v>147857</v>
      </c>
      <c r="K509" s="57">
        <v>11556</v>
      </c>
      <c r="L509" s="56">
        <v>10656.45</v>
      </c>
      <c r="M509" s="56"/>
      <c r="N509" s="57">
        <v>5912</v>
      </c>
      <c r="O509" s="57">
        <v>54573</v>
      </c>
      <c r="P509" s="57">
        <v>0</v>
      </c>
      <c r="Q509" s="56">
        <v>7763</v>
      </c>
      <c r="R509" s="57">
        <f t="shared" si="7"/>
        <v>93284</v>
      </c>
      <c r="S509" s="56"/>
      <c r="T509" s="57">
        <v>45098</v>
      </c>
      <c r="U509" s="58">
        <v>2762</v>
      </c>
      <c r="V509" s="58">
        <v>47859</v>
      </c>
    </row>
    <row r="510" spans="1:22">
      <c r="A510" s="54">
        <v>95421</v>
      </c>
      <c r="B510" s="55" t="s">
        <v>1887</v>
      </c>
      <c r="C510" s="106">
        <v>3.9100000000000002E-5</v>
      </c>
      <c r="D510" s="106">
        <v>5.1E-5</v>
      </c>
      <c r="E510" s="56">
        <v>15644.039999999997</v>
      </c>
      <c r="F510" s="56">
        <v>22888</v>
      </c>
      <c r="G510" s="56">
        <v>82983</v>
      </c>
      <c r="H510" s="56"/>
      <c r="I510" s="57">
        <v>1559</v>
      </c>
      <c r="J510" s="57">
        <v>72720</v>
      </c>
      <c r="K510" s="57">
        <v>5684</v>
      </c>
      <c r="L510" s="56">
        <v>0</v>
      </c>
      <c r="M510" s="56"/>
      <c r="N510" s="57">
        <v>2908</v>
      </c>
      <c r="O510" s="57">
        <v>26841</v>
      </c>
      <c r="P510" s="57">
        <v>0</v>
      </c>
      <c r="Q510" s="56">
        <v>14322</v>
      </c>
      <c r="R510" s="57">
        <f t="shared" si="7"/>
        <v>45879</v>
      </c>
      <c r="S510" s="56"/>
      <c r="T510" s="57">
        <v>22180</v>
      </c>
      <c r="U510" s="58">
        <v>-4969</v>
      </c>
      <c r="V510" s="58">
        <v>17211</v>
      </c>
    </row>
    <row r="511" spans="1:22">
      <c r="A511" s="54">
        <v>95431</v>
      </c>
      <c r="B511" s="55" t="s">
        <v>1888</v>
      </c>
      <c r="C511" s="106">
        <v>1.8009999999999999E-4</v>
      </c>
      <c r="D511" s="106">
        <v>1.7249999999999999E-4</v>
      </c>
      <c r="E511" s="56">
        <v>59568.97</v>
      </c>
      <c r="F511" s="56">
        <v>77417</v>
      </c>
      <c r="G511" s="56">
        <v>382233</v>
      </c>
      <c r="H511" s="56"/>
      <c r="I511" s="57">
        <v>7181</v>
      </c>
      <c r="J511" s="57">
        <v>334958</v>
      </c>
      <c r="K511" s="57">
        <v>26180</v>
      </c>
      <c r="L511" s="56">
        <v>450</v>
      </c>
      <c r="M511" s="56"/>
      <c r="N511" s="57">
        <v>13394</v>
      </c>
      <c r="O511" s="57">
        <v>123631</v>
      </c>
      <c r="P511" s="57">
        <v>0</v>
      </c>
      <c r="Q511" s="56">
        <v>13081</v>
      </c>
      <c r="R511" s="57">
        <f t="shared" si="7"/>
        <v>211327</v>
      </c>
      <c r="S511" s="56"/>
      <c r="T511" s="57">
        <v>102165</v>
      </c>
      <c r="U511" s="58">
        <v>-3706</v>
      </c>
      <c r="V511" s="58">
        <v>98459</v>
      </c>
    </row>
    <row r="512" spans="1:22">
      <c r="A512" s="54">
        <v>95501</v>
      </c>
      <c r="B512" s="55" t="s">
        <v>1889</v>
      </c>
      <c r="C512" s="106">
        <v>4.7917999999999997E-3</v>
      </c>
      <c r="D512" s="106">
        <v>4.8338000000000001E-3</v>
      </c>
      <c r="E512" s="56">
        <v>1890953.7499999998</v>
      </c>
      <c r="F512" s="56">
        <v>2169380</v>
      </c>
      <c r="G512" s="56">
        <v>10169805</v>
      </c>
      <c r="H512" s="56"/>
      <c r="I512" s="57">
        <v>191073</v>
      </c>
      <c r="J512" s="57">
        <v>8911991</v>
      </c>
      <c r="K512" s="57">
        <v>696541</v>
      </c>
      <c r="L512" s="56">
        <v>63710</v>
      </c>
      <c r="M512" s="56"/>
      <c r="N512" s="57">
        <v>356361</v>
      </c>
      <c r="O512" s="57">
        <v>3289369</v>
      </c>
      <c r="P512" s="57">
        <v>0</v>
      </c>
      <c r="Q512" s="56">
        <v>102347</v>
      </c>
      <c r="R512" s="57">
        <f t="shared" si="7"/>
        <v>5622622</v>
      </c>
      <c r="S512" s="56"/>
      <c r="T512" s="57">
        <v>2718240</v>
      </c>
      <c r="U512" s="58">
        <v>3939</v>
      </c>
      <c r="V512" s="58">
        <v>2722178</v>
      </c>
    </row>
    <row r="513" spans="1:22">
      <c r="A513" s="54">
        <v>95504</v>
      </c>
      <c r="B513" s="55" t="s">
        <v>1890</v>
      </c>
      <c r="C513" s="106">
        <v>8.8999999999999995E-6</v>
      </c>
      <c r="D513" s="106">
        <v>1.2099999999999999E-5</v>
      </c>
      <c r="E513" s="56">
        <v>7171.2</v>
      </c>
      <c r="F513" s="56">
        <v>5430</v>
      </c>
      <c r="G513" s="56">
        <v>18889</v>
      </c>
      <c r="H513" s="56"/>
      <c r="I513" s="57">
        <v>354.88749999999999</v>
      </c>
      <c r="J513" s="57">
        <v>16553</v>
      </c>
      <c r="K513" s="57">
        <v>1294</v>
      </c>
      <c r="L513" s="56">
        <v>5463</v>
      </c>
      <c r="M513" s="56"/>
      <c r="N513" s="57">
        <v>662</v>
      </c>
      <c r="O513" s="57">
        <v>6109</v>
      </c>
      <c r="P513" s="57">
        <v>0</v>
      </c>
      <c r="Q513" s="56">
        <v>0</v>
      </c>
      <c r="R513" s="57">
        <f t="shared" si="7"/>
        <v>10444</v>
      </c>
      <c r="S513" s="56"/>
      <c r="T513" s="57">
        <v>5049</v>
      </c>
      <c r="U513" s="58">
        <v>1872</v>
      </c>
      <c r="V513" s="58">
        <v>6921</v>
      </c>
    </row>
    <row r="514" spans="1:22">
      <c r="A514" s="54">
        <v>95511</v>
      </c>
      <c r="B514" s="55" t="s">
        <v>1891</v>
      </c>
      <c r="C514" s="106">
        <v>9.6049999999999998E-4</v>
      </c>
      <c r="D514" s="106">
        <v>1.0989000000000001E-3</v>
      </c>
      <c r="E514" s="56">
        <v>413682.63</v>
      </c>
      <c r="F514" s="56">
        <v>493180</v>
      </c>
      <c r="G514" s="56">
        <v>2038503</v>
      </c>
      <c r="H514" s="56"/>
      <c r="I514" s="57">
        <v>38300</v>
      </c>
      <c r="J514" s="57">
        <v>1786378</v>
      </c>
      <c r="K514" s="57">
        <v>139619</v>
      </c>
      <c r="L514" s="56">
        <v>10807.69</v>
      </c>
      <c r="M514" s="56"/>
      <c r="N514" s="57">
        <v>71431</v>
      </c>
      <c r="O514" s="57">
        <v>659343</v>
      </c>
      <c r="P514" s="57">
        <v>0</v>
      </c>
      <c r="Q514" s="56">
        <v>71910</v>
      </c>
      <c r="R514" s="57">
        <f t="shared" si="7"/>
        <v>1127035</v>
      </c>
      <c r="S514" s="56"/>
      <c r="T514" s="57">
        <v>544862</v>
      </c>
      <c r="U514" s="58">
        <v>-14323</v>
      </c>
      <c r="V514" s="58">
        <v>530538</v>
      </c>
    </row>
    <row r="515" spans="1:22">
      <c r="A515" s="54">
        <v>95513</v>
      </c>
      <c r="B515" s="55" t="s">
        <v>1892</v>
      </c>
      <c r="C515" s="106">
        <v>4.5500000000000001E-5</v>
      </c>
      <c r="D515" s="106">
        <v>4.4499999999999997E-5</v>
      </c>
      <c r="E515" s="56">
        <v>28270.480000000003</v>
      </c>
      <c r="F515" s="56">
        <v>19971</v>
      </c>
      <c r="G515" s="56">
        <v>96566</v>
      </c>
      <c r="H515" s="56"/>
      <c r="I515" s="57">
        <v>1814.3125</v>
      </c>
      <c r="J515" s="57">
        <v>84623</v>
      </c>
      <c r="K515" s="57">
        <v>6614</v>
      </c>
      <c r="L515" s="56">
        <v>19516</v>
      </c>
      <c r="M515" s="56"/>
      <c r="N515" s="57">
        <v>3384</v>
      </c>
      <c r="O515" s="57">
        <v>31234</v>
      </c>
      <c r="P515" s="57">
        <v>0</v>
      </c>
      <c r="Q515" s="56">
        <v>0</v>
      </c>
      <c r="R515" s="57">
        <f t="shared" si="7"/>
        <v>53389</v>
      </c>
      <c r="S515" s="56"/>
      <c r="T515" s="57">
        <v>25811</v>
      </c>
      <c r="U515" s="58">
        <v>6831</v>
      </c>
      <c r="V515" s="58">
        <v>32642</v>
      </c>
    </row>
    <row r="516" spans="1:22">
      <c r="A516" s="54">
        <v>95517</v>
      </c>
      <c r="B516" s="55" t="s">
        <v>1893</v>
      </c>
      <c r="C516" s="106">
        <v>1.66E-5</v>
      </c>
      <c r="D516" s="106">
        <v>1.1399999999999999E-5</v>
      </c>
      <c r="E516" s="56">
        <v>13168.44</v>
      </c>
      <c r="F516" s="56">
        <v>5116</v>
      </c>
      <c r="G516" s="56">
        <v>35231</v>
      </c>
      <c r="H516" s="56"/>
      <c r="I516" s="57">
        <v>662</v>
      </c>
      <c r="J516" s="57">
        <v>30873</v>
      </c>
      <c r="K516" s="57">
        <v>2413</v>
      </c>
      <c r="L516" s="56">
        <v>13465</v>
      </c>
      <c r="M516" s="56"/>
      <c r="N516" s="57">
        <v>1235</v>
      </c>
      <c r="O516" s="57">
        <v>11395</v>
      </c>
      <c r="P516" s="57">
        <v>0</v>
      </c>
      <c r="Q516" s="56">
        <v>0</v>
      </c>
      <c r="R516" s="57">
        <f t="shared" si="7"/>
        <v>19478</v>
      </c>
      <c r="S516" s="56"/>
      <c r="T516" s="57">
        <v>9417</v>
      </c>
      <c r="U516" s="58">
        <v>4330</v>
      </c>
      <c r="V516" s="58">
        <v>13747</v>
      </c>
    </row>
    <row r="517" spans="1:22">
      <c r="A517" s="54">
        <v>95601</v>
      </c>
      <c r="B517" s="55" t="s">
        <v>1894</v>
      </c>
      <c r="C517" s="106">
        <v>2.6592999999999999E-3</v>
      </c>
      <c r="D517" s="106">
        <v>2.4567999999999999E-3</v>
      </c>
      <c r="E517" s="56">
        <v>1012936.7699999999</v>
      </c>
      <c r="F517" s="56">
        <v>1102597</v>
      </c>
      <c r="G517" s="56">
        <v>5643925</v>
      </c>
      <c r="H517" s="56"/>
      <c r="I517" s="57">
        <v>106040</v>
      </c>
      <c r="J517" s="57">
        <v>4945878</v>
      </c>
      <c r="K517" s="57">
        <v>386559</v>
      </c>
      <c r="L517" s="56">
        <v>138057</v>
      </c>
      <c r="M517" s="56"/>
      <c r="N517" s="57">
        <v>197769</v>
      </c>
      <c r="O517" s="57">
        <v>1825498</v>
      </c>
      <c r="P517" s="57">
        <v>0</v>
      </c>
      <c r="Q517" s="56">
        <v>0</v>
      </c>
      <c r="R517" s="57">
        <f t="shared" si="7"/>
        <v>3120380</v>
      </c>
      <c r="S517" s="56"/>
      <c r="T517" s="57">
        <v>1508538</v>
      </c>
      <c r="U517" s="58">
        <v>52467</v>
      </c>
      <c r="V517" s="58">
        <v>1561006</v>
      </c>
    </row>
    <row r="518" spans="1:22">
      <c r="A518" s="54">
        <v>95611</v>
      </c>
      <c r="B518" s="55" t="s">
        <v>1895</v>
      </c>
      <c r="C518" s="106">
        <v>3.9540000000000002E-4</v>
      </c>
      <c r="D518" s="106">
        <v>3.9500000000000001E-4</v>
      </c>
      <c r="E518" s="56">
        <v>162220.80999999997</v>
      </c>
      <c r="F518" s="56">
        <v>177273.63</v>
      </c>
      <c r="G518" s="56">
        <v>839171</v>
      </c>
      <c r="H518" s="56"/>
      <c r="I518" s="57">
        <v>15767</v>
      </c>
      <c r="J518" s="57">
        <v>735382</v>
      </c>
      <c r="K518" s="57">
        <v>57476</v>
      </c>
      <c r="L518" s="56">
        <v>2750</v>
      </c>
      <c r="M518" s="56"/>
      <c r="N518" s="57">
        <v>29406</v>
      </c>
      <c r="O518" s="57">
        <v>271425</v>
      </c>
      <c r="P518" s="57">
        <v>0</v>
      </c>
      <c r="Q518" s="56">
        <v>5641</v>
      </c>
      <c r="R518" s="57">
        <f t="shared" si="7"/>
        <v>463957</v>
      </c>
      <c r="S518" s="56"/>
      <c r="T518" s="57">
        <v>224298</v>
      </c>
      <c r="U518" s="58">
        <v>-610</v>
      </c>
      <c r="V518" s="58">
        <v>223688</v>
      </c>
    </row>
    <row r="519" spans="1:22">
      <c r="A519" s="54">
        <v>95617</v>
      </c>
      <c r="B519" s="55" t="s">
        <v>1896</v>
      </c>
      <c r="C519" s="106">
        <v>1.6500000000000001E-5</v>
      </c>
      <c r="D519" s="106">
        <v>1.63E-5</v>
      </c>
      <c r="E519" s="56">
        <v>7075.2599999999993</v>
      </c>
      <c r="F519" s="56">
        <v>7315</v>
      </c>
      <c r="G519" s="56">
        <v>35019</v>
      </c>
      <c r="H519" s="56"/>
      <c r="I519" s="57">
        <v>657.9375</v>
      </c>
      <c r="J519" s="57">
        <v>30687</v>
      </c>
      <c r="K519" s="57">
        <v>2398</v>
      </c>
      <c r="L519" s="56">
        <v>338</v>
      </c>
      <c r="M519" s="56"/>
      <c r="N519" s="57">
        <v>1227</v>
      </c>
      <c r="O519" s="57">
        <v>11327</v>
      </c>
      <c r="P519" s="57">
        <v>0</v>
      </c>
      <c r="Q519" s="56">
        <v>2141</v>
      </c>
      <c r="R519" s="57">
        <f t="shared" ref="R519:R582" si="8">IF(J519&gt;O519,J519-O519,O519-J519)</f>
        <v>19360</v>
      </c>
      <c r="S519" s="56"/>
      <c r="T519" s="57">
        <v>9360</v>
      </c>
      <c r="U519" s="58">
        <v>-777</v>
      </c>
      <c r="V519" s="58">
        <v>8583</v>
      </c>
    </row>
    <row r="520" spans="1:22">
      <c r="A520" s="54">
        <v>95621</v>
      </c>
      <c r="B520" s="55" t="s">
        <v>1897</v>
      </c>
      <c r="C520" s="106">
        <v>4.8020000000000002E-4</v>
      </c>
      <c r="D520" s="106">
        <v>5.0210000000000001E-4</v>
      </c>
      <c r="E520" s="56">
        <v>211839.76999999996</v>
      </c>
      <c r="F520" s="56">
        <v>225339</v>
      </c>
      <c r="G520" s="56">
        <v>1019145</v>
      </c>
      <c r="H520" s="56"/>
      <c r="I520" s="57">
        <v>19148</v>
      </c>
      <c r="J520" s="57">
        <v>893096</v>
      </c>
      <c r="K520" s="57">
        <v>69802</v>
      </c>
      <c r="L520" s="56">
        <v>6364.02</v>
      </c>
      <c r="M520" s="56"/>
      <c r="N520" s="57">
        <v>35712</v>
      </c>
      <c r="O520" s="57">
        <v>329637</v>
      </c>
      <c r="P520" s="57">
        <v>0</v>
      </c>
      <c r="Q520" s="56">
        <v>3443</v>
      </c>
      <c r="R520" s="57">
        <f t="shared" si="8"/>
        <v>563459</v>
      </c>
      <c r="S520" s="56"/>
      <c r="T520" s="57">
        <v>272403</v>
      </c>
      <c r="U520" s="58">
        <v>2021</v>
      </c>
      <c r="V520" s="58">
        <v>274423</v>
      </c>
    </row>
    <row r="521" spans="1:22">
      <c r="A521" s="54">
        <v>95701</v>
      </c>
      <c r="B521" s="55" t="s">
        <v>1898</v>
      </c>
      <c r="C521" s="106">
        <v>1.291E-3</v>
      </c>
      <c r="D521" s="106">
        <v>1.2436999999999999E-3</v>
      </c>
      <c r="E521" s="56">
        <v>517495.15000000008</v>
      </c>
      <c r="F521" s="56">
        <v>558165</v>
      </c>
      <c r="G521" s="56">
        <v>2739934</v>
      </c>
      <c r="H521" s="56"/>
      <c r="I521" s="57">
        <v>51478.625</v>
      </c>
      <c r="J521" s="57">
        <v>2401056</v>
      </c>
      <c r="K521" s="57">
        <v>187661</v>
      </c>
      <c r="L521" s="56">
        <v>51877</v>
      </c>
      <c r="M521" s="56"/>
      <c r="N521" s="57">
        <v>96010</v>
      </c>
      <c r="O521" s="57">
        <v>886217</v>
      </c>
      <c r="P521" s="57">
        <v>0</v>
      </c>
      <c r="Q521" s="56">
        <v>0</v>
      </c>
      <c r="R521" s="57">
        <f t="shared" si="8"/>
        <v>1514839</v>
      </c>
      <c r="S521" s="56"/>
      <c r="T521" s="57">
        <v>732344</v>
      </c>
      <c r="U521" s="58">
        <v>20713</v>
      </c>
      <c r="V521" s="58">
        <v>753057</v>
      </c>
    </row>
    <row r="522" spans="1:22">
      <c r="A522" s="54">
        <v>95711</v>
      </c>
      <c r="B522" s="55" t="s">
        <v>1899</v>
      </c>
      <c r="C522" s="106">
        <v>1.382E-4</v>
      </c>
      <c r="D522" s="106">
        <v>1.284E-4</v>
      </c>
      <c r="E522" s="56">
        <v>51439.57</v>
      </c>
      <c r="F522" s="56">
        <v>57625</v>
      </c>
      <c r="G522" s="56">
        <v>293307</v>
      </c>
      <c r="H522" s="56"/>
      <c r="I522" s="57">
        <v>5511</v>
      </c>
      <c r="J522" s="57">
        <v>257030</v>
      </c>
      <c r="K522" s="57">
        <v>20089</v>
      </c>
      <c r="L522" s="56">
        <v>9232</v>
      </c>
      <c r="M522" s="56"/>
      <c r="N522" s="57">
        <v>10278</v>
      </c>
      <c r="O522" s="57">
        <v>94868</v>
      </c>
      <c r="P522" s="57">
        <v>0</v>
      </c>
      <c r="Q522" s="56">
        <v>143</v>
      </c>
      <c r="R522" s="57">
        <f t="shared" si="8"/>
        <v>162162</v>
      </c>
      <c r="S522" s="56"/>
      <c r="T522" s="57">
        <v>78397</v>
      </c>
      <c r="U522" s="58">
        <v>3104</v>
      </c>
      <c r="V522" s="58">
        <v>81500</v>
      </c>
    </row>
    <row r="523" spans="1:22">
      <c r="A523" s="54">
        <v>95721</v>
      </c>
      <c r="B523" s="55" t="s">
        <v>1900</v>
      </c>
      <c r="C523" s="106">
        <v>6.6199999999999996E-5</v>
      </c>
      <c r="D523" s="106">
        <v>6.7199999999999994E-5</v>
      </c>
      <c r="E523" s="56">
        <v>22493.79</v>
      </c>
      <c r="F523" s="56">
        <v>30159</v>
      </c>
      <c r="G523" s="56">
        <v>140499</v>
      </c>
      <c r="H523" s="56"/>
      <c r="I523" s="57">
        <v>2640</v>
      </c>
      <c r="J523" s="57">
        <v>123122</v>
      </c>
      <c r="K523" s="57">
        <v>9623</v>
      </c>
      <c r="L523" s="56">
        <v>0</v>
      </c>
      <c r="M523" s="56"/>
      <c r="N523" s="57">
        <v>4923</v>
      </c>
      <c r="O523" s="57">
        <v>45444</v>
      </c>
      <c r="P523" s="57">
        <v>0</v>
      </c>
      <c r="Q523" s="56">
        <v>9473</v>
      </c>
      <c r="R523" s="57">
        <f t="shared" si="8"/>
        <v>77678</v>
      </c>
      <c r="S523" s="56"/>
      <c r="T523" s="57">
        <v>37553</v>
      </c>
      <c r="U523" s="58">
        <v>-3665</v>
      </c>
      <c r="V523" s="58">
        <v>33888</v>
      </c>
    </row>
    <row r="524" spans="1:22">
      <c r="A524" s="54">
        <v>95733</v>
      </c>
      <c r="B524" s="55" t="s">
        <v>1901</v>
      </c>
      <c r="C524" s="106">
        <v>1.56E-5</v>
      </c>
      <c r="D524" s="106">
        <v>1.63E-5</v>
      </c>
      <c r="E524" s="56">
        <v>6566.4400000000005</v>
      </c>
      <c r="F524" s="56">
        <v>7315</v>
      </c>
      <c r="G524" s="56">
        <v>33108</v>
      </c>
      <c r="H524" s="56"/>
      <c r="I524" s="57">
        <v>622</v>
      </c>
      <c r="J524" s="57">
        <v>29014</v>
      </c>
      <c r="K524" s="57">
        <v>2268</v>
      </c>
      <c r="L524" s="56">
        <v>926</v>
      </c>
      <c r="M524" s="56"/>
      <c r="N524" s="57">
        <v>1160</v>
      </c>
      <c r="O524" s="57">
        <v>10709</v>
      </c>
      <c r="P524" s="57">
        <v>0</v>
      </c>
      <c r="Q524" s="56">
        <v>259</v>
      </c>
      <c r="R524" s="57">
        <f t="shared" si="8"/>
        <v>18305</v>
      </c>
      <c r="S524" s="56"/>
      <c r="T524" s="57">
        <v>8849</v>
      </c>
      <c r="U524" s="58">
        <v>277</v>
      </c>
      <c r="V524" s="58">
        <v>9127</v>
      </c>
    </row>
    <row r="525" spans="1:22">
      <c r="A525" s="54">
        <v>95801</v>
      </c>
      <c r="B525" s="55" t="s">
        <v>1902</v>
      </c>
      <c r="C525" s="106">
        <v>8.9349999999999998E-4</v>
      </c>
      <c r="D525" s="106">
        <v>9.1810000000000004E-4</v>
      </c>
      <c r="E525" s="56">
        <v>383793.67</v>
      </c>
      <c r="F525" s="56">
        <v>412038</v>
      </c>
      <c r="G525" s="56">
        <v>1896306</v>
      </c>
      <c r="H525" s="56"/>
      <c r="I525" s="57">
        <v>35628</v>
      </c>
      <c r="J525" s="57">
        <v>1661769</v>
      </c>
      <c r="K525" s="57">
        <v>129880</v>
      </c>
      <c r="L525" s="56">
        <v>14615</v>
      </c>
      <c r="M525" s="56"/>
      <c r="N525" s="57">
        <v>66449</v>
      </c>
      <c r="O525" s="57">
        <v>613350</v>
      </c>
      <c r="P525" s="57">
        <v>0</v>
      </c>
      <c r="Q525" s="56">
        <v>8079</v>
      </c>
      <c r="R525" s="57">
        <f t="shared" si="8"/>
        <v>1048419</v>
      </c>
      <c r="S525" s="56"/>
      <c r="T525" s="57">
        <v>506855</v>
      </c>
      <c r="U525" s="58">
        <v>1206</v>
      </c>
      <c r="V525" s="58">
        <v>508061</v>
      </c>
    </row>
    <row r="526" spans="1:22">
      <c r="A526" s="54">
        <v>95802</v>
      </c>
      <c r="B526" s="55" t="s">
        <v>1903</v>
      </c>
      <c r="C526" s="106">
        <v>6.8000000000000001E-6</v>
      </c>
      <c r="D526" s="106">
        <v>6.8000000000000001E-6</v>
      </c>
      <c r="E526" s="56">
        <v>4626.88</v>
      </c>
      <c r="F526" s="56">
        <v>3052</v>
      </c>
      <c r="G526" s="56">
        <v>14432</v>
      </c>
      <c r="H526" s="56"/>
      <c r="I526" s="57">
        <v>271</v>
      </c>
      <c r="J526" s="57">
        <v>12647</v>
      </c>
      <c r="K526" s="57">
        <v>988</v>
      </c>
      <c r="L526" s="56">
        <v>2741</v>
      </c>
      <c r="M526" s="56"/>
      <c r="N526" s="57">
        <v>506</v>
      </c>
      <c r="O526" s="57">
        <v>4668</v>
      </c>
      <c r="P526" s="57">
        <v>0</v>
      </c>
      <c r="Q526" s="56">
        <v>2509</v>
      </c>
      <c r="R526" s="57">
        <f t="shared" si="8"/>
        <v>7979</v>
      </c>
      <c r="S526" s="56"/>
      <c r="T526" s="57">
        <v>3857</v>
      </c>
      <c r="U526" s="58">
        <v>-428</v>
      </c>
      <c r="V526" s="58">
        <v>3429</v>
      </c>
    </row>
    <row r="527" spans="1:22">
      <c r="A527" s="54">
        <v>95804</v>
      </c>
      <c r="B527" s="55" t="s">
        <v>1904</v>
      </c>
      <c r="C527" s="106">
        <v>1.63E-5</v>
      </c>
      <c r="D527" s="106">
        <v>1.4399999999999999E-5</v>
      </c>
      <c r="E527" s="56">
        <v>6017.02</v>
      </c>
      <c r="F527" s="56">
        <v>6463</v>
      </c>
      <c r="G527" s="56">
        <v>34594</v>
      </c>
      <c r="H527" s="56"/>
      <c r="I527" s="57">
        <v>649.96249999999998</v>
      </c>
      <c r="J527" s="57">
        <v>30315</v>
      </c>
      <c r="K527" s="57">
        <v>2369</v>
      </c>
      <c r="L527" s="56">
        <v>3054</v>
      </c>
      <c r="M527" s="56"/>
      <c r="N527" s="57">
        <v>1212</v>
      </c>
      <c r="O527" s="57">
        <v>11189</v>
      </c>
      <c r="P527" s="57">
        <v>0</v>
      </c>
      <c r="Q527" s="56">
        <v>0</v>
      </c>
      <c r="R527" s="57">
        <f t="shared" si="8"/>
        <v>19126</v>
      </c>
      <c r="S527" s="56"/>
      <c r="T527" s="57">
        <v>9246</v>
      </c>
      <c r="U527" s="58">
        <v>1187</v>
      </c>
      <c r="V527" s="58">
        <v>10434</v>
      </c>
    </row>
    <row r="528" spans="1:22">
      <c r="A528" s="54">
        <v>95811</v>
      </c>
      <c r="B528" s="55" t="s">
        <v>1905</v>
      </c>
      <c r="C528" s="106">
        <v>5.3410000000000003E-4</v>
      </c>
      <c r="D528" s="106">
        <v>5.2459999999999996E-4</v>
      </c>
      <c r="E528" s="56">
        <v>215302.64</v>
      </c>
      <c r="F528" s="56">
        <v>235437</v>
      </c>
      <c r="G528" s="56">
        <v>1133539</v>
      </c>
      <c r="H528" s="56"/>
      <c r="I528" s="57">
        <v>21297</v>
      </c>
      <c r="J528" s="57">
        <v>993342</v>
      </c>
      <c r="K528" s="57">
        <v>77637</v>
      </c>
      <c r="L528" s="56">
        <v>2541</v>
      </c>
      <c r="M528" s="56"/>
      <c r="N528" s="57">
        <v>39720</v>
      </c>
      <c r="O528" s="57">
        <v>366637</v>
      </c>
      <c r="P528" s="57">
        <v>0</v>
      </c>
      <c r="Q528" s="56">
        <v>5345</v>
      </c>
      <c r="R528" s="57">
        <f t="shared" si="8"/>
        <v>626705</v>
      </c>
      <c r="S528" s="56"/>
      <c r="T528" s="57">
        <v>302978</v>
      </c>
      <c r="U528" s="58">
        <v>-1032</v>
      </c>
      <c r="V528" s="58">
        <v>301947</v>
      </c>
    </row>
    <row r="529" spans="1:22">
      <c r="A529" s="54">
        <v>95813</v>
      </c>
      <c r="B529" s="55" t="s">
        <v>1906</v>
      </c>
      <c r="C529" s="106">
        <v>4.4400000000000002E-5</v>
      </c>
      <c r="D529" s="106">
        <v>5.02E-5</v>
      </c>
      <c r="E529" s="56">
        <v>61209.42</v>
      </c>
      <c r="F529" s="56">
        <v>22529</v>
      </c>
      <c r="G529" s="56">
        <v>94232</v>
      </c>
      <c r="H529" s="56"/>
      <c r="I529" s="57">
        <v>1770.45</v>
      </c>
      <c r="J529" s="57">
        <v>82577</v>
      </c>
      <c r="K529" s="57">
        <v>6454</v>
      </c>
      <c r="L529" s="56">
        <v>51874</v>
      </c>
      <c r="M529" s="56"/>
      <c r="N529" s="57">
        <v>3302</v>
      </c>
      <c r="O529" s="57">
        <v>30479</v>
      </c>
      <c r="P529" s="57">
        <v>0</v>
      </c>
      <c r="Q529" s="56">
        <v>0</v>
      </c>
      <c r="R529" s="57">
        <f t="shared" si="8"/>
        <v>52098</v>
      </c>
      <c r="S529" s="56"/>
      <c r="T529" s="57">
        <v>25187</v>
      </c>
      <c r="U529" s="58">
        <v>15540</v>
      </c>
      <c r="V529" s="58">
        <v>40727</v>
      </c>
    </row>
    <row r="530" spans="1:22">
      <c r="A530" s="54">
        <v>95821</v>
      </c>
      <c r="B530" s="55" t="s">
        <v>1907</v>
      </c>
      <c r="C530" s="106">
        <v>1.7E-6</v>
      </c>
      <c r="D530" s="106">
        <v>1.5999999999999999E-6</v>
      </c>
      <c r="E530" s="56">
        <v>1922.0400000000002</v>
      </c>
      <c r="F530" s="56">
        <v>718</v>
      </c>
      <c r="G530" s="56">
        <v>3608</v>
      </c>
      <c r="H530" s="56"/>
      <c r="I530" s="57">
        <v>68</v>
      </c>
      <c r="J530" s="57">
        <v>3162</v>
      </c>
      <c r="K530" s="57">
        <v>247</v>
      </c>
      <c r="L530" s="56">
        <v>1916</v>
      </c>
      <c r="M530" s="56"/>
      <c r="N530" s="57">
        <v>126</v>
      </c>
      <c r="O530" s="57">
        <v>1167</v>
      </c>
      <c r="P530" s="57">
        <v>0</v>
      </c>
      <c r="Q530" s="56">
        <v>0</v>
      </c>
      <c r="R530" s="57">
        <f t="shared" si="8"/>
        <v>1995</v>
      </c>
      <c r="S530" s="56"/>
      <c r="T530" s="57">
        <v>964</v>
      </c>
      <c r="U530" s="58">
        <v>623</v>
      </c>
      <c r="V530" s="58">
        <v>1587</v>
      </c>
    </row>
    <row r="531" spans="1:22">
      <c r="A531" s="54">
        <v>95831</v>
      </c>
      <c r="B531" s="55" t="s">
        <v>1908</v>
      </c>
      <c r="C531" s="106">
        <v>1.36E-5</v>
      </c>
      <c r="D531" s="106">
        <v>1.9199999999999999E-5</v>
      </c>
      <c r="E531" s="56">
        <v>18920.61</v>
      </c>
      <c r="F531" s="56">
        <v>8617</v>
      </c>
      <c r="G531" s="56">
        <v>28864</v>
      </c>
      <c r="H531" s="56"/>
      <c r="I531" s="57">
        <v>542</v>
      </c>
      <c r="J531" s="57">
        <v>25294</v>
      </c>
      <c r="K531" s="57">
        <v>1977</v>
      </c>
      <c r="L531" s="56">
        <v>15027</v>
      </c>
      <c r="M531" s="56"/>
      <c r="N531" s="57">
        <v>1011</v>
      </c>
      <c r="O531" s="57">
        <v>9336</v>
      </c>
      <c r="P531" s="57">
        <v>0</v>
      </c>
      <c r="Q531" s="56">
        <v>0</v>
      </c>
      <c r="R531" s="57">
        <f t="shared" si="8"/>
        <v>15958</v>
      </c>
      <c r="S531" s="56"/>
      <c r="T531" s="57">
        <v>7715</v>
      </c>
      <c r="U531" s="58">
        <v>4667</v>
      </c>
      <c r="V531" s="58">
        <v>12382</v>
      </c>
    </row>
    <row r="532" spans="1:22">
      <c r="A532" s="54">
        <v>95841</v>
      </c>
      <c r="B532" s="55" t="s">
        <v>1909</v>
      </c>
      <c r="C532" s="106">
        <v>2.1100000000000001E-5</v>
      </c>
      <c r="D532" s="106">
        <v>2.0699999999999998E-5</v>
      </c>
      <c r="E532" s="56">
        <v>9619.65</v>
      </c>
      <c r="F532" s="56">
        <v>9290</v>
      </c>
      <c r="G532" s="56">
        <v>44781</v>
      </c>
      <c r="H532" s="56"/>
      <c r="I532" s="57">
        <v>841</v>
      </c>
      <c r="J532" s="57">
        <v>39243</v>
      </c>
      <c r="K532" s="57">
        <v>3067</v>
      </c>
      <c r="L532" s="56">
        <v>1840</v>
      </c>
      <c r="M532" s="56"/>
      <c r="N532" s="57">
        <v>1569</v>
      </c>
      <c r="O532" s="57">
        <v>14484</v>
      </c>
      <c r="P532" s="57">
        <v>0</v>
      </c>
      <c r="Q532" s="56">
        <v>0</v>
      </c>
      <c r="R532" s="57">
        <f t="shared" si="8"/>
        <v>24759</v>
      </c>
      <c r="S532" s="56"/>
      <c r="T532" s="57">
        <v>11969</v>
      </c>
      <c r="U532" s="58">
        <v>601</v>
      </c>
      <c r="V532" s="58">
        <v>12570</v>
      </c>
    </row>
    <row r="533" spans="1:22">
      <c r="A533" s="54">
        <v>95851</v>
      </c>
      <c r="B533" s="55" t="s">
        <v>1910</v>
      </c>
      <c r="C533" s="106">
        <v>1.3009999999999999E-4</v>
      </c>
      <c r="D533" s="106">
        <v>1.44E-4</v>
      </c>
      <c r="E533" s="56">
        <v>128218.45000000001</v>
      </c>
      <c r="F533" s="56">
        <v>64626</v>
      </c>
      <c r="G533" s="56">
        <v>276116</v>
      </c>
      <c r="H533" s="56"/>
      <c r="I533" s="57">
        <v>5188</v>
      </c>
      <c r="J533" s="57">
        <v>241965</v>
      </c>
      <c r="K533" s="57">
        <v>18911</v>
      </c>
      <c r="L533" s="56">
        <v>90972</v>
      </c>
      <c r="M533" s="56"/>
      <c r="N533" s="57">
        <v>9675</v>
      </c>
      <c r="O533" s="57">
        <v>89308</v>
      </c>
      <c r="P533" s="57">
        <v>0</v>
      </c>
      <c r="Q533" s="56">
        <v>8402</v>
      </c>
      <c r="R533" s="57">
        <f t="shared" si="8"/>
        <v>152657</v>
      </c>
      <c r="S533" s="56"/>
      <c r="T533" s="57">
        <v>73802</v>
      </c>
      <c r="U533" s="58">
        <v>23087</v>
      </c>
      <c r="V533" s="58">
        <v>96889</v>
      </c>
    </row>
    <row r="534" spans="1:22">
      <c r="A534" s="54">
        <v>95853</v>
      </c>
      <c r="B534" s="55" t="s">
        <v>1911</v>
      </c>
      <c r="C534" s="106">
        <v>2.4000000000000001E-5</v>
      </c>
      <c r="D534" s="106">
        <v>2.44E-5</v>
      </c>
      <c r="E534" s="56">
        <v>14930.279999999999</v>
      </c>
      <c r="F534" s="56">
        <v>10951</v>
      </c>
      <c r="G534" s="56">
        <v>50936.04</v>
      </c>
      <c r="H534" s="56"/>
      <c r="I534" s="57">
        <v>957</v>
      </c>
      <c r="J534" s="57">
        <v>44636</v>
      </c>
      <c r="K534" s="57">
        <v>3489</v>
      </c>
      <c r="L534" s="56">
        <v>8043</v>
      </c>
      <c r="M534" s="56"/>
      <c r="N534" s="57">
        <v>1785</v>
      </c>
      <c r="O534" s="57">
        <v>16475</v>
      </c>
      <c r="P534" s="57">
        <v>0</v>
      </c>
      <c r="Q534" s="56">
        <v>0</v>
      </c>
      <c r="R534" s="57">
        <f t="shared" si="8"/>
        <v>28161</v>
      </c>
      <c r="S534" s="56"/>
      <c r="T534" s="57">
        <v>13614</v>
      </c>
      <c r="U534" s="58">
        <v>2790</v>
      </c>
      <c r="V534" s="58">
        <v>16405</v>
      </c>
    </row>
    <row r="535" spans="1:22">
      <c r="A535" s="54">
        <v>95901</v>
      </c>
      <c r="B535" s="55" t="s">
        <v>1912</v>
      </c>
      <c r="C535" s="106">
        <v>1.8266999999999999E-3</v>
      </c>
      <c r="D535" s="106">
        <v>1.8056000000000001E-3</v>
      </c>
      <c r="E535" s="56">
        <v>722469.93</v>
      </c>
      <c r="F535" s="56">
        <v>810342</v>
      </c>
      <c r="G535" s="56">
        <v>3876869</v>
      </c>
      <c r="H535" s="56"/>
      <c r="I535" s="57">
        <v>72840</v>
      </c>
      <c r="J535" s="57">
        <v>3397373</v>
      </c>
      <c r="K535" s="57">
        <v>265531</v>
      </c>
      <c r="L535" s="56">
        <v>69258</v>
      </c>
      <c r="M535" s="56"/>
      <c r="N535" s="57">
        <v>135850</v>
      </c>
      <c r="O535" s="57">
        <v>1253953</v>
      </c>
      <c r="P535" s="57">
        <v>0</v>
      </c>
      <c r="Q535" s="56">
        <v>11402</v>
      </c>
      <c r="R535" s="57">
        <f t="shared" si="8"/>
        <v>2143420</v>
      </c>
      <c r="S535" s="56"/>
      <c r="T535" s="57">
        <v>1036230</v>
      </c>
      <c r="U535" s="58">
        <v>29652</v>
      </c>
      <c r="V535" s="58">
        <v>1065882</v>
      </c>
    </row>
    <row r="536" spans="1:22">
      <c r="A536" s="54">
        <v>95908</v>
      </c>
      <c r="B536" s="55" t="s">
        <v>1913</v>
      </c>
      <c r="C536" s="106">
        <v>7.2000000000000002E-5</v>
      </c>
      <c r="D536" s="106">
        <v>6.6699999999999995E-5</v>
      </c>
      <c r="E536" s="56">
        <v>21165.479999999996</v>
      </c>
      <c r="F536" s="56">
        <v>29935</v>
      </c>
      <c r="G536" s="56">
        <v>152808.12</v>
      </c>
      <c r="H536" s="56"/>
      <c r="I536" s="57">
        <v>2871</v>
      </c>
      <c r="J536" s="57">
        <v>133909</v>
      </c>
      <c r="K536" s="57">
        <v>10466</v>
      </c>
      <c r="L536" s="56">
        <v>0</v>
      </c>
      <c r="M536" s="56"/>
      <c r="N536" s="57">
        <v>5355</v>
      </c>
      <c r="O536" s="57">
        <v>49425</v>
      </c>
      <c r="P536" s="57">
        <v>0</v>
      </c>
      <c r="Q536" s="56">
        <v>24519</v>
      </c>
      <c r="R536" s="57">
        <f t="shared" si="8"/>
        <v>84484</v>
      </c>
      <c r="S536" s="56"/>
      <c r="T536" s="57">
        <v>40843</v>
      </c>
      <c r="U536" s="58">
        <v>-9060</v>
      </c>
      <c r="V536" s="58">
        <v>31784</v>
      </c>
    </row>
    <row r="537" spans="1:22">
      <c r="A537" s="54">
        <v>95911</v>
      </c>
      <c r="B537" s="55" t="s">
        <v>1914</v>
      </c>
      <c r="C537" s="106">
        <v>5.6979999999999997E-4</v>
      </c>
      <c r="D537" s="106">
        <v>6.2100000000000002E-4</v>
      </c>
      <c r="E537" s="56">
        <v>226533.46999999997</v>
      </c>
      <c r="F537" s="56">
        <v>278701</v>
      </c>
      <c r="G537" s="56">
        <v>1209306</v>
      </c>
      <c r="H537" s="56"/>
      <c r="I537" s="57">
        <v>22721</v>
      </c>
      <c r="J537" s="57">
        <v>1059738</v>
      </c>
      <c r="K537" s="57">
        <v>82827</v>
      </c>
      <c r="L537" s="56">
        <v>4490</v>
      </c>
      <c r="M537" s="56"/>
      <c r="N537" s="57">
        <v>42375</v>
      </c>
      <c r="O537" s="57">
        <v>391144</v>
      </c>
      <c r="P537" s="57">
        <v>0</v>
      </c>
      <c r="Q537" s="56">
        <v>41660</v>
      </c>
      <c r="R537" s="57">
        <f t="shared" si="8"/>
        <v>668594</v>
      </c>
      <c r="S537" s="56"/>
      <c r="T537" s="57">
        <v>323230</v>
      </c>
      <c r="U537" s="58">
        <v>-11084</v>
      </c>
      <c r="V537" s="58">
        <v>312146</v>
      </c>
    </row>
    <row r="538" spans="1:22">
      <c r="A538" s="54">
        <v>95917</v>
      </c>
      <c r="B538" s="55" t="s">
        <v>1915</v>
      </c>
      <c r="C538" s="106">
        <v>2.2399999999999999E-5</v>
      </c>
      <c r="D538" s="106">
        <v>2.4499999999999999E-5</v>
      </c>
      <c r="E538" s="56">
        <v>9793.0600000000013</v>
      </c>
      <c r="F538" s="56">
        <v>10995</v>
      </c>
      <c r="G538" s="56">
        <v>47540</v>
      </c>
      <c r="H538" s="56"/>
      <c r="I538" s="57">
        <v>893</v>
      </c>
      <c r="J538" s="57">
        <v>41660</v>
      </c>
      <c r="K538" s="57">
        <v>3256</v>
      </c>
      <c r="L538" s="56">
        <v>4422</v>
      </c>
      <c r="M538" s="56"/>
      <c r="N538" s="57">
        <v>1666</v>
      </c>
      <c r="O538" s="57">
        <v>15377</v>
      </c>
      <c r="P538" s="57">
        <v>0</v>
      </c>
      <c r="Q538" s="56">
        <v>676</v>
      </c>
      <c r="R538" s="57">
        <f t="shared" si="8"/>
        <v>26283</v>
      </c>
      <c r="S538" s="56"/>
      <c r="T538" s="57">
        <v>12707</v>
      </c>
      <c r="U538" s="58">
        <v>1747</v>
      </c>
      <c r="V538" s="58">
        <v>14453</v>
      </c>
    </row>
    <row r="539" spans="1:22">
      <c r="A539" s="54">
        <v>95921</v>
      </c>
      <c r="B539" s="55" t="s">
        <v>1916</v>
      </c>
      <c r="C539" s="106">
        <v>4.4700000000000002E-5</v>
      </c>
      <c r="D539" s="106">
        <v>3.4600000000000001E-5</v>
      </c>
      <c r="E539" s="56">
        <v>16579.87</v>
      </c>
      <c r="F539" s="56">
        <v>15528</v>
      </c>
      <c r="G539" s="56">
        <v>94868</v>
      </c>
      <c r="H539" s="56"/>
      <c r="I539" s="57">
        <v>1782</v>
      </c>
      <c r="J539" s="57">
        <v>83135</v>
      </c>
      <c r="K539" s="57">
        <v>6498</v>
      </c>
      <c r="L539" s="56">
        <v>5096</v>
      </c>
      <c r="M539" s="56"/>
      <c r="N539" s="57">
        <v>3324</v>
      </c>
      <c r="O539" s="57">
        <v>30685</v>
      </c>
      <c r="P539" s="57">
        <v>0</v>
      </c>
      <c r="Q539" s="56">
        <v>1906</v>
      </c>
      <c r="R539" s="57">
        <f t="shared" si="8"/>
        <v>52450</v>
      </c>
      <c r="S539" s="56"/>
      <c r="T539" s="57">
        <v>25357</v>
      </c>
      <c r="U539" s="58">
        <v>463</v>
      </c>
      <c r="V539" s="58">
        <v>25820</v>
      </c>
    </row>
    <row r="540" spans="1:22">
      <c r="A540" s="54">
        <v>96001</v>
      </c>
      <c r="B540" s="55" t="s">
        <v>1917</v>
      </c>
      <c r="C540" s="106">
        <v>4.43519E-2</v>
      </c>
      <c r="D540" s="106">
        <v>4.41456E-2</v>
      </c>
      <c r="E540" s="56">
        <v>17742783.209999997</v>
      </c>
      <c r="F540" s="56">
        <v>19812280</v>
      </c>
      <c r="G540" s="56">
        <v>94129590</v>
      </c>
      <c r="H540" s="56"/>
      <c r="I540" s="57">
        <v>1768532</v>
      </c>
      <c r="J540" s="57">
        <v>82487526</v>
      </c>
      <c r="K540" s="57">
        <v>6447037</v>
      </c>
      <c r="L540" s="56">
        <v>2806449</v>
      </c>
      <c r="M540" s="56"/>
      <c r="N540" s="57">
        <v>3298406</v>
      </c>
      <c r="O540" s="57">
        <v>30445717</v>
      </c>
      <c r="P540" s="57">
        <v>0</v>
      </c>
      <c r="Q540" s="56">
        <v>282683</v>
      </c>
      <c r="R540" s="57">
        <f t="shared" si="8"/>
        <v>52041809</v>
      </c>
      <c r="S540" s="56"/>
      <c r="T540" s="57">
        <v>25159458</v>
      </c>
      <c r="U540" s="58">
        <v>1275874</v>
      </c>
      <c r="V540" s="58">
        <v>26435332</v>
      </c>
    </row>
    <row r="541" spans="1:22">
      <c r="A541" s="54">
        <v>96003</v>
      </c>
      <c r="B541" s="55" t="s">
        <v>1918</v>
      </c>
      <c r="C541" s="106">
        <v>1.7309000000000001E-3</v>
      </c>
      <c r="D541" s="106">
        <v>1.7633E-3</v>
      </c>
      <c r="E541" s="56">
        <v>655848.02</v>
      </c>
      <c r="F541" s="56">
        <v>791358</v>
      </c>
      <c r="G541" s="56">
        <v>3673550</v>
      </c>
      <c r="H541" s="56"/>
      <c r="I541" s="57">
        <v>69020</v>
      </c>
      <c r="J541" s="57">
        <v>3219201</v>
      </c>
      <c r="K541" s="57">
        <v>251605</v>
      </c>
      <c r="L541" s="56">
        <v>4786</v>
      </c>
      <c r="M541" s="56"/>
      <c r="N541" s="57">
        <v>128725</v>
      </c>
      <c r="O541" s="57">
        <v>1188190</v>
      </c>
      <c r="P541" s="57">
        <v>0</v>
      </c>
      <c r="Q541" s="56">
        <v>112661</v>
      </c>
      <c r="R541" s="57">
        <f t="shared" si="8"/>
        <v>2031011</v>
      </c>
      <c r="S541" s="56"/>
      <c r="T541" s="57">
        <v>981886</v>
      </c>
      <c r="U541" s="58">
        <v>-39821</v>
      </c>
      <c r="V541" s="58">
        <v>942065</v>
      </c>
    </row>
    <row r="542" spans="1:22">
      <c r="A542" s="54">
        <v>96004</v>
      </c>
      <c r="B542" s="55" t="s">
        <v>1919</v>
      </c>
      <c r="C542" s="106">
        <v>8.7699999999999996E-4</v>
      </c>
      <c r="D542" s="106">
        <v>8.208E-4</v>
      </c>
      <c r="E542" s="56">
        <v>400422.78</v>
      </c>
      <c r="F542" s="56">
        <v>368370</v>
      </c>
      <c r="G542" s="56">
        <v>1861288</v>
      </c>
      <c r="H542" s="56"/>
      <c r="I542" s="57">
        <v>34970.375</v>
      </c>
      <c r="J542" s="57">
        <v>1631081</v>
      </c>
      <c r="K542" s="57">
        <v>127482</v>
      </c>
      <c r="L542" s="56">
        <v>148722</v>
      </c>
      <c r="M542" s="56"/>
      <c r="N542" s="57">
        <v>65222</v>
      </c>
      <c r="O542" s="57">
        <v>602024</v>
      </c>
      <c r="P542" s="57">
        <v>0</v>
      </c>
      <c r="Q542" s="56">
        <v>0</v>
      </c>
      <c r="R542" s="57">
        <f t="shared" si="8"/>
        <v>1029057</v>
      </c>
      <c r="S542" s="56"/>
      <c r="T542" s="57">
        <v>497495</v>
      </c>
      <c r="U542" s="58">
        <v>52239</v>
      </c>
      <c r="V542" s="58">
        <v>549734</v>
      </c>
    </row>
    <row r="543" spans="1:22">
      <c r="A543" s="54">
        <v>96005</v>
      </c>
      <c r="B543" s="55" t="s">
        <v>1920</v>
      </c>
      <c r="C543" s="106">
        <v>2.6457E-3</v>
      </c>
      <c r="D543" s="106">
        <v>2.6692E-3</v>
      </c>
      <c r="E543" s="56">
        <v>1120531.6299999999</v>
      </c>
      <c r="F543" s="56">
        <v>1197921</v>
      </c>
      <c r="G543" s="56">
        <v>5615062</v>
      </c>
      <c r="H543" s="56"/>
      <c r="I543" s="57">
        <v>105497</v>
      </c>
      <c r="J543" s="57">
        <v>4920584</v>
      </c>
      <c r="K543" s="57">
        <v>384582</v>
      </c>
      <c r="L543" s="56">
        <v>345182</v>
      </c>
      <c r="M543" s="56"/>
      <c r="N543" s="57">
        <v>196758</v>
      </c>
      <c r="O543" s="57">
        <v>1816162</v>
      </c>
      <c r="P543" s="57">
        <v>0</v>
      </c>
      <c r="Q543" s="56">
        <v>0</v>
      </c>
      <c r="R543" s="57">
        <f t="shared" si="8"/>
        <v>3104422</v>
      </c>
      <c r="S543" s="56"/>
      <c r="T543" s="57">
        <v>1500824</v>
      </c>
      <c r="U543" s="58">
        <v>151849</v>
      </c>
      <c r="V543" s="58">
        <v>1652672</v>
      </c>
    </row>
    <row r="544" spans="1:22">
      <c r="A544" s="54">
        <v>96008</v>
      </c>
      <c r="B544" s="55" t="s">
        <v>1921</v>
      </c>
      <c r="C544" s="106">
        <v>5.9388000000000002E-3</v>
      </c>
      <c r="D544" s="106">
        <v>5.4187000000000003E-3</v>
      </c>
      <c r="E544" s="56">
        <v>1816865.04</v>
      </c>
      <c r="F544" s="56">
        <v>2431880</v>
      </c>
      <c r="G544" s="56">
        <v>12604123</v>
      </c>
      <c r="H544" s="56"/>
      <c r="I544" s="57">
        <v>236809.65</v>
      </c>
      <c r="J544" s="57">
        <v>11045230</v>
      </c>
      <c r="K544" s="57">
        <v>863270</v>
      </c>
      <c r="L544" s="56">
        <v>0</v>
      </c>
      <c r="M544" s="56"/>
      <c r="N544" s="57">
        <v>441663</v>
      </c>
      <c r="O544" s="57">
        <v>4076737</v>
      </c>
      <c r="P544" s="57">
        <v>0</v>
      </c>
      <c r="Q544" s="56">
        <v>411808</v>
      </c>
      <c r="R544" s="57">
        <f t="shared" si="8"/>
        <v>6968493</v>
      </c>
      <c r="S544" s="56"/>
      <c r="T544" s="57">
        <v>3368897</v>
      </c>
      <c r="U544" s="58">
        <v>-148661</v>
      </c>
      <c r="V544" s="58">
        <v>3220236</v>
      </c>
    </row>
    <row r="545" spans="1:22">
      <c r="A545" s="54">
        <v>96009</v>
      </c>
      <c r="B545" s="55" t="s">
        <v>1922</v>
      </c>
      <c r="C545" s="106">
        <v>3.5980000000000002E-4</v>
      </c>
      <c r="D545" s="106">
        <v>3.9110000000000002E-4</v>
      </c>
      <c r="E545" s="56">
        <v>164904.64000000001</v>
      </c>
      <c r="F545" s="56">
        <v>175523</v>
      </c>
      <c r="G545" s="56">
        <v>763616</v>
      </c>
      <c r="H545" s="56"/>
      <c r="I545" s="57">
        <v>14347</v>
      </c>
      <c r="J545" s="57">
        <v>669171</v>
      </c>
      <c r="K545" s="57">
        <v>52301</v>
      </c>
      <c r="L545" s="56">
        <v>12534</v>
      </c>
      <c r="M545" s="56"/>
      <c r="N545" s="57">
        <v>26758</v>
      </c>
      <c r="O545" s="57">
        <v>246988</v>
      </c>
      <c r="P545" s="57">
        <v>0</v>
      </c>
      <c r="Q545" s="56">
        <v>3502</v>
      </c>
      <c r="R545" s="57">
        <f t="shared" si="8"/>
        <v>422183</v>
      </c>
      <c r="S545" s="56"/>
      <c r="T545" s="57">
        <v>204103</v>
      </c>
      <c r="U545" s="58">
        <v>4895</v>
      </c>
      <c r="V545" s="58">
        <v>208999</v>
      </c>
    </row>
    <row r="546" spans="1:22">
      <c r="A546" s="54">
        <v>96011</v>
      </c>
      <c r="B546" s="55" t="s">
        <v>1923</v>
      </c>
      <c r="C546" s="106">
        <v>6.0489000000000001E-2</v>
      </c>
      <c r="D546" s="106">
        <v>5.8946100000000001E-2</v>
      </c>
      <c r="E546" s="56">
        <v>23738140.469999999</v>
      </c>
      <c r="F546" s="56">
        <v>26454656</v>
      </c>
      <c r="G546" s="56">
        <v>128377922</v>
      </c>
      <c r="H546" s="56"/>
      <c r="I546" s="57">
        <v>2411999</v>
      </c>
      <c r="J546" s="57">
        <v>112499983</v>
      </c>
      <c r="K546" s="57">
        <v>8792742</v>
      </c>
      <c r="L546" s="56">
        <v>167249</v>
      </c>
      <c r="M546" s="56"/>
      <c r="N546" s="57">
        <v>4498506</v>
      </c>
      <c r="O546" s="57">
        <v>41523158</v>
      </c>
      <c r="P546" s="57">
        <v>0</v>
      </c>
      <c r="Q546" s="56">
        <v>70330</v>
      </c>
      <c r="R546" s="57">
        <f t="shared" si="8"/>
        <v>70976825</v>
      </c>
      <c r="S546" s="56"/>
      <c r="T546" s="57">
        <v>34313535</v>
      </c>
      <c r="U546" s="58">
        <v>40438</v>
      </c>
      <c r="V546" s="58">
        <v>34353973</v>
      </c>
    </row>
    <row r="547" spans="1:22">
      <c r="A547" s="54">
        <v>96012</v>
      </c>
      <c r="B547" s="55" t="s">
        <v>1924</v>
      </c>
      <c r="C547" s="106">
        <v>2.4095000000000002E-3</v>
      </c>
      <c r="D547" s="106">
        <v>2.1905000000000002E-3</v>
      </c>
      <c r="E547" s="56">
        <v>930120.22000000009</v>
      </c>
      <c r="F547" s="56">
        <v>983083</v>
      </c>
      <c r="G547" s="56">
        <v>5113766</v>
      </c>
      <c r="H547" s="56"/>
      <c r="I547" s="57">
        <v>96079</v>
      </c>
      <c r="J547" s="57">
        <v>4481289</v>
      </c>
      <c r="K547" s="57">
        <v>350247</v>
      </c>
      <c r="L547" s="56">
        <v>112910</v>
      </c>
      <c r="M547" s="56"/>
      <c r="N547" s="57">
        <v>179192</v>
      </c>
      <c r="O547" s="57">
        <v>1654021</v>
      </c>
      <c r="P547" s="57">
        <v>0</v>
      </c>
      <c r="Q547" s="56">
        <v>0</v>
      </c>
      <c r="R547" s="57">
        <f t="shared" si="8"/>
        <v>2827268</v>
      </c>
      <c r="S547" s="56"/>
      <c r="T547" s="57">
        <v>1366835</v>
      </c>
      <c r="U547" s="58">
        <v>35829</v>
      </c>
      <c r="V547" s="58">
        <v>1402664</v>
      </c>
    </row>
    <row r="548" spans="1:22">
      <c r="A548" s="54">
        <v>96018</v>
      </c>
      <c r="B548" s="55" t="s">
        <v>1925</v>
      </c>
      <c r="C548" s="106">
        <v>3.6199999999999999E-5</v>
      </c>
      <c r="D548" s="106">
        <v>3.3599999999999997E-5</v>
      </c>
      <c r="E548" s="56">
        <v>13498.509999999998</v>
      </c>
      <c r="F548" s="56">
        <v>15079</v>
      </c>
      <c r="G548" s="56">
        <v>76829</v>
      </c>
      <c r="H548" s="56"/>
      <c r="I548" s="57">
        <v>1443.4749999999999</v>
      </c>
      <c r="J548" s="57">
        <v>67326</v>
      </c>
      <c r="K548" s="57">
        <v>5262</v>
      </c>
      <c r="L548" s="56">
        <v>11396</v>
      </c>
      <c r="M548" s="56"/>
      <c r="N548" s="57">
        <v>2692</v>
      </c>
      <c r="O548" s="57">
        <v>24850</v>
      </c>
      <c r="P548" s="57">
        <v>0</v>
      </c>
      <c r="Q548" s="56">
        <v>0</v>
      </c>
      <c r="R548" s="57">
        <f t="shared" si="8"/>
        <v>42476</v>
      </c>
      <c r="S548" s="56"/>
      <c r="T548" s="57">
        <v>20535</v>
      </c>
      <c r="U548" s="58">
        <v>5069</v>
      </c>
      <c r="V548" s="58">
        <v>25604</v>
      </c>
    </row>
    <row r="549" spans="1:22">
      <c r="A549" s="54">
        <v>96021</v>
      </c>
      <c r="B549" s="55" t="s">
        <v>1926</v>
      </c>
      <c r="C549" s="106">
        <v>8.5829999999999999E-4</v>
      </c>
      <c r="D549" s="106">
        <v>8.8719999999999999E-4</v>
      </c>
      <c r="E549" s="56">
        <v>330918.43</v>
      </c>
      <c r="F549" s="56">
        <v>398170</v>
      </c>
      <c r="G549" s="56">
        <v>1821600</v>
      </c>
      <c r="H549" s="56"/>
      <c r="I549" s="57">
        <v>34225</v>
      </c>
      <c r="J549" s="57">
        <v>1596302</v>
      </c>
      <c r="K549" s="57">
        <v>124763</v>
      </c>
      <c r="L549" s="56">
        <v>50366</v>
      </c>
      <c r="M549" s="56"/>
      <c r="N549" s="57">
        <v>63831</v>
      </c>
      <c r="O549" s="57">
        <v>589187</v>
      </c>
      <c r="P549" s="57">
        <v>0</v>
      </c>
      <c r="Q549" s="56">
        <v>33170</v>
      </c>
      <c r="R549" s="57">
        <f t="shared" si="8"/>
        <v>1007115</v>
      </c>
      <c r="S549" s="56"/>
      <c r="T549" s="57">
        <v>486887</v>
      </c>
      <c r="U549" s="58">
        <v>9814</v>
      </c>
      <c r="V549" s="58">
        <v>496701</v>
      </c>
    </row>
    <row r="550" spans="1:22">
      <c r="A550" s="54">
        <v>96031</v>
      </c>
      <c r="B550" s="55" t="s">
        <v>1927</v>
      </c>
      <c r="C550" s="106">
        <v>9.0189999999999997E-4</v>
      </c>
      <c r="D550" s="106">
        <v>8.116E-4</v>
      </c>
      <c r="E550" s="56">
        <v>268946.90999999997</v>
      </c>
      <c r="F550" s="56">
        <v>364241</v>
      </c>
      <c r="G550" s="56">
        <v>1914134</v>
      </c>
      <c r="H550" s="56"/>
      <c r="I550" s="57">
        <v>35963</v>
      </c>
      <c r="J550" s="57">
        <v>1677391</v>
      </c>
      <c r="K550" s="57">
        <v>131101</v>
      </c>
      <c r="L550" s="56">
        <v>0</v>
      </c>
      <c r="M550" s="56"/>
      <c r="N550" s="57">
        <v>67073</v>
      </c>
      <c r="O550" s="57">
        <v>619116</v>
      </c>
      <c r="P550" s="57">
        <v>0</v>
      </c>
      <c r="Q550" s="56">
        <v>136310</v>
      </c>
      <c r="R550" s="57">
        <f t="shared" si="8"/>
        <v>1058275</v>
      </c>
      <c r="S550" s="56"/>
      <c r="T550" s="57">
        <v>511620</v>
      </c>
      <c r="U550" s="58">
        <v>-50978</v>
      </c>
      <c r="V550" s="58">
        <v>460642</v>
      </c>
    </row>
    <row r="551" spans="1:22">
      <c r="A551" s="54">
        <v>96041</v>
      </c>
      <c r="B551" s="55" t="s">
        <v>1928</v>
      </c>
      <c r="C551" s="106">
        <v>1.7323E-3</v>
      </c>
      <c r="D551" s="106">
        <v>1.6793999999999999E-3</v>
      </c>
      <c r="E551" s="56">
        <v>616934.88000000012</v>
      </c>
      <c r="F551" s="56">
        <v>753705</v>
      </c>
      <c r="G551" s="56">
        <v>3676521</v>
      </c>
      <c r="H551" s="56"/>
      <c r="I551" s="57">
        <v>69075</v>
      </c>
      <c r="J551" s="57">
        <v>3221804</v>
      </c>
      <c r="K551" s="57">
        <v>251809</v>
      </c>
      <c r="L551" s="56">
        <v>0</v>
      </c>
      <c r="M551" s="56"/>
      <c r="N551" s="57">
        <v>128829</v>
      </c>
      <c r="O551" s="57">
        <v>1189151</v>
      </c>
      <c r="P551" s="57">
        <v>0</v>
      </c>
      <c r="Q551" s="56">
        <v>127191</v>
      </c>
      <c r="R551" s="57">
        <f t="shared" si="8"/>
        <v>2032653</v>
      </c>
      <c r="S551" s="56"/>
      <c r="T551" s="57">
        <v>982680</v>
      </c>
      <c r="U551" s="58">
        <v>-45617</v>
      </c>
      <c r="V551" s="58">
        <v>937063</v>
      </c>
    </row>
    <row r="552" spans="1:22">
      <c r="A552" s="54">
        <v>96051</v>
      </c>
      <c r="B552" s="55" t="s">
        <v>1929</v>
      </c>
      <c r="C552" s="106">
        <v>1.0258000000000001E-3</v>
      </c>
      <c r="D552" s="106">
        <v>1.0265999999999999E-3</v>
      </c>
      <c r="E552" s="56">
        <v>369762.41000000003</v>
      </c>
      <c r="F552" s="56">
        <v>460732</v>
      </c>
      <c r="G552" s="56">
        <v>2177091</v>
      </c>
      <c r="H552" s="56"/>
      <c r="I552" s="57">
        <v>40904</v>
      </c>
      <c r="J552" s="57">
        <v>1907826</v>
      </c>
      <c r="K552" s="57">
        <v>149111</v>
      </c>
      <c r="L552" s="56">
        <v>0</v>
      </c>
      <c r="M552" s="56"/>
      <c r="N552" s="57">
        <v>76288</v>
      </c>
      <c r="O552" s="57">
        <v>704169</v>
      </c>
      <c r="P552" s="57">
        <v>0</v>
      </c>
      <c r="Q552" s="56">
        <v>94345</v>
      </c>
      <c r="R552" s="57">
        <f t="shared" si="8"/>
        <v>1203657</v>
      </c>
      <c r="S552" s="56"/>
      <c r="T552" s="57">
        <v>581905</v>
      </c>
      <c r="U552" s="58">
        <v>-32749</v>
      </c>
      <c r="V552" s="58">
        <v>549156</v>
      </c>
    </row>
    <row r="553" spans="1:22">
      <c r="A553" s="54">
        <v>96061</v>
      </c>
      <c r="B553" s="55" t="s">
        <v>1930</v>
      </c>
      <c r="C553" s="106">
        <v>3.0800000000000001E-4</v>
      </c>
      <c r="D553" s="106">
        <v>3.1809999999999998E-4</v>
      </c>
      <c r="E553" s="56">
        <v>123610.23999999999</v>
      </c>
      <c r="F553" s="56">
        <v>142761</v>
      </c>
      <c r="G553" s="56">
        <v>653679</v>
      </c>
      <c r="H553" s="56"/>
      <c r="I553" s="57">
        <v>12281.5</v>
      </c>
      <c r="J553" s="57">
        <v>572831</v>
      </c>
      <c r="K553" s="57">
        <v>44771</v>
      </c>
      <c r="L553" s="56">
        <v>2239</v>
      </c>
      <c r="M553" s="56"/>
      <c r="N553" s="57">
        <v>22906</v>
      </c>
      <c r="O553" s="57">
        <v>211429</v>
      </c>
      <c r="P553" s="57">
        <v>0</v>
      </c>
      <c r="Q553" s="56">
        <v>11106</v>
      </c>
      <c r="R553" s="57">
        <f t="shared" si="8"/>
        <v>361402</v>
      </c>
      <c r="S553" s="56"/>
      <c r="T553" s="57">
        <v>174719</v>
      </c>
      <c r="U553" s="58">
        <v>-2865</v>
      </c>
      <c r="V553" s="58">
        <v>171854</v>
      </c>
    </row>
    <row r="554" spans="1:22">
      <c r="A554" s="54">
        <v>96071</v>
      </c>
      <c r="B554" s="55" t="s">
        <v>1931</v>
      </c>
      <c r="C554" s="106">
        <v>1.1280999999999999E-3</v>
      </c>
      <c r="D554" s="106">
        <v>1.2979000000000001E-3</v>
      </c>
      <c r="E554" s="56">
        <v>475581.26</v>
      </c>
      <c r="F554" s="56">
        <v>582490</v>
      </c>
      <c r="G554" s="56">
        <v>2394206</v>
      </c>
      <c r="H554" s="56"/>
      <c r="I554" s="57">
        <v>44983</v>
      </c>
      <c r="J554" s="57">
        <v>2098088</v>
      </c>
      <c r="K554" s="57">
        <v>163982</v>
      </c>
      <c r="L554" s="56">
        <v>64300</v>
      </c>
      <c r="M554" s="56"/>
      <c r="N554" s="57">
        <v>83896</v>
      </c>
      <c r="O554" s="57">
        <v>774393</v>
      </c>
      <c r="P554" s="57">
        <v>0</v>
      </c>
      <c r="Q554" s="56">
        <v>103673</v>
      </c>
      <c r="R554" s="57">
        <f t="shared" si="8"/>
        <v>1323695</v>
      </c>
      <c r="S554" s="56"/>
      <c r="T554" s="57">
        <v>639936</v>
      </c>
      <c r="U554" s="58">
        <v>-9157</v>
      </c>
      <c r="V554" s="58">
        <v>630779</v>
      </c>
    </row>
    <row r="555" spans="1:22">
      <c r="A555" s="54">
        <v>96081</v>
      </c>
      <c r="B555" s="55" t="s">
        <v>1932</v>
      </c>
      <c r="C555" s="106">
        <v>4.7820000000000002E-4</v>
      </c>
      <c r="D555" s="106">
        <v>4.3820000000000003E-4</v>
      </c>
      <c r="E555" s="56">
        <v>172267.02000000002</v>
      </c>
      <c r="F555" s="56">
        <v>196662</v>
      </c>
      <c r="G555" s="56">
        <v>1014901</v>
      </c>
      <c r="H555" s="56"/>
      <c r="I555" s="57">
        <v>19068</v>
      </c>
      <c r="J555" s="57">
        <v>889376</v>
      </c>
      <c r="K555" s="57">
        <v>69512</v>
      </c>
      <c r="L555" s="56">
        <v>14379</v>
      </c>
      <c r="M555" s="56"/>
      <c r="N555" s="57">
        <v>35563</v>
      </c>
      <c r="O555" s="57">
        <v>328264</v>
      </c>
      <c r="P555" s="57">
        <v>0</v>
      </c>
      <c r="Q555" s="56">
        <v>6375</v>
      </c>
      <c r="R555" s="57">
        <f t="shared" si="8"/>
        <v>561112</v>
      </c>
      <c r="S555" s="56"/>
      <c r="T555" s="57">
        <v>271268</v>
      </c>
      <c r="U555" s="58">
        <v>4406</v>
      </c>
      <c r="V555" s="58">
        <v>275674</v>
      </c>
    </row>
    <row r="556" spans="1:22">
      <c r="A556" s="54">
        <v>96101</v>
      </c>
      <c r="B556" s="55" t="s">
        <v>1933</v>
      </c>
      <c r="C556" s="106">
        <v>7.5860000000000001E-4</v>
      </c>
      <c r="D556" s="106">
        <v>7.6990000000000001E-4</v>
      </c>
      <c r="E556" s="56">
        <v>313732.09000000003</v>
      </c>
      <c r="F556" s="56">
        <v>345527</v>
      </c>
      <c r="G556" s="56">
        <v>1610003</v>
      </c>
      <c r="H556" s="56"/>
      <c r="I556" s="57">
        <v>30249</v>
      </c>
      <c r="J556" s="57">
        <v>1410876</v>
      </c>
      <c r="K556" s="57">
        <v>110271</v>
      </c>
      <c r="L556" s="56">
        <v>31021</v>
      </c>
      <c r="M556" s="56"/>
      <c r="N556" s="57">
        <v>56416</v>
      </c>
      <c r="O556" s="57">
        <v>520747</v>
      </c>
      <c r="P556" s="57">
        <v>0</v>
      </c>
      <c r="Q556" s="56">
        <v>4721</v>
      </c>
      <c r="R556" s="57">
        <f t="shared" si="8"/>
        <v>890129</v>
      </c>
      <c r="S556" s="56"/>
      <c r="T556" s="57">
        <v>430330</v>
      </c>
      <c r="U556" s="58">
        <v>11900</v>
      </c>
      <c r="V556" s="58">
        <v>442230</v>
      </c>
    </row>
    <row r="557" spans="1:22">
      <c r="A557" s="54">
        <v>96102</v>
      </c>
      <c r="B557" s="55" t="s">
        <v>1934</v>
      </c>
      <c r="C557" s="106">
        <v>1.42E-5</v>
      </c>
      <c r="D557" s="106">
        <v>1.3699999999999999E-5</v>
      </c>
      <c r="E557" s="56">
        <v>4769.91</v>
      </c>
      <c r="F557" s="56">
        <v>6148</v>
      </c>
      <c r="G557" s="56">
        <v>30137</v>
      </c>
      <c r="H557" s="56"/>
      <c r="I557" s="57">
        <v>566.22500000000002</v>
      </c>
      <c r="J557" s="57">
        <v>26410</v>
      </c>
      <c r="K557" s="57">
        <v>2064</v>
      </c>
      <c r="L557" s="56">
        <v>0</v>
      </c>
      <c r="M557" s="56"/>
      <c r="N557" s="57">
        <v>1056</v>
      </c>
      <c r="O557" s="57">
        <v>9748</v>
      </c>
      <c r="P557" s="57">
        <v>0</v>
      </c>
      <c r="Q557" s="56">
        <v>2903</v>
      </c>
      <c r="R557" s="57">
        <f t="shared" si="8"/>
        <v>16662</v>
      </c>
      <c r="S557" s="56"/>
      <c r="T557" s="57">
        <v>8055</v>
      </c>
      <c r="U557" s="58">
        <v>-1101</v>
      </c>
      <c r="V557" s="58">
        <v>6954</v>
      </c>
    </row>
    <row r="558" spans="1:22">
      <c r="A558" s="54">
        <v>96111</v>
      </c>
      <c r="B558" s="55" t="s">
        <v>1935</v>
      </c>
      <c r="C558" s="106">
        <v>1.6119999999999999E-4</v>
      </c>
      <c r="D558" s="106">
        <v>1.616E-4</v>
      </c>
      <c r="E558" s="56">
        <v>70991.37</v>
      </c>
      <c r="F558" s="56">
        <v>72525</v>
      </c>
      <c r="G558" s="56">
        <v>342120</v>
      </c>
      <c r="H558" s="56"/>
      <c r="I558" s="57">
        <v>6428</v>
      </c>
      <c r="J558" s="57">
        <v>299807</v>
      </c>
      <c r="K558" s="57">
        <v>23432</v>
      </c>
      <c r="L558" s="56">
        <v>16577</v>
      </c>
      <c r="M558" s="56"/>
      <c r="N558" s="57">
        <v>11988</v>
      </c>
      <c r="O558" s="57">
        <v>110657</v>
      </c>
      <c r="P558" s="57">
        <v>0</v>
      </c>
      <c r="Q558" s="56">
        <v>0</v>
      </c>
      <c r="R558" s="57">
        <f t="shared" si="8"/>
        <v>189150</v>
      </c>
      <c r="S558" s="56"/>
      <c r="T558" s="57">
        <v>91444</v>
      </c>
      <c r="U558" s="58">
        <v>7175</v>
      </c>
      <c r="V558" s="58">
        <v>98618</v>
      </c>
    </row>
    <row r="559" spans="1:22">
      <c r="A559" s="54">
        <v>96121</v>
      </c>
      <c r="B559" s="55" t="s">
        <v>1936</v>
      </c>
      <c r="C559" s="106">
        <v>2.2099999999999998E-5</v>
      </c>
      <c r="D559" s="106">
        <v>1.9199999999999999E-5</v>
      </c>
      <c r="E559" s="56">
        <v>7784.73</v>
      </c>
      <c r="F559" s="56">
        <v>8617</v>
      </c>
      <c r="G559" s="56">
        <v>46904</v>
      </c>
      <c r="H559" s="56"/>
      <c r="I559" s="57">
        <v>881.23749999999995</v>
      </c>
      <c r="J559" s="57">
        <v>41103</v>
      </c>
      <c r="K559" s="57">
        <v>3212</v>
      </c>
      <c r="L559" s="56">
        <v>535</v>
      </c>
      <c r="M559" s="56"/>
      <c r="N559" s="57">
        <v>1644</v>
      </c>
      <c r="O559" s="57">
        <v>15171</v>
      </c>
      <c r="P559" s="57">
        <v>0</v>
      </c>
      <c r="Q559" s="56">
        <v>1907</v>
      </c>
      <c r="R559" s="57">
        <f t="shared" si="8"/>
        <v>25932</v>
      </c>
      <c r="S559" s="56"/>
      <c r="T559" s="57">
        <v>12537</v>
      </c>
      <c r="U559" s="58">
        <v>-758</v>
      </c>
      <c r="V559" s="58">
        <v>11779</v>
      </c>
    </row>
    <row r="560" spans="1:22">
      <c r="A560" s="54">
        <v>96201</v>
      </c>
      <c r="B560" s="55" t="s">
        <v>1937</v>
      </c>
      <c r="C560" s="106">
        <v>1.2302999999999999E-3</v>
      </c>
      <c r="D560" s="106">
        <v>1.2474000000000001E-3</v>
      </c>
      <c r="E560" s="56">
        <v>481242.57</v>
      </c>
      <c r="F560" s="56">
        <v>559826</v>
      </c>
      <c r="G560" s="56">
        <v>2611109</v>
      </c>
      <c r="H560" s="56"/>
      <c r="I560" s="57">
        <v>49058</v>
      </c>
      <c r="J560" s="57">
        <v>2288164</v>
      </c>
      <c r="K560" s="57">
        <v>178838</v>
      </c>
      <c r="L560" s="56">
        <v>0</v>
      </c>
      <c r="M560" s="56"/>
      <c r="N560" s="57">
        <v>91496</v>
      </c>
      <c r="O560" s="57">
        <v>844549</v>
      </c>
      <c r="P560" s="57">
        <v>0</v>
      </c>
      <c r="Q560" s="56">
        <v>39692</v>
      </c>
      <c r="R560" s="57">
        <f t="shared" si="8"/>
        <v>1443615</v>
      </c>
      <c r="S560" s="56"/>
      <c r="T560" s="57">
        <v>697911</v>
      </c>
      <c r="U560" s="58">
        <v>-11921</v>
      </c>
      <c r="V560" s="58">
        <v>685990</v>
      </c>
    </row>
    <row r="561" spans="1:22">
      <c r="A561" s="54">
        <v>96204</v>
      </c>
      <c r="B561" s="55" t="s">
        <v>1938</v>
      </c>
      <c r="C561" s="106">
        <v>1.5400000000000002E-5</v>
      </c>
      <c r="D561" s="106">
        <v>1.49E-5</v>
      </c>
      <c r="E561" s="56">
        <v>7656.0400000000009</v>
      </c>
      <c r="F561" s="56">
        <v>6687</v>
      </c>
      <c r="G561" s="56">
        <v>32684</v>
      </c>
      <c r="H561" s="56"/>
      <c r="I561" s="57">
        <v>614</v>
      </c>
      <c r="J561" s="57">
        <v>28642</v>
      </c>
      <c r="K561" s="57">
        <v>2239</v>
      </c>
      <c r="L561" s="56">
        <v>3853</v>
      </c>
      <c r="M561" s="56"/>
      <c r="N561" s="57">
        <v>1145</v>
      </c>
      <c r="O561" s="57">
        <v>10571</v>
      </c>
      <c r="P561" s="57">
        <v>0</v>
      </c>
      <c r="Q561" s="56">
        <v>0</v>
      </c>
      <c r="R561" s="57">
        <f t="shared" si="8"/>
        <v>18071</v>
      </c>
      <c r="S561" s="56"/>
      <c r="T561" s="57">
        <v>8736</v>
      </c>
      <c r="U561" s="58">
        <v>1392</v>
      </c>
      <c r="V561" s="58">
        <v>10127</v>
      </c>
    </row>
    <row r="562" spans="1:22">
      <c r="A562" s="54">
        <v>96211</v>
      </c>
      <c r="B562" s="55" t="s">
        <v>1939</v>
      </c>
      <c r="C562" s="106">
        <v>3.0700000000000001E-5</v>
      </c>
      <c r="D562" s="106">
        <v>2.7399999999999999E-5</v>
      </c>
      <c r="E562" s="56">
        <v>14055.49</v>
      </c>
      <c r="F562" s="56">
        <v>12297</v>
      </c>
      <c r="G562" s="56">
        <v>65156</v>
      </c>
      <c r="H562" s="56"/>
      <c r="I562" s="57">
        <v>1224</v>
      </c>
      <c r="J562" s="57">
        <v>57097</v>
      </c>
      <c r="K562" s="57">
        <v>4463</v>
      </c>
      <c r="L562" s="56">
        <v>5441</v>
      </c>
      <c r="M562" s="56"/>
      <c r="N562" s="57">
        <v>2283</v>
      </c>
      <c r="O562" s="57">
        <v>21074</v>
      </c>
      <c r="P562" s="57">
        <v>0</v>
      </c>
      <c r="Q562" s="56">
        <v>8968.93</v>
      </c>
      <c r="R562" s="57">
        <f t="shared" si="8"/>
        <v>36023</v>
      </c>
      <c r="S562" s="56"/>
      <c r="T562" s="57">
        <v>17415</v>
      </c>
      <c r="U562" s="58">
        <v>-2857</v>
      </c>
      <c r="V562" s="58">
        <v>14558</v>
      </c>
    </row>
    <row r="563" spans="1:22">
      <c r="A563" s="54">
        <v>96221</v>
      </c>
      <c r="B563" s="55" t="s">
        <v>1940</v>
      </c>
      <c r="C563" s="106">
        <v>2.287E-4</v>
      </c>
      <c r="D563" s="106">
        <v>2.3719999999999999E-4</v>
      </c>
      <c r="E563" s="56">
        <v>88753.9</v>
      </c>
      <c r="F563" s="56">
        <v>106454</v>
      </c>
      <c r="G563" s="56">
        <v>485378</v>
      </c>
      <c r="H563" s="56"/>
      <c r="I563" s="57">
        <v>9119</v>
      </c>
      <c r="J563" s="57">
        <v>425346</v>
      </c>
      <c r="K563" s="57">
        <v>33244</v>
      </c>
      <c r="L563" s="56">
        <v>4903</v>
      </c>
      <c r="M563" s="56"/>
      <c r="N563" s="57">
        <v>17008</v>
      </c>
      <c r="O563" s="57">
        <v>156993</v>
      </c>
      <c r="P563" s="57">
        <v>0</v>
      </c>
      <c r="Q563" s="56">
        <v>16105</v>
      </c>
      <c r="R563" s="57">
        <f t="shared" si="8"/>
        <v>268353</v>
      </c>
      <c r="S563" s="56"/>
      <c r="T563" s="57">
        <v>129734</v>
      </c>
      <c r="U563" s="58">
        <v>-2405</v>
      </c>
      <c r="V563" s="58">
        <v>127329</v>
      </c>
    </row>
    <row r="564" spans="1:22">
      <c r="A564" s="54">
        <v>96231</v>
      </c>
      <c r="B564" s="55" t="s">
        <v>1941</v>
      </c>
      <c r="C564" s="106">
        <v>1.145E-4</v>
      </c>
      <c r="D564" s="106">
        <v>1.2420000000000001E-4</v>
      </c>
      <c r="E564" s="56">
        <v>40508.479999999996</v>
      </c>
      <c r="F564" s="56">
        <v>55740</v>
      </c>
      <c r="G564" s="56">
        <v>243007</v>
      </c>
      <c r="H564" s="56"/>
      <c r="I564" s="57">
        <v>4565.6875</v>
      </c>
      <c r="J564" s="57">
        <v>212952</v>
      </c>
      <c r="K564" s="57">
        <v>16644</v>
      </c>
      <c r="L564" s="56">
        <v>0</v>
      </c>
      <c r="M564" s="56"/>
      <c r="N564" s="57">
        <v>8515</v>
      </c>
      <c r="O564" s="57">
        <v>78599</v>
      </c>
      <c r="P564" s="57">
        <v>0</v>
      </c>
      <c r="Q564" s="56">
        <v>22692</v>
      </c>
      <c r="R564" s="57">
        <f t="shared" si="8"/>
        <v>134353</v>
      </c>
      <c r="S564" s="56"/>
      <c r="T564" s="57">
        <v>64952</v>
      </c>
      <c r="U564" s="58">
        <v>-7733</v>
      </c>
      <c r="V564" s="58">
        <v>57219</v>
      </c>
    </row>
    <row r="565" spans="1:22">
      <c r="A565" s="54">
        <v>96241</v>
      </c>
      <c r="B565" s="55" t="s">
        <v>1942</v>
      </c>
      <c r="C565" s="106">
        <v>4.6100000000000002E-5</v>
      </c>
      <c r="D565" s="106">
        <v>5.7000000000000003E-5</v>
      </c>
      <c r="E565" s="56">
        <v>18964.25</v>
      </c>
      <c r="F565" s="56">
        <v>25581</v>
      </c>
      <c r="G565" s="56">
        <v>97840</v>
      </c>
      <c r="H565" s="56"/>
      <c r="I565" s="57">
        <v>1838</v>
      </c>
      <c r="J565" s="57">
        <v>85739</v>
      </c>
      <c r="K565" s="57">
        <v>6701</v>
      </c>
      <c r="L565" s="56">
        <v>7866</v>
      </c>
      <c r="M565" s="56"/>
      <c r="N565" s="57">
        <v>3428</v>
      </c>
      <c r="O565" s="57">
        <v>31646</v>
      </c>
      <c r="P565" s="57">
        <v>0</v>
      </c>
      <c r="Q565" s="56">
        <v>5900</v>
      </c>
      <c r="R565" s="57">
        <f t="shared" si="8"/>
        <v>54093</v>
      </c>
      <c r="S565" s="56"/>
      <c r="T565" s="57">
        <v>26151</v>
      </c>
      <c r="U565" s="58">
        <v>2187</v>
      </c>
      <c r="V565" s="58">
        <v>28338</v>
      </c>
    </row>
    <row r="566" spans="1:22">
      <c r="A566" s="54">
        <v>96251</v>
      </c>
      <c r="B566" s="55" t="s">
        <v>1943</v>
      </c>
      <c r="C566" s="106">
        <v>7.7100000000000004E-5</v>
      </c>
      <c r="D566" s="106">
        <v>9.0699999999999996E-5</v>
      </c>
      <c r="E566" s="56">
        <v>29404.75</v>
      </c>
      <c r="F566" s="56">
        <v>40706</v>
      </c>
      <c r="G566" s="56">
        <v>163632</v>
      </c>
      <c r="H566" s="56"/>
      <c r="I566" s="57">
        <v>3074</v>
      </c>
      <c r="J566" s="57">
        <v>143394</v>
      </c>
      <c r="K566" s="57">
        <v>11207</v>
      </c>
      <c r="L566" s="56">
        <v>0</v>
      </c>
      <c r="M566" s="56"/>
      <c r="N566" s="57">
        <v>5734</v>
      </c>
      <c r="O566" s="57">
        <v>52926</v>
      </c>
      <c r="P566" s="57">
        <v>0</v>
      </c>
      <c r="Q566" s="56">
        <v>25538</v>
      </c>
      <c r="R566" s="57">
        <f t="shared" si="8"/>
        <v>90468</v>
      </c>
      <c r="S566" s="56"/>
      <c r="T566" s="57">
        <v>43736</v>
      </c>
      <c r="U566" s="58">
        <v>-8652</v>
      </c>
      <c r="V566" s="58">
        <v>35085</v>
      </c>
    </row>
    <row r="567" spans="1:22">
      <c r="A567" s="54">
        <v>96301</v>
      </c>
      <c r="B567" s="55" t="s">
        <v>1944</v>
      </c>
      <c r="C567" s="106">
        <v>4.3785999999999999E-3</v>
      </c>
      <c r="D567" s="106">
        <v>4.5367999999999997E-3</v>
      </c>
      <c r="E567" s="56">
        <v>1765528.9300000002</v>
      </c>
      <c r="F567" s="56">
        <v>2036089</v>
      </c>
      <c r="G567" s="56">
        <v>9292856</v>
      </c>
      <c r="H567" s="56"/>
      <c r="I567" s="57">
        <v>174597</v>
      </c>
      <c r="J567" s="57">
        <v>8143504</v>
      </c>
      <c r="K567" s="57">
        <v>636478</v>
      </c>
      <c r="L567" s="56">
        <v>94185</v>
      </c>
      <c r="M567" s="56"/>
      <c r="N567" s="57">
        <v>325632</v>
      </c>
      <c r="O567" s="57">
        <v>3005725</v>
      </c>
      <c r="P567" s="57">
        <v>0</v>
      </c>
      <c r="Q567" s="56">
        <v>147101</v>
      </c>
      <c r="R567" s="57">
        <f t="shared" si="8"/>
        <v>5137779</v>
      </c>
      <c r="S567" s="56"/>
      <c r="T567" s="57">
        <v>2483844</v>
      </c>
      <c r="U567" s="58">
        <v>-12863</v>
      </c>
      <c r="V567" s="58">
        <v>2470981</v>
      </c>
    </row>
    <row r="568" spans="1:22">
      <c r="A568" s="54">
        <v>96302</v>
      </c>
      <c r="B568" s="55" t="s">
        <v>1945</v>
      </c>
      <c r="C568" s="106">
        <v>1.9199999999999999E-5</v>
      </c>
      <c r="D568" s="106">
        <v>1.42E-5</v>
      </c>
      <c r="E568" s="56">
        <v>6636.09</v>
      </c>
      <c r="F568" s="56">
        <v>6373</v>
      </c>
      <c r="G568" s="56">
        <v>40749</v>
      </c>
      <c r="H568" s="56"/>
      <c r="I568" s="57">
        <v>766</v>
      </c>
      <c r="J568" s="57">
        <v>35709</v>
      </c>
      <c r="K568" s="57">
        <v>2791</v>
      </c>
      <c r="L568" s="56">
        <v>4449</v>
      </c>
      <c r="M568" s="56"/>
      <c r="N568" s="57">
        <v>1428</v>
      </c>
      <c r="O568" s="57">
        <v>13180</v>
      </c>
      <c r="P568" s="57">
        <v>0</v>
      </c>
      <c r="Q568" s="56">
        <v>0</v>
      </c>
      <c r="R568" s="57">
        <f t="shared" si="8"/>
        <v>22529</v>
      </c>
      <c r="S568" s="56"/>
      <c r="T568" s="57">
        <v>10892</v>
      </c>
      <c r="U568" s="58">
        <v>1514</v>
      </c>
      <c r="V568" s="58">
        <v>12406</v>
      </c>
    </row>
    <row r="569" spans="1:22">
      <c r="A569" s="54">
        <v>96304</v>
      </c>
      <c r="B569" s="55" t="s">
        <v>1946</v>
      </c>
      <c r="C569" s="106">
        <v>5.4599999999999999E-5</v>
      </c>
      <c r="D569" s="106">
        <v>5.24E-5</v>
      </c>
      <c r="E569" s="56">
        <v>25715.360000000001</v>
      </c>
      <c r="F569" s="56">
        <v>23517</v>
      </c>
      <c r="G569" s="56">
        <v>115879</v>
      </c>
      <c r="H569" s="56"/>
      <c r="I569" s="57">
        <v>2177</v>
      </c>
      <c r="J569" s="57">
        <v>101547</v>
      </c>
      <c r="K569" s="57">
        <v>7937</v>
      </c>
      <c r="L569" s="56">
        <v>7913</v>
      </c>
      <c r="M569" s="56"/>
      <c r="N569" s="57">
        <v>4061</v>
      </c>
      <c r="O569" s="57">
        <v>37481</v>
      </c>
      <c r="P569" s="57">
        <v>0</v>
      </c>
      <c r="Q569" s="56">
        <v>231</v>
      </c>
      <c r="R569" s="57">
        <f t="shared" si="8"/>
        <v>64066</v>
      </c>
      <c r="S569" s="56"/>
      <c r="T569" s="57">
        <v>30973</v>
      </c>
      <c r="U569" s="58">
        <v>2329</v>
      </c>
      <c r="V569" s="58">
        <v>33302</v>
      </c>
    </row>
    <row r="570" spans="1:22">
      <c r="A570" s="54">
        <v>96305</v>
      </c>
      <c r="B570" s="55" t="s">
        <v>1947</v>
      </c>
      <c r="C570" s="106">
        <v>4.8199999999999999E-5</v>
      </c>
      <c r="D570" s="106">
        <v>5.0399999999999999E-5</v>
      </c>
      <c r="E570" s="56">
        <v>28361.089999999997</v>
      </c>
      <c r="F570" s="56">
        <v>22619</v>
      </c>
      <c r="G570" s="56">
        <v>102297</v>
      </c>
      <c r="H570" s="56"/>
      <c r="I570" s="57">
        <v>1921.9749999999999</v>
      </c>
      <c r="J570" s="57">
        <v>89644</v>
      </c>
      <c r="K570" s="57">
        <v>7006</v>
      </c>
      <c r="L570" s="56">
        <v>10711</v>
      </c>
      <c r="M570" s="56"/>
      <c r="N570" s="57">
        <v>3585</v>
      </c>
      <c r="O570" s="57">
        <v>33087</v>
      </c>
      <c r="P570" s="57">
        <v>0</v>
      </c>
      <c r="Q570" s="56">
        <v>0</v>
      </c>
      <c r="R570" s="57">
        <f t="shared" si="8"/>
        <v>56557</v>
      </c>
      <c r="S570" s="56"/>
      <c r="T570" s="57">
        <v>27342</v>
      </c>
      <c r="U570" s="58">
        <v>3278</v>
      </c>
      <c r="V570" s="58">
        <v>30620</v>
      </c>
    </row>
    <row r="571" spans="1:22">
      <c r="A571" s="54">
        <v>96310</v>
      </c>
      <c r="B571" s="55" t="s">
        <v>1948</v>
      </c>
      <c r="C571" s="106">
        <v>4.88E-5</v>
      </c>
      <c r="D571" s="106">
        <v>6.1299999999999999E-5</v>
      </c>
      <c r="E571" s="56">
        <v>23402.659999999996</v>
      </c>
      <c r="F571" s="56">
        <v>27511</v>
      </c>
      <c r="G571" s="56">
        <v>103570</v>
      </c>
      <c r="H571" s="56"/>
      <c r="I571" s="57">
        <v>1945.9</v>
      </c>
      <c r="J571" s="57">
        <v>90760</v>
      </c>
      <c r="K571" s="57">
        <v>7094</v>
      </c>
      <c r="L571" s="56">
        <v>6056</v>
      </c>
      <c r="M571" s="56"/>
      <c r="N571" s="57">
        <v>3629</v>
      </c>
      <c r="O571" s="57">
        <v>33499</v>
      </c>
      <c r="P571" s="57">
        <v>0</v>
      </c>
      <c r="Q571" s="56">
        <v>4123</v>
      </c>
      <c r="R571" s="57">
        <f t="shared" si="8"/>
        <v>57261</v>
      </c>
      <c r="S571" s="56"/>
      <c r="T571" s="57">
        <v>27683</v>
      </c>
      <c r="U571" s="58">
        <v>1701</v>
      </c>
      <c r="V571" s="58">
        <v>29384</v>
      </c>
    </row>
    <row r="572" spans="1:22">
      <c r="A572" s="54">
        <v>96311</v>
      </c>
      <c r="B572" s="55" t="s">
        <v>1949</v>
      </c>
      <c r="C572" s="106">
        <v>1.4082999999999999E-3</v>
      </c>
      <c r="D572" s="106">
        <v>1.4383E-3</v>
      </c>
      <c r="E572" s="56">
        <v>512325.3</v>
      </c>
      <c r="F572" s="56">
        <v>645500</v>
      </c>
      <c r="G572" s="56">
        <v>2988884</v>
      </c>
      <c r="H572" s="56"/>
      <c r="I572" s="57">
        <v>56156</v>
      </c>
      <c r="J572" s="57">
        <v>2619215</v>
      </c>
      <c r="K572" s="57">
        <v>204712</v>
      </c>
      <c r="L572" s="56">
        <v>22194.47</v>
      </c>
      <c r="M572" s="56"/>
      <c r="N572" s="57">
        <v>104734</v>
      </c>
      <c r="O572" s="57">
        <v>966739</v>
      </c>
      <c r="P572" s="57">
        <v>0</v>
      </c>
      <c r="Q572" s="56">
        <v>96281</v>
      </c>
      <c r="R572" s="57">
        <f t="shared" si="8"/>
        <v>1652476</v>
      </c>
      <c r="S572" s="56"/>
      <c r="T572" s="57">
        <v>798885</v>
      </c>
      <c r="U572" s="58">
        <v>-16365</v>
      </c>
      <c r="V572" s="58">
        <v>782520</v>
      </c>
    </row>
    <row r="573" spans="1:22">
      <c r="A573" s="54">
        <v>96312</v>
      </c>
      <c r="B573" s="55" t="s">
        <v>1950</v>
      </c>
      <c r="C573" s="106">
        <v>1.5999999999999999E-6</v>
      </c>
      <c r="D573" s="106">
        <v>4.7999999999999998E-6</v>
      </c>
      <c r="E573" s="56">
        <v>1991.6599999999999</v>
      </c>
      <c r="F573" s="56">
        <v>2154</v>
      </c>
      <c r="G573" s="56">
        <v>3396</v>
      </c>
      <c r="H573" s="56"/>
      <c r="I573" s="57">
        <v>63.8</v>
      </c>
      <c r="J573" s="57">
        <v>2976</v>
      </c>
      <c r="K573" s="57">
        <v>233</v>
      </c>
      <c r="L573" s="56">
        <v>51</v>
      </c>
      <c r="M573" s="56"/>
      <c r="N573" s="57">
        <v>119</v>
      </c>
      <c r="O573" s="57">
        <v>1098</v>
      </c>
      <c r="P573" s="57">
        <v>0</v>
      </c>
      <c r="Q573" s="56">
        <v>3416</v>
      </c>
      <c r="R573" s="57">
        <f t="shared" si="8"/>
        <v>1878</v>
      </c>
      <c r="S573" s="56"/>
      <c r="T573" s="57">
        <v>908</v>
      </c>
      <c r="U573" s="58">
        <v>-1534</v>
      </c>
      <c r="V573" s="58">
        <v>-627</v>
      </c>
    </row>
    <row r="574" spans="1:22">
      <c r="A574" s="54">
        <v>96318</v>
      </c>
      <c r="B574" s="55" t="s">
        <v>1951</v>
      </c>
      <c r="C574" s="106">
        <v>1.7782E-3</v>
      </c>
      <c r="D574" s="106">
        <v>0</v>
      </c>
      <c r="E574" s="56">
        <v>12089019.32</v>
      </c>
      <c r="F574" s="56">
        <v>0</v>
      </c>
      <c r="G574" s="56">
        <v>3773936</v>
      </c>
      <c r="H574" s="56"/>
      <c r="I574" s="57">
        <v>70906</v>
      </c>
      <c r="J574" s="57">
        <v>3307171</v>
      </c>
      <c r="K574" s="57">
        <v>258481</v>
      </c>
      <c r="L574" s="56">
        <v>9984043</v>
      </c>
      <c r="M574" s="56"/>
      <c r="N574" s="57">
        <v>132243</v>
      </c>
      <c r="O574" s="57">
        <v>1220660</v>
      </c>
      <c r="P574" s="57">
        <v>0</v>
      </c>
      <c r="Q574" s="56">
        <v>0</v>
      </c>
      <c r="R574" s="57">
        <f t="shared" si="8"/>
        <v>2086511</v>
      </c>
      <c r="S574" s="56"/>
      <c r="T574" s="57">
        <v>1008718</v>
      </c>
      <c r="U574" s="58">
        <v>2586540</v>
      </c>
      <c r="V574" s="58">
        <v>3595257</v>
      </c>
    </row>
    <row r="575" spans="1:22">
      <c r="A575" s="54">
        <v>96321</v>
      </c>
      <c r="B575" s="55" t="s">
        <v>1952</v>
      </c>
      <c r="C575" s="106">
        <v>3.7400000000000001E-5</v>
      </c>
      <c r="D575" s="106">
        <v>3.9700000000000003E-5</v>
      </c>
      <c r="E575" s="56">
        <v>13314.68</v>
      </c>
      <c r="F575" s="56">
        <v>17817</v>
      </c>
      <c r="G575" s="56">
        <v>79375</v>
      </c>
      <c r="H575" s="56"/>
      <c r="I575" s="57">
        <v>1491.325</v>
      </c>
      <c r="J575" s="57">
        <v>69558</v>
      </c>
      <c r="K575" s="57">
        <v>5437</v>
      </c>
      <c r="L575" s="56">
        <v>837</v>
      </c>
      <c r="M575" s="56"/>
      <c r="N575" s="57">
        <v>2781</v>
      </c>
      <c r="O575" s="57">
        <v>25674</v>
      </c>
      <c r="P575" s="57">
        <v>0</v>
      </c>
      <c r="Q575" s="56">
        <v>3510</v>
      </c>
      <c r="R575" s="57">
        <f t="shared" si="8"/>
        <v>43884</v>
      </c>
      <c r="S575" s="56"/>
      <c r="T575" s="57">
        <v>21216</v>
      </c>
      <c r="U575" s="58">
        <v>-764</v>
      </c>
      <c r="V575" s="58">
        <v>20452</v>
      </c>
    </row>
    <row r="576" spans="1:22">
      <c r="A576" s="54">
        <v>96331</v>
      </c>
      <c r="B576" s="55" t="s">
        <v>1953</v>
      </c>
      <c r="C576" s="106">
        <v>7.1699999999999997E-4</v>
      </c>
      <c r="D576" s="106">
        <v>7.6110000000000001E-4</v>
      </c>
      <c r="E576" s="56">
        <v>265185.34000000003</v>
      </c>
      <c r="F576" s="56">
        <v>341577</v>
      </c>
      <c r="G576" s="56">
        <v>1521714</v>
      </c>
      <c r="H576" s="56"/>
      <c r="I576" s="57">
        <v>28590.375</v>
      </c>
      <c r="J576" s="57">
        <v>1333507</v>
      </c>
      <c r="K576" s="57">
        <v>104224</v>
      </c>
      <c r="L576" s="56">
        <v>4814</v>
      </c>
      <c r="M576" s="56"/>
      <c r="N576" s="57">
        <v>53323</v>
      </c>
      <c r="O576" s="57">
        <v>492190</v>
      </c>
      <c r="P576" s="57">
        <v>0</v>
      </c>
      <c r="Q576" s="56">
        <v>66351</v>
      </c>
      <c r="R576" s="57">
        <f t="shared" si="8"/>
        <v>841317</v>
      </c>
      <c r="S576" s="56"/>
      <c r="T576" s="57">
        <v>406732</v>
      </c>
      <c r="U576" s="58">
        <v>-20081</v>
      </c>
      <c r="V576" s="58">
        <v>386651</v>
      </c>
    </row>
    <row r="577" spans="1:22">
      <c r="A577" s="54">
        <v>96341</v>
      </c>
      <c r="B577" s="55" t="s">
        <v>1954</v>
      </c>
      <c r="C577" s="106">
        <v>9.1600000000000004E-5</v>
      </c>
      <c r="D577" s="106">
        <v>8.0799999999999999E-5</v>
      </c>
      <c r="E577" s="56">
        <v>32432.260000000002</v>
      </c>
      <c r="F577" s="56">
        <v>36263</v>
      </c>
      <c r="G577" s="56">
        <v>194406</v>
      </c>
      <c r="H577" s="56"/>
      <c r="I577" s="57">
        <v>3652.55</v>
      </c>
      <c r="J577" s="57">
        <v>170362</v>
      </c>
      <c r="K577" s="57">
        <v>13315</v>
      </c>
      <c r="L577" s="56">
        <v>13221</v>
      </c>
      <c r="M577" s="56"/>
      <c r="N577" s="57">
        <v>6812</v>
      </c>
      <c r="O577" s="57">
        <v>62880</v>
      </c>
      <c r="P577" s="57">
        <v>0</v>
      </c>
      <c r="Q577" s="56">
        <v>11187.78</v>
      </c>
      <c r="R577" s="57">
        <f t="shared" si="8"/>
        <v>107482</v>
      </c>
      <c r="S577" s="56"/>
      <c r="T577" s="57">
        <v>51962</v>
      </c>
      <c r="U577" s="58">
        <v>-1095</v>
      </c>
      <c r="V577" s="58">
        <v>50867</v>
      </c>
    </row>
    <row r="578" spans="1:22">
      <c r="A578" s="54">
        <v>96351</v>
      </c>
      <c r="B578" s="55" t="s">
        <v>1955</v>
      </c>
      <c r="C578" s="106">
        <v>1.0736000000000001E-3</v>
      </c>
      <c r="D578" s="106">
        <v>1.0939999999999999E-3</v>
      </c>
      <c r="E578" s="56">
        <v>419131.13999999996</v>
      </c>
      <c r="F578" s="56">
        <v>490981</v>
      </c>
      <c r="G578" s="56">
        <v>2278539</v>
      </c>
      <c r="H578" s="56"/>
      <c r="I578" s="57">
        <v>42809.8</v>
      </c>
      <c r="J578" s="57">
        <v>1996726</v>
      </c>
      <c r="K578" s="57">
        <v>156060</v>
      </c>
      <c r="L578" s="56">
        <v>9467</v>
      </c>
      <c r="M578" s="56"/>
      <c r="N578" s="57">
        <v>79843</v>
      </c>
      <c r="O578" s="57">
        <v>736981</v>
      </c>
      <c r="P578" s="57">
        <v>0</v>
      </c>
      <c r="Q578" s="56">
        <v>28826</v>
      </c>
      <c r="R578" s="57">
        <f t="shared" si="8"/>
        <v>1259745</v>
      </c>
      <c r="S578" s="56"/>
      <c r="T578" s="57">
        <v>609020</v>
      </c>
      <c r="U578" s="58">
        <v>-3422</v>
      </c>
      <c r="V578" s="58">
        <v>605598</v>
      </c>
    </row>
    <row r="579" spans="1:22">
      <c r="A579" s="54">
        <v>96361</v>
      </c>
      <c r="B579" s="55" t="s">
        <v>1956</v>
      </c>
      <c r="C579" s="106">
        <v>5.8900000000000002E-5</v>
      </c>
      <c r="D579" s="106">
        <v>4.8999999999999998E-5</v>
      </c>
      <c r="E579" s="56">
        <v>21510.870000000003</v>
      </c>
      <c r="F579" s="56">
        <v>21991</v>
      </c>
      <c r="G579" s="56">
        <v>125006</v>
      </c>
      <c r="H579" s="56"/>
      <c r="I579" s="57">
        <v>2349</v>
      </c>
      <c r="J579" s="57">
        <v>109545</v>
      </c>
      <c r="K579" s="57">
        <v>8562</v>
      </c>
      <c r="L579" s="56">
        <v>5269</v>
      </c>
      <c r="M579" s="56"/>
      <c r="N579" s="57">
        <v>4380</v>
      </c>
      <c r="O579" s="57">
        <v>40432</v>
      </c>
      <c r="P579" s="57">
        <v>0</v>
      </c>
      <c r="Q579" s="56">
        <v>390</v>
      </c>
      <c r="R579" s="57">
        <f t="shared" si="8"/>
        <v>69113</v>
      </c>
      <c r="S579" s="56"/>
      <c r="T579" s="57">
        <v>33412</v>
      </c>
      <c r="U579" s="58">
        <v>1728</v>
      </c>
      <c r="V579" s="58">
        <v>35140</v>
      </c>
    </row>
    <row r="580" spans="1:22">
      <c r="A580" s="54">
        <v>96371</v>
      </c>
      <c r="B580" s="55" t="s">
        <v>1957</v>
      </c>
      <c r="C580" s="106">
        <v>1.6359999999999999E-4</v>
      </c>
      <c r="D580" s="106">
        <v>1.6760000000000001E-4</v>
      </c>
      <c r="E580" s="56">
        <v>62916.799999999988</v>
      </c>
      <c r="F580" s="56">
        <v>75218</v>
      </c>
      <c r="G580" s="56">
        <v>347214</v>
      </c>
      <c r="H580" s="56"/>
      <c r="I580" s="57">
        <v>6524</v>
      </c>
      <c r="J580" s="57">
        <v>304270</v>
      </c>
      <c r="K580" s="57">
        <v>23781</v>
      </c>
      <c r="L580" s="56">
        <v>2683</v>
      </c>
      <c r="M580" s="56"/>
      <c r="N580" s="57">
        <v>12167</v>
      </c>
      <c r="O580" s="57">
        <v>112305</v>
      </c>
      <c r="P580" s="57">
        <v>0</v>
      </c>
      <c r="Q580" s="56">
        <v>7435</v>
      </c>
      <c r="R580" s="57">
        <f t="shared" si="8"/>
        <v>191965</v>
      </c>
      <c r="S580" s="56"/>
      <c r="T580" s="57">
        <v>92805</v>
      </c>
      <c r="U580" s="58">
        <v>-750</v>
      </c>
      <c r="V580" s="58">
        <v>92055</v>
      </c>
    </row>
    <row r="581" spans="1:22">
      <c r="A581" s="54">
        <v>96381</v>
      </c>
      <c r="B581" s="55" t="s">
        <v>1958</v>
      </c>
      <c r="C581" s="106">
        <v>3.26E-5</v>
      </c>
      <c r="D581" s="106">
        <v>2.9600000000000001E-5</v>
      </c>
      <c r="E581" s="56">
        <v>11485.45</v>
      </c>
      <c r="F581" s="56">
        <v>13284</v>
      </c>
      <c r="G581" s="56">
        <v>69188</v>
      </c>
      <c r="H581" s="56"/>
      <c r="I581" s="57">
        <v>1299.925</v>
      </c>
      <c r="J581" s="57">
        <v>60631</v>
      </c>
      <c r="K581" s="57">
        <v>4739</v>
      </c>
      <c r="L581" s="56">
        <v>99</v>
      </c>
      <c r="M581" s="56"/>
      <c r="N581" s="57">
        <v>2424</v>
      </c>
      <c r="O581" s="57">
        <v>22379</v>
      </c>
      <c r="P581" s="57">
        <v>0</v>
      </c>
      <c r="Q581" s="56">
        <v>3089</v>
      </c>
      <c r="R581" s="57">
        <f t="shared" si="8"/>
        <v>38252</v>
      </c>
      <c r="S581" s="56"/>
      <c r="T581" s="57">
        <v>18493</v>
      </c>
      <c r="U581" s="58">
        <v>-1205</v>
      </c>
      <c r="V581" s="58">
        <v>17288</v>
      </c>
    </row>
    <row r="582" spans="1:22">
      <c r="A582" s="54">
        <v>96391</v>
      </c>
      <c r="B582" s="55" t="s">
        <v>1959</v>
      </c>
      <c r="C582" s="106">
        <v>1.807E-4</v>
      </c>
      <c r="D582" s="106">
        <v>1.9450000000000001E-4</v>
      </c>
      <c r="E582" s="56">
        <v>66063.039999999994</v>
      </c>
      <c r="F582" s="56">
        <v>87290</v>
      </c>
      <c r="G582" s="56">
        <v>383506</v>
      </c>
      <c r="H582" s="56"/>
      <c r="I582" s="57">
        <v>7205</v>
      </c>
      <c r="J582" s="57">
        <v>336073</v>
      </c>
      <c r="K582" s="57">
        <v>26267</v>
      </c>
      <c r="L582" s="56">
        <v>19760.7</v>
      </c>
      <c r="M582" s="56"/>
      <c r="N582" s="57">
        <v>13438</v>
      </c>
      <c r="O582" s="57">
        <v>124043</v>
      </c>
      <c r="P582" s="57">
        <v>0</v>
      </c>
      <c r="Q582" s="56">
        <v>26107</v>
      </c>
      <c r="R582" s="57">
        <f t="shared" si="8"/>
        <v>212030</v>
      </c>
      <c r="S582" s="56"/>
      <c r="T582" s="57">
        <v>102506</v>
      </c>
      <c r="U582" s="58">
        <v>2012</v>
      </c>
      <c r="V582" s="58">
        <v>104518</v>
      </c>
    </row>
    <row r="583" spans="1:22">
      <c r="A583" s="54">
        <v>96401</v>
      </c>
      <c r="B583" s="55" t="s">
        <v>1960</v>
      </c>
      <c r="C583" s="106">
        <v>4.5900000000000003E-3</v>
      </c>
      <c r="D583" s="106">
        <v>4.5434999999999998E-3</v>
      </c>
      <c r="E583" s="56">
        <v>1835552.26</v>
      </c>
      <c r="F583" s="56">
        <v>2039096</v>
      </c>
      <c r="G583" s="56">
        <v>9741518</v>
      </c>
      <c r="H583" s="56"/>
      <c r="I583" s="57">
        <v>183026.25</v>
      </c>
      <c r="J583" s="57">
        <v>8536675</v>
      </c>
      <c r="K583" s="57">
        <v>667206.99</v>
      </c>
      <c r="L583" s="56">
        <v>31898</v>
      </c>
      <c r="M583" s="56"/>
      <c r="N583" s="57">
        <v>341353.71</v>
      </c>
      <c r="O583" s="57">
        <v>3150842.22</v>
      </c>
      <c r="P583" s="57">
        <v>0</v>
      </c>
      <c r="Q583" s="56">
        <v>37434</v>
      </c>
      <c r="R583" s="57">
        <f t="shared" ref="R583:R646" si="9">IF(J583&gt;O583,J583-O583,O583-J583)</f>
        <v>5385832.7799999993</v>
      </c>
      <c r="S583" s="56"/>
      <c r="T583" s="57">
        <v>2603764.71</v>
      </c>
      <c r="U583" s="58">
        <v>4298</v>
      </c>
      <c r="V583" s="58">
        <v>2608063</v>
      </c>
    </row>
    <row r="584" spans="1:22">
      <c r="A584" s="54">
        <v>96404</v>
      </c>
      <c r="B584" s="55" t="s">
        <v>1961</v>
      </c>
      <c r="C584" s="106">
        <v>9.8800000000000003E-5</v>
      </c>
      <c r="D584" s="106">
        <v>8.92E-5</v>
      </c>
      <c r="E584" s="56">
        <v>49336.67</v>
      </c>
      <c r="F584" s="56">
        <v>40032</v>
      </c>
      <c r="G584" s="56">
        <v>209687</v>
      </c>
      <c r="H584" s="56"/>
      <c r="I584" s="57">
        <v>3939.65</v>
      </c>
      <c r="J584" s="57">
        <v>183752</v>
      </c>
      <c r="K584" s="57">
        <v>14362</v>
      </c>
      <c r="L584" s="56">
        <v>23586</v>
      </c>
      <c r="M584" s="56"/>
      <c r="N584" s="57">
        <v>7348</v>
      </c>
      <c r="O584" s="57">
        <v>67822</v>
      </c>
      <c r="P584" s="57">
        <v>0</v>
      </c>
      <c r="Q584" s="56">
        <v>0</v>
      </c>
      <c r="R584" s="57">
        <f t="shared" si="9"/>
        <v>115930</v>
      </c>
      <c r="S584" s="56"/>
      <c r="T584" s="57">
        <v>56046</v>
      </c>
      <c r="U584" s="58">
        <v>7753</v>
      </c>
      <c r="V584" s="58">
        <v>63799</v>
      </c>
    </row>
    <row r="585" spans="1:22">
      <c r="A585" s="54">
        <v>96405</v>
      </c>
      <c r="B585" s="55" t="s">
        <v>1962</v>
      </c>
      <c r="C585" s="106">
        <v>1.7760000000000001E-4</v>
      </c>
      <c r="D585" s="106">
        <v>1.942E-4</v>
      </c>
      <c r="E585" s="56">
        <v>83527.920000000013</v>
      </c>
      <c r="F585" s="56">
        <v>87156</v>
      </c>
      <c r="G585" s="56">
        <v>376927</v>
      </c>
      <c r="H585" s="56"/>
      <c r="I585" s="57">
        <v>7081.8</v>
      </c>
      <c r="J585" s="57">
        <v>330308</v>
      </c>
      <c r="K585" s="57">
        <v>25816</v>
      </c>
      <c r="L585" s="56">
        <v>15838</v>
      </c>
      <c r="M585" s="56"/>
      <c r="N585" s="57">
        <v>13208</v>
      </c>
      <c r="O585" s="57">
        <v>121915</v>
      </c>
      <c r="P585" s="57">
        <v>0</v>
      </c>
      <c r="Q585" s="56">
        <v>2411</v>
      </c>
      <c r="R585" s="57">
        <f t="shared" si="9"/>
        <v>208393</v>
      </c>
      <c r="S585" s="56"/>
      <c r="T585" s="57">
        <v>100747</v>
      </c>
      <c r="U585" s="58">
        <v>4565</v>
      </c>
      <c r="V585" s="58">
        <v>105312</v>
      </c>
    </row>
    <row r="586" spans="1:22">
      <c r="A586" s="54">
        <v>96411</v>
      </c>
      <c r="B586" s="55" t="s">
        <v>1963</v>
      </c>
      <c r="C586" s="106">
        <v>5.66E-5</v>
      </c>
      <c r="D586" s="106">
        <v>6.6699999999999995E-5</v>
      </c>
      <c r="E586" s="56">
        <v>25222.480000000003</v>
      </c>
      <c r="F586" s="56">
        <v>29935</v>
      </c>
      <c r="G586" s="56">
        <v>120124</v>
      </c>
      <c r="H586" s="56"/>
      <c r="I586" s="57">
        <v>2257</v>
      </c>
      <c r="J586" s="57">
        <v>105267</v>
      </c>
      <c r="K586" s="57">
        <v>8227</v>
      </c>
      <c r="L586" s="56">
        <v>8181</v>
      </c>
      <c r="M586" s="56"/>
      <c r="N586" s="57">
        <v>4209</v>
      </c>
      <c r="O586" s="57">
        <v>38854</v>
      </c>
      <c r="P586" s="57">
        <v>0</v>
      </c>
      <c r="Q586" s="56">
        <v>6127</v>
      </c>
      <c r="R586" s="57">
        <f t="shared" si="9"/>
        <v>66413</v>
      </c>
      <c r="S586" s="56"/>
      <c r="T586" s="57">
        <v>32107</v>
      </c>
      <c r="U586" s="58">
        <v>778</v>
      </c>
      <c r="V586" s="58">
        <v>32885</v>
      </c>
    </row>
    <row r="587" spans="1:22">
      <c r="A587" s="54">
        <v>96421</v>
      </c>
      <c r="B587" s="55" t="s">
        <v>1964</v>
      </c>
      <c r="C587" s="106">
        <v>4.2860000000000001E-4</v>
      </c>
      <c r="D587" s="106">
        <v>4.6069999999999998E-4</v>
      </c>
      <c r="E587" s="56">
        <v>149902.97</v>
      </c>
      <c r="F587" s="56">
        <v>206759</v>
      </c>
      <c r="G587" s="56">
        <v>909633</v>
      </c>
      <c r="H587" s="56"/>
      <c r="I587" s="57">
        <v>17090</v>
      </c>
      <c r="J587" s="57">
        <v>797128</v>
      </c>
      <c r="K587" s="57">
        <v>62302</v>
      </c>
      <c r="L587" s="56">
        <v>0</v>
      </c>
      <c r="M587" s="56"/>
      <c r="N587" s="57">
        <v>31875</v>
      </c>
      <c r="O587" s="57">
        <v>294216</v>
      </c>
      <c r="P587" s="57">
        <v>0</v>
      </c>
      <c r="Q587" s="56">
        <v>86301</v>
      </c>
      <c r="R587" s="57">
        <f t="shared" si="9"/>
        <v>502912</v>
      </c>
      <c r="S587" s="56"/>
      <c r="T587" s="57">
        <v>243131</v>
      </c>
      <c r="U587" s="58">
        <v>-29627</v>
      </c>
      <c r="V587" s="58">
        <v>213504</v>
      </c>
    </row>
    <row r="588" spans="1:22">
      <c r="A588" s="54">
        <v>96431</v>
      </c>
      <c r="B588" s="55" t="s">
        <v>1965</v>
      </c>
      <c r="C588" s="106">
        <v>5.6100000000000002E-5</v>
      </c>
      <c r="D588" s="106">
        <v>3.9400000000000002E-5</v>
      </c>
      <c r="E588" s="56">
        <v>22346.13</v>
      </c>
      <c r="F588" s="56">
        <v>17682</v>
      </c>
      <c r="G588" s="56">
        <v>119063</v>
      </c>
      <c r="H588" s="56"/>
      <c r="I588" s="57">
        <v>2237</v>
      </c>
      <c r="J588" s="57">
        <v>104337</v>
      </c>
      <c r="K588" s="57">
        <v>8155</v>
      </c>
      <c r="L588" s="56">
        <v>8471</v>
      </c>
      <c r="M588" s="56"/>
      <c r="N588" s="57">
        <v>4172</v>
      </c>
      <c r="O588" s="57">
        <v>38510</v>
      </c>
      <c r="P588" s="57">
        <v>0</v>
      </c>
      <c r="Q588" s="56">
        <v>4421</v>
      </c>
      <c r="R588" s="57">
        <f t="shared" si="9"/>
        <v>65827</v>
      </c>
      <c r="S588" s="56"/>
      <c r="T588" s="57">
        <v>31824</v>
      </c>
      <c r="U588" s="58">
        <v>305</v>
      </c>
      <c r="V588" s="58">
        <v>32128</v>
      </c>
    </row>
    <row r="589" spans="1:22">
      <c r="A589" s="54">
        <v>96441</v>
      </c>
      <c r="B589" s="55" t="s">
        <v>1966</v>
      </c>
      <c r="C589" s="106">
        <v>3.1199999999999999E-5</v>
      </c>
      <c r="D589" s="106">
        <v>3.9100000000000002E-5</v>
      </c>
      <c r="E589" s="56">
        <v>18068.97</v>
      </c>
      <c r="F589" s="56">
        <v>17548</v>
      </c>
      <c r="G589" s="56">
        <v>66217</v>
      </c>
      <c r="H589" s="56"/>
      <c r="I589" s="57">
        <v>1244</v>
      </c>
      <c r="J589" s="57">
        <v>58027</v>
      </c>
      <c r="K589" s="57">
        <v>4535</v>
      </c>
      <c r="L589" s="56">
        <v>6875</v>
      </c>
      <c r="M589" s="56"/>
      <c r="N589" s="57">
        <v>2320</v>
      </c>
      <c r="O589" s="57">
        <v>21417</v>
      </c>
      <c r="P589" s="57">
        <v>0</v>
      </c>
      <c r="Q589" s="56">
        <v>826</v>
      </c>
      <c r="R589" s="57">
        <f t="shared" si="9"/>
        <v>36610</v>
      </c>
      <c r="S589" s="56"/>
      <c r="T589" s="57">
        <v>17699</v>
      </c>
      <c r="U589" s="58">
        <v>2052</v>
      </c>
      <c r="V589" s="58">
        <v>19751</v>
      </c>
    </row>
    <row r="590" spans="1:22">
      <c r="A590" s="54">
        <v>96451</v>
      </c>
      <c r="B590" s="55" t="s">
        <v>1967</v>
      </c>
      <c r="C590" s="106">
        <v>1.38E-5</v>
      </c>
      <c r="D590" s="106">
        <v>8.8999999999999995E-6</v>
      </c>
      <c r="E590" s="56">
        <v>6879.8000000000011</v>
      </c>
      <c r="F590" s="56">
        <v>3994</v>
      </c>
      <c r="G590" s="56">
        <v>29288</v>
      </c>
      <c r="H590" s="56"/>
      <c r="I590" s="57">
        <v>550.27499999999998</v>
      </c>
      <c r="J590" s="57">
        <v>25666</v>
      </c>
      <c r="K590" s="57">
        <v>2006</v>
      </c>
      <c r="L590" s="56">
        <v>3611</v>
      </c>
      <c r="M590" s="56"/>
      <c r="N590" s="57">
        <v>1026</v>
      </c>
      <c r="O590" s="57">
        <v>9473</v>
      </c>
      <c r="P590" s="57">
        <v>0</v>
      </c>
      <c r="Q590" s="56">
        <v>2200</v>
      </c>
      <c r="R590" s="57">
        <f t="shared" si="9"/>
        <v>16193</v>
      </c>
      <c r="S590" s="56"/>
      <c r="T590" s="57">
        <v>7828</v>
      </c>
      <c r="U590" s="58">
        <v>55</v>
      </c>
      <c r="V590" s="58">
        <v>7883</v>
      </c>
    </row>
    <row r="591" spans="1:22">
      <c r="A591" s="54">
        <v>96461</v>
      </c>
      <c r="B591" s="55" t="s">
        <v>1968</v>
      </c>
      <c r="C591" s="106">
        <v>1.3410000000000001E-4</v>
      </c>
      <c r="D591" s="106">
        <v>1.6129999999999999E-4</v>
      </c>
      <c r="E591" s="56">
        <v>60539.490000000005</v>
      </c>
      <c r="F591" s="56">
        <v>72390</v>
      </c>
      <c r="G591" s="56">
        <v>284605</v>
      </c>
      <c r="H591" s="56"/>
      <c r="I591" s="57">
        <v>5347</v>
      </c>
      <c r="J591" s="57">
        <v>249405</v>
      </c>
      <c r="K591" s="57">
        <v>19493</v>
      </c>
      <c r="L591" s="56">
        <v>8046</v>
      </c>
      <c r="M591" s="56"/>
      <c r="N591" s="57">
        <v>9973</v>
      </c>
      <c r="O591" s="57">
        <v>92054</v>
      </c>
      <c r="P591" s="57">
        <v>0</v>
      </c>
      <c r="Q591" s="56">
        <v>27042</v>
      </c>
      <c r="R591" s="57">
        <f t="shared" si="9"/>
        <v>157351</v>
      </c>
      <c r="S591" s="56"/>
      <c r="T591" s="57">
        <v>76071</v>
      </c>
      <c r="U591" s="58">
        <v>-4548</v>
      </c>
      <c r="V591" s="58">
        <v>71523</v>
      </c>
    </row>
    <row r="592" spans="1:22">
      <c r="A592" s="54">
        <v>96501</v>
      </c>
      <c r="B592" s="55" t="s">
        <v>1969</v>
      </c>
      <c r="C592" s="106">
        <v>1.4156999999999999E-2</v>
      </c>
      <c r="D592" s="106">
        <v>1.4844599999999999E-2</v>
      </c>
      <c r="E592" s="56">
        <v>5793174.8699999992</v>
      </c>
      <c r="F592" s="56">
        <v>6662167</v>
      </c>
      <c r="G592" s="56">
        <v>30045897</v>
      </c>
      <c r="H592" s="56"/>
      <c r="I592" s="57">
        <v>564510</v>
      </c>
      <c r="J592" s="57">
        <v>26329783</v>
      </c>
      <c r="K592" s="57">
        <v>2057876</v>
      </c>
      <c r="L592" s="56">
        <v>597577</v>
      </c>
      <c r="M592" s="56"/>
      <c r="N592" s="57">
        <v>1052842</v>
      </c>
      <c r="O592" s="57">
        <v>9718186</v>
      </c>
      <c r="P592" s="57">
        <v>0</v>
      </c>
      <c r="Q592" s="56">
        <v>395352</v>
      </c>
      <c r="R592" s="57">
        <f t="shared" si="9"/>
        <v>16611597</v>
      </c>
      <c r="S592" s="56"/>
      <c r="T592" s="57">
        <v>8030827</v>
      </c>
      <c r="U592" s="58">
        <v>146416</v>
      </c>
      <c r="V592" s="58">
        <v>8177243</v>
      </c>
    </row>
    <row r="593" spans="1:22">
      <c r="A593" s="54">
        <v>96502</v>
      </c>
      <c r="B593" s="55" t="s">
        <v>1970</v>
      </c>
      <c r="C593" s="106">
        <v>4.2309999999999998E-4</v>
      </c>
      <c r="D593" s="106">
        <v>3.9639999999999999E-4</v>
      </c>
      <c r="E593" s="56">
        <v>180923.45999999996</v>
      </c>
      <c r="F593" s="56">
        <v>177902</v>
      </c>
      <c r="G593" s="56">
        <v>897960</v>
      </c>
      <c r="H593" s="56"/>
      <c r="I593" s="57">
        <v>16871</v>
      </c>
      <c r="J593" s="57">
        <v>786899</v>
      </c>
      <c r="K593" s="57">
        <v>61502</v>
      </c>
      <c r="L593" s="56">
        <v>58143</v>
      </c>
      <c r="M593" s="56"/>
      <c r="N593" s="57">
        <v>31466</v>
      </c>
      <c r="O593" s="57">
        <v>290440</v>
      </c>
      <c r="P593" s="57">
        <v>0</v>
      </c>
      <c r="Q593" s="56">
        <v>0</v>
      </c>
      <c r="R593" s="57">
        <f t="shared" si="9"/>
        <v>496459</v>
      </c>
      <c r="S593" s="56"/>
      <c r="T593" s="57">
        <v>240012</v>
      </c>
      <c r="U593" s="58">
        <v>22314</v>
      </c>
      <c r="V593" s="58">
        <v>262325</v>
      </c>
    </row>
    <row r="594" spans="1:22">
      <c r="A594" s="54">
        <v>96503</v>
      </c>
      <c r="B594" s="55" t="s">
        <v>2295</v>
      </c>
      <c r="C594" s="106">
        <v>3.3700000000000001E-4</v>
      </c>
      <c r="D594" s="106">
        <v>3.746E-4</v>
      </c>
      <c r="E594" s="56">
        <v>297528.38</v>
      </c>
      <c r="F594" s="56">
        <v>168118</v>
      </c>
      <c r="G594" s="56">
        <v>715227</v>
      </c>
      <c r="H594" s="56"/>
      <c r="I594" s="57">
        <v>13437.875</v>
      </c>
      <c r="J594" s="57">
        <v>626767</v>
      </c>
      <c r="K594" s="57">
        <v>48987</v>
      </c>
      <c r="L594" s="56">
        <v>200924</v>
      </c>
      <c r="M594" s="56"/>
      <c r="N594" s="57">
        <v>25062</v>
      </c>
      <c r="O594" s="57">
        <v>231336</v>
      </c>
      <c r="P594" s="57">
        <v>0</v>
      </c>
      <c r="Q594" s="56">
        <v>29898</v>
      </c>
      <c r="R594" s="57">
        <f t="shared" si="9"/>
        <v>395431</v>
      </c>
      <c r="S594" s="56"/>
      <c r="T594" s="57">
        <v>191170</v>
      </c>
      <c r="U594" s="58">
        <v>46111</v>
      </c>
      <c r="V594" s="58">
        <v>237280</v>
      </c>
    </row>
    <row r="595" spans="1:22">
      <c r="A595" s="54">
        <v>96504</v>
      </c>
      <c r="B595" s="55" t="s">
        <v>1972</v>
      </c>
      <c r="C595" s="106">
        <v>3.6039999999999998E-4</v>
      </c>
      <c r="D595" s="106">
        <v>3.7149999999999998E-4</v>
      </c>
      <c r="E595" s="56">
        <v>148639.46</v>
      </c>
      <c r="F595" s="56">
        <v>166727</v>
      </c>
      <c r="G595" s="56">
        <v>764890</v>
      </c>
      <c r="H595" s="56"/>
      <c r="I595" s="57">
        <v>14371</v>
      </c>
      <c r="J595" s="57">
        <v>670287</v>
      </c>
      <c r="K595" s="57">
        <v>52388</v>
      </c>
      <c r="L595" s="56">
        <v>11269</v>
      </c>
      <c r="M595" s="56"/>
      <c r="N595" s="57">
        <v>26803</v>
      </c>
      <c r="O595" s="57">
        <v>247399</v>
      </c>
      <c r="P595" s="57">
        <v>0</v>
      </c>
      <c r="Q595" s="56">
        <v>6125</v>
      </c>
      <c r="R595" s="57">
        <f t="shared" si="9"/>
        <v>422888</v>
      </c>
      <c r="S595" s="56"/>
      <c r="T595" s="57">
        <v>204444</v>
      </c>
      <c r="U595" s="58">
        <v>2299</v>
      </c>
      <c r="V595" s="58">
        <v>206743</v>
      </c>
    </row>
    <row r="596" spans="1:22">
      <c r="A596" s="54">
        <v>96507</v>
      </c>
      <c r="B596" s="55" t="s">
        <v>1973</v>
      </c>
      <c r="C596" s="106">
        <v>2.2604999999999999E-3</v>
      </c>
      <c r="D596" s="106">
        <v>2.1895999999999999E-3</v>
      </c>
      <c r="E596" s="56">
        <v>971182.37999999977</v>
      </c>
      <c r="F596" s="56">
        <v>982679</v>
      </c>
      <c r="G596" s="56">
        <v>4797538</v>
      </c>
      <c r="H596" s="56"/>
      <c r="I596" s="57">
        <v>90137</v>
      </c>
      <c r="J596" s="57">
        <v>4204173</v>
      </c>
      <c r="K596" s="57">
        <v>328589</v>
      </c>
      <c r="L596" s="56">
        <v>180324</v>
      </c>
      <c r="M596" s="56"/>
      <c r="N596" s="57">
        <v>168111</v>
      </c>
      <c r="O596" s="57">
        <v>1551738</v>
      </c>
      <c r="P596" s="57">
        <v>0</v>
      </c>
      <c r="Q596" s="56">
        <v>0</v>
      </c>
      <c r="R596" s="57">
        <f t="shared" si="9"/>
        <v>2652435</v>
      </c>
      <c r="S596" s="56"/>
      <c r="T596" s="57">
        <v>1282312</v>
      </c>
      <c r="U596" s="58">
        <v>64566</v>
      </c>
      <c r="V596" s="58">
        <v>1346877</v>
      </c>
    </row>
    <row r="597" spans="1:22">
      <c r="A597" s="54">
        <v>96508</v>
      </c>
      <c r="B597" s="55" t="s">
        <v>1974</v>
      </c>
      <c r="C597" s="106">
        <v>9.7999999999999993E-6</v>
      </c>
      <c r="D597" s="106">
        <v>1.03E-5</v>
      </c>
      <c r="E597" s="56">
        <v>9949.2000000000025</v>
      </c>
      <c r="F597" s="56">
        <v>4623</v>
      </c>
      <c r="G597" s="56">
        <v>20799</v>
      </c>
      <c r="H597" s="56"/>
      <c r="I597" s="57">
        <v>390.77499999999998</v>
      </c>
      <c r="J597" s="57">
        <v>18226</v>
      </c>
      <c r="K597" s="57">
        <v>1425</v>
      </c>
      <c r="L597" s="56">
        <v>9383</v>
      </c>
      <c r="M597" s="56"/>
      <c r="N597" s="57">
        <v>729</v>
      </c>
      <c r="O597" s="57">
        <v>6727</v>
      </c>
      <c r="P597" s="57">
        <v>0</v>
      </c>
      <c r="Q597" s="56">
        <v>0</v>
      </c>
      <c r="R597" s="57">
        <f t="shared" si="9"/>
        <v>11499</v>
      </c>
      <c r="S597" s="56"/>
      <c r="T597" s="57">
        <v>5559</v>
      </c>
      <c r="U597" s="58">
        <v>3176</v>
      </c>
      <c r="V597" s="58">
        <v>8735</v>
      </c>
    </row>
    <row r="598" spans="1:22">
      <c r="A598" s="54">
        <v>96511</v>
      </c>
      <c r="B598" s="55" t="s">
        <v>1975</v>
      </c>
      <c r="C598" s="106">
        <v>6.221E-4</v>
      </c>
      <c r="D598" s="106">
        <v>7.5080000000000004E-4</v>
      </c>
      <c r="E598" s="56">
        <v>244657.82</v>
      </c>
      <c r="F598" s="56">
        <v>336955</v>
      </c>
      <c r="G598" s="56">
        <v>1320305</v>
      </c>
      <c r="H598" s="56"/>
      <c r="I598" s="57">
        <v>24806</v>
      </c>
      <c r="J598" s="57">
        <v>1157008</v>
      </c>
      <c r="K598" s="57">
        <v>90429</v>
      </c>
      <c r="L598" s="56">
        <v>0</v>
      </c>
      <c r="M598" s="56"/>
      <c r="N598" s="57">
        <v>46265</v>
      </c>
      <c r="O598" s="57">
        <v>427046</v>
      </c>
      <c r="P598" s="57">
        <v>0</v>
      </c>
      <c r="Q598" s="56">
        <v>135169</v>
      </c>
      <c r="R598" s="57">
        <f t="shared" si="9"/>
        <v>729962</v>
      </c>
      <c r="S598" s="56"/>
      <c r="T598" s="57">
        <v>352898</v>
      </c>
      <c r="U598" s="58">
        <v>-47382</v>
      </c>
      <c r="V598" s="58">
        <v>305516</v>
      </c>
    </row>
    <row r="599" spans="1:22">
      <c r="A599" s="54">
        <v>96512</v>
      </c>
      <c r="B599" s="55" t="s">
        <v>1976</v>
      </c>
      <c r="C599" s="106">
        <v>1.7000000000000001E-4</v>
      </c>
      <c r="D599" s="106">
        <v>1.5550000000000001E-4</v>
      </c>
      <c r="E599" s="56">
        <v>63900.750000000007</v>
      </c>
      <c r="F599" s="56">
        <v>69787</v>
      </c>
      <c r="G599" s="56">
        <v>360796.95</v>
      </c>
      <c r="H599" s="56"/>
      <c r="I599" s="57">
        <v>6779</v>
      </c>
      <c r="J599" s="57">
        <v>316173.14</v>
      </c>
      <c r="K599" s="57">
        <v>24711</v>
      </c>
      <c r="L599" s="56">
        <v>8267</v>
      </c>
      <c r="M599" s="56"/>
      <c r="N599" s="57">
        <v>12643</v>
      </c>
      <c r="O599" s="57">
        <v>116698</v>
      </c>
      <c r="P599" s="57">
        <v>0</v>
      </c>
      <c r="Q599" s="56">
        <v>0</v>
      </c>
      <c r="R599" s="57">
        <f t="shared" si="9"/>
        <v>199475.14</v>
      </c>
      <c r="S599" s="56"/>
      <c r="T599" s="57">
        <v>96436</v>
      </c>
      <c r="U599" s="58">
        <v>2689</v>
      </c>
      <c r="V599" s="58">
        <v>99124</v>
      </c>
    </row>
    <row r="600" spans="1:22">
      <c r="A600" s="54">
        <v>96519</v>
      </c>
      <c r="B600" s="55" t="s">
        <v>2296</v>
      </c>
      <c r="C600" s="106">
        <v>0</v>
      </c>
      <c r="D600" s="106">
        <v>1.7197E-3</v>
      </c>
      <c r="E600" s="56">
        <v>0</v>
      </c>
      <c r="F600" s="56">
        <v>771791</v>
      </c>
      <c r="G600" s="56">
        <v>0</v>
      </c>
      <c r="H600" s="56"/>
      <c r="I600" s="57">
        <v>0</v>
      </c>
      <c r="J600" s="57">
        <v>0</v>
      </c>
      <c r="K600" s="57">
        <v>0</v>
      </c>
      <c r="L600" s="56">
        <v>300924</v>
      </c>
      <c r="M600" s="56"/>
      <c r="N600" s="57">
        <v>0</v>
      </c>
      <c r="O600" s="57">
        <v>0</v>
      </c>
      <c r="P600" s="57">
        <v>0</v>
      </c>
      <c r="Q600" s="56">
        <v>931590</v>
      </c>
      <c r="R600" s="57">
        <f t="shared" si="9"/>
        <v>0</v>
      </c>
      <c r="S600" s="56"/>
      <c r="T600" s="57">
        <v>0</v>
      </c>
      <c r="U600" s="58">
        <v>-102954</v>
      </c>
      <c r="V600" s="58">
        <v>-102954</v>
      </c>
    </row>
    <row r="601" spans="1:22">
      <c r="A601" s="54">
        <v>96521</v>
      </c>
      <c r="B601" s="55" t="s">
        <v>1977</v>
      </c>
      <c r="C601" s="106">
        <v>9.4240000000000003E-4</v>
      </c>
      <c r="D601" s="106">
        <v>9.0479999999999998E-4</v>
      </c>
      <c r="E601" s="56">
        <v>332666.64</v>
      </c>
      <c r="F601" s="56">
        <v>406069</v>
      </c>
      <c r="G601" s="56">
        <v>2000089</v>
      </c>
      <c r="H601" s="56"/>
      <c r="I601" s="57">
        <v>37578</v>
      </c>
      <c r="J601" s="57">
        <v>1752715</v>
      </c>
      <c r="K601" s="57">
        <v>136988</v>
      </c>
      <c r="L601" s="56">
        <v>46521</v>
      </c>
      <c r="M601" s="56"/>
      <c r="N601" s="57">
        <v>70085</v>
      </c>
      <c r="O601" s="57">
        <v>646918</v>
      </c>
      <c r="P601" s="57">
        <v>0</v>
      </c>
      <c r="Q601" s="56">
        <v>27885</v>
      </c>
      <c r="R601" s="57">
        <f t="shared" si="9"/>
        <v>1105797</v>
      </c>
      <c r="S601" s="56"/>
      <c r="T601" s="57">
        <v>534594</v>
      </c>
      <c r="U601" s="58">
        <v>8139</v>
      </c>
      <c r="V601" s="58">
        <v>542733</v>
      </c>
    </row>
    <row r="602" spans="1:22">
      <c r="A602" s="54">
        <v>96531</v>
      </c>
      <c r="B602" s="55" t="s">
        <v>1978</v>
      </c>
      <c r="C602" s="106">
        <v>8.6088999999999992E-3</v>
      </c>
      <c r="D602" s="106">
        <v>9.1912000000000001E-3</v>
      </c>
      <c r="E602" s="56">
        <v>3504528.87</v>
      </c>
      <c r="F602" s="56">
        <v>4124955</v>
      </c>
      <c r="G602" s="56">
        <v>18270970</v>
      </c>
      <c r="H602" s="56"/>
      <c r="I602" s="57">
        <v>343280</v>
      </c>
      <c r="J602" s="57">
        <v>16011194</v>
      </c>
      <c r="K602" s="57">
        <v>1251398</v>
      </c>
      <c r="L602" s="56">
        <v>75559</v>
      </c>
      <c r="M602" s="56"/>
      <c r="N602" s="57">
        <v>640235</v>
      </c>
      <c r="O602" s="57">
        <v>5909648</v>
      </c>
      <c r="P602" s="57">
        <v>0</v>
      </c>
      <c r="Q602" s="56">
        <v>381680</v>
      </c>
      <c r="R602" s="57">
        <f t="shared" si="9"/>
        <v>10101546</v>
      </c>
      <c r="S602" s="56"/>
      <c r="T602" s="57">
        <v>4883562</v>
      </c>
      <c r="U602" s="58">
        <v>-81286</v>
      </c>
      <c r="V602" s="58">
        <v>4802276</v>
      </c>
    </row>
    <row r="603" spans="1:22">
      <c r="A603" s="54">
        <v>96541</v>
      </c>
      <c r="B603" s="55" t="s">
        <v>1979</v>
      </c>
      <c r="C603" s="106">
        <v>3.3169999999999999E-4</v>
      </c>
      <c r="D603" s="106">
        <v>3.2759999999999999E-4</v>
      </c>
      <c r="E603" s="56">
        <v>136435.87</v>
      </c>
      <c r="F603" s="56">
        <v>147025</v>
      </c>
      <c r="G603" s="56">
        <v>703979</v>
      </c>
      <c r="H603" s="56"/>
      <c r="I603" s="57">
        <v>13227</v>
      </c>
      <c r="J603" s="57">
        <v>616910</v>
      </c>
      <c r="K603" s="57">
        <v>48216</v>
      </c>
      <c r="L603" s="56">
        <v>22779</v>
      </c>
      <c r="M603" s="56"/>
      <c r="N603" s="57">
        <v>24668</v>
      </c>
      <c r="O603" s="57">
        <v>227698</v>
      </c>
      <c r="P603" s="57">
        <v>0</v>
      </c>
      <c r="Q603" s="56">
        <v>0</v>
      </c>
      <c r="R603" s="57">
        <f t="shared" si="9"/>
        <v>389212</v>
      </c>
      <c r="S603" s="56"/>
      <c r="T603" s="57">
        <v>188163</v>
      </c>
      <c r="U603" s="58">
        <v>10018</v>
      </c>
      <c r="V603" s="58">
        <v>198181</v>
      </c>
    </row>
    <row r="604" spans="1:22">
      <c r="A604" s="54">
        <v>96601</v>
      </c>
      <c r="B604" s="55" t="s">
        <v>1980</v>
      </c>
      <c r="C604" s="106">
        <v>1.8416000000000001E-3</v>
      </c>
      <c r="D604" s="106">
        <v>1.8462999999999999E-3</v>
      </c>
      <c r="E604" s="56">
        <v>769874.79</v>
      </c>
      <c r="F604" s="56">
        <v>828608</v>
      </c>
      <c r="G604" s="56">
        <v>3908492</v>
      </c>
      <c r="H604" s="56"/>
      <c r="I604" s="57">
        <v>73433.8</v>
      </c>
      <c r="J604" s="57">
        <v>3425085</v>
      </c>
      <c r="K604" s="57">
        <v>267697</v>
      </c>
      <c r="L604" s="56">
        <v>58499</v>
      </c>
      <c r="M604" s="56"/>
      <c r="N604" s="57">
        <v>136958</v>
      </c>
      <c r="O604" s="57">
        <v>1264181</v>
      </c>
      <c r="P604" s="57">
        <v>0</v>
      </c>
      <c r="Q604" s="56">
        <v>6413</v>
      </c>
      <c r="R604" s="57">
        <f t="shared" si="9"/>
        <v>2160904</v>
      </c>
      <c r="S604" s="56"/>
      <c r="T604" s="57">
        <v>1044683</v>
      </c>
      <c r="U604" s="58">
        <v>25319</v>
      </c>
      <c r="V604" s="58">
        <v>1070002</v>
      </c>
    </row>
    <row r="605" spans="1:22">
      <c r="A605" s="54">
        <v>96604</v>
      </c>
      <c r="B605" s="55" t="s">
        <v>1981</v>
      </c>
      <c r="C605" s="106">
        <v>7.9000000000000006E-6</v>
      </c>
      <c r="D605" s="106">
        <v>7.9000000000000006E-6</v>
      </c>
      <c r="E605" s="56">
        <v>4374.7800000000007</v>
      </c>
      <c r="F605" s="56">
        <v>3545</v>
      </c>
      <c r="G605" s="56">
        <v>16766</v>
      </c>
      <c r="H605" s="56"/>
      <c r="I605" s="57">
        <v>315</v>
      </c>
      <c r="J605" s="57">
        <v>14693</v>
      </c>
      <c r="K605" s="57">
        <v>1148</v>
      </c>
      <c r="L605" s="56">
        <v>1595</v>
      </c>
      <c r="M605" s="56"/>
      <c r="N605" s="57">
        <v>588</v>
      </c>
      <c r="O605" s="57">
        <v>5423</v>
      </c>
      <c r="P605" s="57">
        <v>0</v>
      </c>
      <c r="Q605" s="56">
        <v>108</v>
      </c>
      <c r="R605" s="57">
        <f t="shared" si="9"/>
        <v>9270</v>
      </c>
      <c r="S605" s="56"/>
      <c r="T605" s="57">
        <v>4481</v>
      </c>
      <c r="U605" s="58">
        <v>545</v>
      </c>
      <c r="V605" s="58">
        <v>5027</v>
      </c>
    </row>
    <row r="606" spans="1:22">
      <c r="A606" s="54">
        <v>96611</v>
      </c>
      <c r="B606" s="55" t="s">
        <v>1982</v>
      </c>
      <c r="C606" s="106">
        <v>3.29E-5</v>
      </c>
      <c r="D606" s="106">
        <v>2.9499999999999999E-5</v>
      </c>
      <c r="E606" s="56">
        <v>11899.8</v>
      </c>
      <c r="F606" s="56">
        <v>13239</v>
      </c>
      <c r="G606" s="56">
        <v>69825</v>
      </c>
      <c r="H606" s="56"/>
      <c r="I606" s="57">
        <v>1312</v>
      </c>
      <c r="J606" s="57">
        <v>61189</v>
      </c>
      <c r="K606" s="57">
        <v>4782</v>
      </c>
      <c r="L606" s="56">
        <v>2869</v>
      </c>
      <c r="M606" s="56"/>
      <c r="N606" s="57">
        <v>2447</v>
      </c>
      <c r="O606" s="57">
        <v>22584</v>
      </c>
      <c r="P606" s="57">
        <v>0</v>
      </c>
      <c r="Q606" s="56">
        <v>649</v>
      </c>
      <c r="R606" s="57">
        <f t="shared" si="9"/>
        <v>38605</v>
      </c>
      <c r="S606" s="56"/>
      <c r="T606" s="57">
        <v>18663</v>
      </c>
      <c r="U606" s="58">
        <v>1079</v>
      </c>
      <c r="V606" s="58">
        <v>19742</v>
      </c>
    </row>
    <row r="607" spans="1:22">
      <c r="A607" s="54">
        <v>96612</v>
      </c>
      <c r="B607" s="55" t="s">
        <v>1983</v>
      </c>
      <c r="C607" s="106">
        <v>6.3899999999999995E-5</v>
      </c>
      <c r="D607" s="106">
        <v>6.4399999999999993E-5</v>
      </c>
      <c r="E607" s="56">
        <v>30973.800000000003</v>
      </c>
      <c r="F607" s="56">
        <v>28902</v>
      </c>
      <c r="G607" s="56">
        <v>135617</v>
      </c>
      <c r="H607" s="56"/>
      <c r="I607" s="57">
        <v>2548</v>
      </c>
      <c r="J607" s="57">
        <v>118844</v>
      </c>
      <c r="K607" s="57">
        <v>9289</v>
      </c>
      <c r="L607" s="56">
        <v>7363</v>
      </c>
      <c r="M607" s="56"/>
      <c r="N607" s="57">
        <v>4752</v>
      </c>
      <c r="O607" s="57">
        <v>43865</v>
      </c>
      <c r="P607" s="57">
        <v>0</v>
      </c>
      <c r="Q607" s="56">
        <v>1323</v>
      </c>
      <c r="R607" s="57">
        <f t="shared" si="9"/>
        <v>74979</v>
      </c>
      <c r="S607" s="56"/>
      <c r="T607" s="57">
        <v>36248</v>
      </c>
      <c r="U607" s="58">
        <v>1615</v>
      </c>
      <c r="V607" s="58">
        <v>37864</v>
      </c>
    </row>
    <row r="608" spans="1:22">
      <c r="A608" s="54">
        <v>96621</v>
      </c>
      <c r="B608" s="55" t="s">
        <v>1984</v>
      </c>
      <c r="C608" s="106">
        <v>2.65E-5</v>
      </c>
      <c r="D608" s="106">
        <v>3.6600000000000002E-5</v>
      </c>
      <c r="E608" s="56">
        <v>12593.01</v>
      </c>
      <c r="F608" s="56">
        <v>16426</v>
      </c>
      <c r="G608" s="56">
        <v>56242</v>
      </c>
      <c r="H608" s="56"/>
      <c r="I608" s="57">
        <v>1056.6875</v>
      </c>
      <c r="J608" s="57">
        <v>49286</v>
      </c>
      <c r="K608" s="57">
        <v>3852</v>
      </c>
      <c r="L608" s="56">
        <v>1133</v>
      </c>
      <c r="M608" s="56"/>
      <c r="N608" s="57">
        <v>1971</v>
      </c>
      <c r="O608" s="57">
        <v>18191</v>
      </c>
      <c r="P608" s="57">
        <v>0</v>
      </c>
      <c r="Q608" s="56">
        <v>7687</v>
      </c>
      <c r="R608" s="57">
        <f t="shared" si="9"/>
        <v>31095</v>
      </c>
      <c r="S608" s="56"/>
      <c r="T608" s="57">
        <v>15033</v>
      </c>
      <c r="U608" s="58">
        <v>-2457</v>
      </c>
      <c r="V608" s="58">
        <v>12576</v>
      </c>
    </row>
    <row r="609" spans="1:22">
      <c r="A609" s="54">
        <v>96631</v>
      </c>
      <c r="B609" s="55" t="s">
        <v>1985</v>
      </c>
      <c r="C609" s="106">
        <v>2.5899999999999999E-5</v>
      </c>
      <c r="D609" s="106">
        <v>2.5599999999999999E-5</v>
      </c>
      <c r="E609" s="56">
        <v>10252.959999999999</v>
      </c>
      <c r="F609" s="56">
        <v>11489</v>
      </c>
      <c r="G609" s="56">
        <v>54968</v>
      </c>
      <c r="H609" s="56"/>
      <c r="I609" s="57">
        <v>1032.7625</v>
      </c>
      <c r="J609" s="57">
        <v>48170</v>
      </c>
      <c r="K609" s="57">
        <v>3765</v>
      </c>
      <c r="L609" s="56">
        <v>5664</v>
      </c>
      <c r="M609" s="56"/>
      <c r="N609" s="57">
        <v>1926</v>
      </c>
      <c r="O609" s="57">
        <v>17779</v>
      </c>
      <c r="P609" s="57">
        <v>0</v>
      </c>
      <c r="Q609" s="56">
        <v>154</v>
      </c>
      <c r="R609" s="57">
        <f t="shared" si="9"/>
        <v>30391</v>
      </c>
      <c r="S609" s="56"/>
      <c r="T609" s="57">
        <v>14692</v>
      </c>
      <c r="U609" s="58">
        <v>2250</v>
      </c>
      <c r="V609" s="58">
        <v>16942</v>
      </c>
    </row>
    <row r="610" spans="1:22">
      <c r="A610" s="54">
        <v>96641</v>
      </c>
      <c r="B610" s="55" t="s">
        <v>1986</v>
      </c>
      <c r="C610" s="106">
        <v>2.6999999999999999E-5</v>
      </c>
      <c r="D610" s="106">
        <v>2.7100000000000001E-5</v>
      </c>
      <c r="E610" s="56">
        <v>17201.89</v>
      </c>
      <c r="F610" s="56">
        <v>12162</v>
      </c>
      <c r="G610" s="56">
        <v>57303</v>
      </c>
      <c r="H610" s="56"/>
      <c r="I610" s="57">
        <v>1076.625</v>
      </c>
      <c r="J610" s="57">
        <v>50216</v>
      </c>
      <c r="K610" s="57">
        <v>3925</v>
      </c>
      <c r="L610" s="56">
        <v>10873</v>
      </c>
      <c r="M610" s="56"/>
      <c r="N610" s="57">
        <v>2008</v>
      </c>
      <c r="O610" s="57">
        <v>18534</v>
      </c>
      <c r="P610" s="57">
        <v>0</v>
      </c>
      <c r="Q610" s="56">
        <v>0</v>
      </c>
      <c r="R610" s="57">
        <f t="shared" si="9"/>
        <v>31682</v>
      </c>
      <c r="S610" s="56"/>
      <c r="T610" s="57">
        <v>15316</v>
      </c>
      <c r="U610" s="58">
        <v>3846</v>
      </c>
      <c r="V610" s="58">
        <v>19162</v>
      </c>
    </row>
    <row r="611" spans="1:22">
      <c r="A611" s="54">
        <v>96651</v>
      </c>
      <c r="B611" s="55" t="s">
        <v>1987</v>
      </c>
      <c r="C611" s="106">
        <v>1.9400000000000001E-5</v>
      </c>
      <c r="D611" s="106">
        <v>1.9300000000000002E-5</v>
      </c>
      <c r="E611" s="56">
        <v>8893.0600000000013</v>
      </c>
      <c r="F611" s="56">
        <v>8662</v>
      </c>
      <c r="G611" s="56">
        <v>41173</v>
      </c>
      <c r="H611" s="56"/>
      <c r="I611" s="57">
        <v>773.57500000000005</v>
      </c>
      <c r="J611" s="57">
        <v>36081</v>
      </c>
      <c r="K611" s="57">
        <v>2820</v>
      </c>
      <c r="L611" s="56">
        <v>781</v>
      </c>
      <c r="M611" s="56"/>
      <c r="N611" s="57">
        <v>1443</v>
      </c>
      <c r="O611" s="57">
        <v>13317</v>
      </c>
      <c r="P611" s="57">
        <v>0</v>
      </c>
      <c r="Q611" s="56">
        <v>2222</v>
      </c>
      <c r="R611" s="57">
        <f t="shared" si="9"/>
        <v>22764</v>
      </c>
      <c r="S611" s="56"/>
      <c r="T611" s="57">
        <v>11005</v>
      </c>
      <c r="U611" s="58">
        <v>-715</v>
      </c>
      <c r="V611" s="58">
        <v>10290</v>
      </c>
    </row>
    <row r="612" spans="1:22">
      <c r="A612" s="54">
        <v>96661</v>
      </c>
      <c r="B612" s="55" t="s">
        <v>1988</v>
      </c>
      <c r="C612" s="106">
        <v>1.9000000000000001E-5</v>
      </c>
      <c r="D612" s="106">
        <v>1.7200000000000001E-5</v>
      </c>
      <c r="E612" s="56">
        <v>9291.01</v>
      </c>
      <c r="F612" s="56">
        <v>7719</v>
      </c>
      <c r="G612" s="56">
        <v>40324</v>
      </c>
      <c r="H612" s="56"/>
      <c r="I612" s="57">
        <v>757.625</v>
      </c>
      <c r="J612" s="57">
        <v>35337</v>
      </c>
      <c r="K612" s="57">
        <v>2762</v>
      </c>
      <c r="L612" s="56">
        <v>6032</v>
      </c>
      <c r="M612" s="56"/>
      <c r="N612" s="57">
        <v>1413</v>
      </c>
      <c r="O612" s="57">
        <v>13043</v>
      </c>
      <c r="P612" s="57">
        <v>0</v>
      </c>
      <c r="Q612" s="56">
        <v>0</v>
      </c>
      <c r="R612" s="57">
        <f t="shared" si="9"/>
        <v>22294</v>
      </c>
      <c r="S612" s="56"/>
      <c r="T612" s="57">
        <v>10778</v>
      </c>
      <c r="U612" s="58">
        <v>2137</v>
      </c>
      <c r="V612" s="58">
        <v>12915</v>
      </c>
    </row>
    <row r="613" spans="1:22">
      <c r="A613" s="54">
        <v>96671</v>
      </c>
      <c r="B613" s="55" t="s">
        <v>1989</v>
      </c>
      <c r="C613" s="106">
        <v>1.5500000000000001E-5</v>
      </c>
      <c r="D613" s="106">
        <v>1.56E-5</v>
      </c>
      <c r="E613" s="56">
        <v>11958.029999999999</v>
      </c>
      <c r="F613" s="56">
        <v>7001</v>
      </c>
      <c r="G613" s="56">
        <v>32896</v>
      </c>
      <c r="H613" s="56"/>
      <c r="I613" s="57">
        <v>618.0625</v>
      </c>
      <c r="J613" s="57">
        <v>28828</v>
      </c>
      <c r="K613" s="57">
        <v>2253</v>
      </c>
      <c r="L613" s="56">
        <v>11385</v>
      </c>
      <c r="M613" s="56"/>
      <c r="N613" s="57">
        <v>1153</v>
      </c>
      <c r="O613" s="57">
        <v>10640</v>
      </c>
      <c r="P613" s="57">
        <v>0</v>
      </c>
      <c r="Q613" s="56">
        <v>418</v>
      </c>
      <c r="R613" s="57">
        <f t="shared" si="9"/>
        <v>18188</v>
      </c>
      <c r="S613" s="56"/>
      <c r="T613" s="57">
        <v>8793</v>
      </c>
      <c r="U613" s="58">
        <v>3409</v>
      </c>
      <c r="V613" s="58">
        <v>12201</v>
      </c>
    </row>
    <row r="614" spans="1:22">
      <c r="A614" s="54">
        <v>96681</v>
      </c>
      <c r="B614" s="55" t="s">
        <v>1990</v>
      </c>
      <c r="C614" s="106">
        <v>3.4799999999999999E-5</v>
      </c>
      <c r="D614" s="106">
        <v>3.4700000000000003E-5</v>
      </c>
      <c r="E614" s="56">
        <v>22895.739999999998</v>
      </c>
      <c r="F614" s="56">
        <v>15573</v>
      </c>
      <c r="G614" s="56">
        <v>73857</v>
      </c>
      <c r="H614" s="56"/>
      <c r="I614" s="57">
        <v>1388</v>
      </c>
      <c r="J614" s="57">
        <v>64723</v>
      </c>
      <c r="K614" s="57">
        <v>5059</v>
      </c>
      <c r="L614" s="56">
        <v>18633</v>
      </c>
      <c r="M614" s="56"/>
      <c r="N614" s="57">
        <v>2588</v>
      </c>
      <c r="O614" s="57">
        <v>23889</v>
      </c>
      <c r="P614" s="57">
        <v>0</v>
      </c>
      <c r="Q614" s="56">
        <v>1494</v>
      </c>
      <c r="R614" s="57">
        <f t="shared" si="9"/>
        <v>40834</v>
      </c>
      <c r="S614" s="56"/>
      <c r="T614" s="57">
        <v>19741</v>
      </c>
      <c r="U614" s="58">
        <v>5200</v>
      </c>
      <c r="V614" s="58">
        <v>24941</v>
      </c>
    </row>
    <row r="615" spans="1:22">
      <c r="A615" s="54">
        <v>96701</v>
      </c>
      <c r="B615" s="55" t="s">
        <v>1991</v>
      </c>
      <c r="C615" s="106">
        <v>7.7850000000000003E-3</v>
      </c>
      <c r="D615" s="106">
        <v>7.7803999999999998E-3</v>
      </c>
      <c r="E615" s="56">
        <v>3136203</v>
      </c>
      <c r="F615" s="56">
        <v>3491797</v>
      </c>
      <c r="G615" s="56">
        <v>16522378</v>
      </c>
      <c r="H615" s="56"/>
      <c r="I615" s="57">
        <v>310427</v>
      </c>
      <c r="J615" s="57">
        <v>14478870</v>
      </c>
      <c r="K615" s="57">
        <v>1131635</v>
      </c>
      <c r="L615" s="56">
        <v>289202</v>
      </c>
      <c r="M615" s="56"/>
      <c r="N615" s="57">
        <v>578963</v>
      </c>
      <c r="O615" s="57">
        <v>5344075.53</v>
      </c>
      <c r="P615" s="57">
        <v>0</v>
      </c>
      <c r="Q615" s="56">
        <v>79279</v>
      </c>
      <c r="R615" s="57">
        <f t="shared" si="9"/>
        <v>9134794.4699999988</v>
      </c>
      <c r="S615" s="56"/>
      <c r="T615" s="57">
        <v>4416189</v>
      </c>
      <c r="U615" s="58">
        <v>74739</v>
      </c>
      <c r="V615" s="58">
        <v>4490928</v>
      </c>
    </row>
    <row r="616" spans="1:22">
      <c r="A616" s="54">
        <v>96704</v>
      </c>
      <c r="B616" s="55" t="s">
        <v>1992</v>
      </c>
      <c r="C616" s="106">
        <v>1.5330000000000001E-4</v>
      </c>
      <c r="D616" s="106">
        <v>1.5919999999999999E-4</v>
      </c>
      <c r="E616" s="56">
        <v>71376.409999999989</v>
      </c>
      <c r="F616" s="56">
        <v>71448</v>
      </c>
      <c r="G616" s="56">
        <v>325354</v>
      </c>
      <c r="H616" s="56"/>
      <c r="I616" s="57">
        <v>6113</v>
      </c>
      <c r="J616" s="57">
        <v>285114</v>
      </c>
      <c r="K616" s="57">
        <v>22284</v>
      </c>
      <c r="L616" s="56">
        <v>9181</v>
      </c>
      <c r="M616" s="56"/>
      <c r="N616" s="57">
        <v>11401</v>
      </c>
      <c r="O616" s="57">
        <v>105234</v>
      </c>
      <c r="P616" s="57">
        <v>0</v>
      </c>
      <c r="Q616" s="56">
        <v>0</v>
      </c>
      <c r="R616" s="57">
        <f t="shared" si="9"/>
        <v>179880</v>
      </c>
      <c r="S616" s="56"/>
      <c r="T616" s="57">
        <v>86962</v>
      </c>
      <c r="U616" s="58">
        <v>3774</v>
      </c>
      <c r="V616" s="58">
        <v>90736</v>
      </c>
    </row>
    <row r="617" spans="1:22">
      <c r="A617" s="54">
        <v>96708</v>
      </c>
      <c r="B617" s="55" t="s">
        <v>1993</v>
      </c>
      <c r="C617" s="106">
        <v>8.4590000000000002E-4</v>
      </c>
      <c r="D617" s="106">
        <v>9.8109999999999994E-4</v>
      </c>
      <c r="E617" s="56">
        <v>406277.09</v>
      </c>
      <c r="F617" s="56">
        <v>440312</v>
      </c>
      <c r="G617" s="56">
        <v>1795283</v>
      </c>
      <c r="H617" s="56"/>
      <c r="I617" s="57">
        <v>33730</v>
      </c>
      <c r="J617" s="57">
        <v>1573240</v>
      </c>
      <c r="K617" s="57">
        <v>122961</v>
      </c>
      <c r="L617" s="56">
        <v>54938</v>
      </c>
      <c r="M617" s="56"/>
      <c r="N617" s="57">
        <v>62909</v>
      </c>
      <c r="O617" s="57">
        <v>580675</v>
      </c>
      <c r="P617" s="57">
        <v>0</v>
      </c>
      <c r="Q617" s="56">
        <v>26851</v>
      </c>
      <c r="R617" s="57">
        <f t="shared" si="9"/>
        <v>992565</v>
      </c>
      <c r="S617" s="56"/>
      <c r="T617" s="57">
        <v>479853</v>
      </c>
      <c r="U617" s="58">
        <v>14104</v>
      </c>
      <c r="V617" s="58">
        <v>493957</v>
      </c>
    </row>
    <row r="618" spans="1:22">
      <c r="A618" s="54">
        <v>96711</v>
      </c>
      <c r="B618" s="55" t="s">
        <v>1994</v>
      </c>
      <c r="C618" s="106">
        <v>4.4140000000000004E-3</v>
      </c>
      <c r="D618" s="106">
        <v>4.2459999999999998E-3</v>
      </c>
      <c r="E618" s="56">
        <v>1606504.9700000004</v>
      </c>
      <c r="F618" s="56">
        <v>1905579</v>
      </c>
      <c r="G618" s="56">
        <v>9367987</v>
      </c>
      <c r="H618" s="56"/>
      <c r="I618" s="57">
        <v>176008</v>
      </c>
      <c r="J618" s="57">
        <v>8209343</v>
      </c>
      <c r="K618" s="57">
        <v>641623</v>
      </c>
      <c r="L618" s="56">
        <v>20750</v>
      </c>
      <c r="M618" s="56"/>
      <c r="N618" s="57">
        <v>328265</v>
      </c>
      <c r="O618" s="57">
        <v>3030026</v>
      </c>
      <c r="P618" s="57">
        <v>0</v>
      </c>
      <c r="Q618" s="56">
        <v>348266</v>
      </c>
      <c r="R618" s="57">
        <f t="shared" si="9"/>
        <v>5179317</v>
      </c>
      <c r="S618" s="56"/>
      <c r="T618" s="57">
        <v>2503925</v>
      </c>
      <c r="U618" s="58">
        <v>-105928</v>
      </c>
      <c r="V618" s="58">
        <v>2397997</v>
      </c>
    </row>
    <row r="619" spans="1:22">
      <c r="A619" s="54">
        <v>96721</v>
      </c>
      <c r="B619" s="55" t="s">
        <v>1995</v>
      </c>
      <c r="C619" s="106">
        <v>1.9780000000000001E-4</v>
      </c>
      <c r="D619" s="106">
        <v>2.5119999999999998E-4</v>
      </c>
      <c r="E619" s="56">
        <v>74366.510000000009</v>
      </c>
      <c r="F619" s="56">
        <v>112737</v>
      </c>
      <c r="G619" s="56">
        <v>419798</v>
      </c>
      <c r="H619" s="56"/>
      <c r="I619" s="57">
        <v>7887</v>
      </c>
      <c r="J619" s="57">
        <v>367877</v>
      </c>
      <c r="K619" s="57">
        <v>28752</v>
      </c>
      <c r="L619" s="56">
        <v>10855</v>
      </c>
      <c r="M619" s="56"/>
      <c r="N619" s="57">
        <v>14710</v>
      </c>
      <c r="O619" s="57">
        <v>135781</v>
      </c>
      <c r="P619" s="57">
        <v>0</v>
      </c>
      <c r="Q619" s="56">
        <v>34469</v>
      </c>
      <c r="R619" s="57">
        <f t="shared" si="9"/>
        <v>232096</v>
      </c>
      <c r="S619" s="56"/>
      <c r="T619" s="57">
        <v>112206</v>
      </c>
      <c r="U619" s="58">
        <v>-3553</v>
      </c>
      <c r="V619" s="58">
        <v>108653</v>
      </c>
    </row>
    <row r="620" spans="1:22">
      <c r="A620" s="54">
        <v>96731</v>
      </c>
      <c r="B620" s="55" t="s">
        <v>1996</v>
      </c>
      <c r="C620" s="106">
        <v>1.5090000000000001E-4</v>
      </c>
      <c r="D620" s="106">
        <v>1.3420000000000001E-4</v>
      </c>
      <c r="E620" s="56">
        <v>65647.320000000007</v>
      </c>
      <c r="F620" s="56">
        <v>60228</v>
      </c>
      <c r="G620" s="56">
        <v>320260</v>
      </c>
      <c r="H620" s="56"/>
      <c r="I620" s="57">
        <v>6017</v>
      </c>
      <c r="J620" s="57">
        <v>280650</v>
      </c>
      <c r="K620" s="57">
        <v>21935</v>
      </c>
      <c r="L620" s="56">
        <v>18052</v>
      </c>
      <c r="M620" s="56"/>
      <c r="N620" s="57">
        <v>11222</v>
      </c>
      <c r="O620" s="57">
        <v>103587</v>
      </c>
      <c r="P620" s="57">
        <v>0</v>
      </c>
      <c r="Q620" s="56">
        <v>12</v>
      </c>
      <c r="R620" s="57">
        <f t="shared" si="9"/>
        <v>177063</v>
      </c>
      <c r="S620" s="56"/>
      <c r="T620" s="57">
        <v>85601</v>
      </c>
      <c r="U620" s="58">
        <v>5259</v>
      </c>
      <c r="V620" s="58">
        <v>90859</v>
      </c>
    </row>
    <row r="621" spans="1:22">
      <c r="A621" s="54">
        <v>96733</v>
      </c>
      <c r="B621" s="55" t="s">
        <v>1997</v>
      </c>
      <c r="C621" s="106">
        <v>9.2E-6</v>
      </c>
      <c r="D621" s="106">
        <v>4.1999999999999996E-6</v>
      </c>
      <c r="E621" s="56">
        <v>5389.79</v>
      </c>
      <c r="F621" s="56">
        <v>1885</v>
      </c>
      <c r="G621" s="56">
        <v>19525</v>
      </c>
      <c r="H621" s="56"/>
      <c r="I621" s="57">
        <v>366.85</v>
      </c>
      <c r="J621" s="57">
        <v>17111</v>
      </c>
      <c r="K621" s="57">
        <v>1337</v>
      </c>
      <c r="L621" s="56">
        <v>6066</v>
      </c>
      <c r="M621" s="56"/>
      <c r="N621" s="57">
        <v>684</v>
      </c>
      <c r="O621" s="57">
        <v>6315</v>
      </c>
      <c r="P621" s="57">
        <v>0</v>
      </c>
      <c r="Q621" s="56">
        <v>1048</v>
      </c>
      <c r="R621" s="57">
        <f t="shared" si="9"/>
        <v>10796</v>
      </c>
      <c r="S621" s="56"/>
      <c r="T621" s="57">
        <v>5219</v>
      </c>
      <c r="U621" s="58">
        <v>1707</v>
      </c>
      <c r="V621" s="58">
        <v>6925</v>
      </c>
    </row>
    <row r="622" spans="1:22">
      <c r="A622" s="54">
        <v>96741</v>
      </c>
      <c r="B622" s="55" t="s">
        <v>1998</v>
      </c>
      <c r="C622" s="106">
        <v>9.2399999999999996E-5</v>
      </c>
      <c r="D622" s="106">
        <v>9.2899999999999995E-5</v>
      </c>
      <c r="E622" s="56">
        <v>36389.700000000004</v>
      </c>
      <c r="F622" s="56">
        <v>41693</v>
      </c>
      <c r="G622" s="56">
        <v>196104</v>
      </c>
      <c r="H622" s="56"/>
      <c r="I622" s="57">
        <v>3684.45</v>
      </c>
      <c r="J622" s="57">
        <v>171849</v>
      </c>
      <c r="K622" s="57">
        <v>13431</v>
      </c>
      <c r="L622" s="56">
        <v>7135</v>
      </c>
      <c r="M622" s="56"/>
      <c r="N622" s="57">
        <v>6872</v>
      </c>
      <c r="O622" s="57">
        <v>63429</v>
      </c>
      <c r="P622" s="57">
        <v>0</v>
      </c>
      <c r="Q622" s="56">
        <v>1549</v>
      </c>
      <c r="R622" s="57">
        <f t="shared" si="9"/>
        <v>108420</v>
      </c>
      <c r="S622" s="56"/>
      <c r="T622" s="57">
        <v>52416</v>
      </c>
      <c r="U622" s="58">
        <v>2530</v>
      </c>
      <c r="V622" s="58">
        <v>54946</v>
      </c>
    </row>
    <row r="623" spans="1:22">
      <c r="A623" s="54">
        <v>96751</v>
      </c>
      <c r="B623" s="55" t="s">
        <v>1999</v>
      </c>
      <c r="C623" s="106">
        <v>2.6120000000000001E-4</v>
      </c>
      <c r="D623" s="106">
        <v>3.0909999999999998E-4</v>
      </c>
      <c r="E623" s="56">
        <v>103640.73999999999</v>
      </c>
      <c r="F623" s="56">
        <v>138722</v>
      </c>
      <c r="G623" s="56">
        <v>554354</v>
      </c>
      <c r="H623" s="56"/>
      <c r="I623" s="57">
        <v>10415.35</v>
      </c>
      <c r="J623" s="57">
        <v>485791</v>
      </c>
      <c r="K623" s="57">
        <v>37968</v>
      </c>
      <c r="L623" s="56">
        <v>21728.81</v>
      </c>
      <c r="M623" s="56"/>
      <c r="N623" s="57">
        <v>19425</v>
      </c>
      <c r="O623" s="57">
        <v>179303</v>
      </c>
      <c r="P623" s="57">
        <v>0</v>
      </c>
      <c r="Q623" s="56">
        <v>37607</v>
      </c>
      <c r="R623" s="57">
        <f t="shared" si="9"/>
        <v>306488</v>
      </c>
      <c r="S623" s="56"/>
      <c r="T623" s="57">
        <v>148171</v>
      </c>
      <c r="U623" s="58">
        <v>349</v>
      </c>
      <c r="V623" s="58">
        <v>148519</v>
      </c>
    </row>
    <row r="624" spans="1:22">
      <c r="A624" s="54">
        <v>96801</v>
      </c>
      <c r="B624" s="55" t="s">
        <v>2000</v>
      </c>
      <c r="C624" s="106">
        <v>7.8463999999999999E-3</v>
      </c>
      <c r="D624" s="106">
        <v>7.0825000000000003E-3</v>
      </c>
      <c r="E624" s="56">
        <v>3035869.73</v>
      </c>
      <c r="F624" s="56">
        <v>3178584</v>
      </c>
      <c r="G624" s="56">
        <v>16652689</v>
      </c>
      <c r="H624" s="56"/>
      <c r="I624" s="57">
        <v>312875.2</v>
      </c>
      <c r="J624" s="57">
        <v>14593064</v>
      </c>
      <c r="K624" s="57">
        <v>1140561</v>
      </c>
      <c r="L624" s="56">
        <v>642631</v>
      </c>
      <c r="M624" s="56"/>
      <c r="N624" s="57">
        <v>583529</v>
      </c>
      <c r="O624" s="57">
        <v>5386224</v>
      </c>
      <c r="P624" s="57">
        <v>0</v>
      </c>
      <c r="Q624" s="56">
        <v>0</v>
      </c>
      <c r="R624" s="57">
        <f t="shared" si="9"/>
        <v>9206840</v>
      </c>
      <c r="S624" s="56"/>
      <c r="T624" s="57">
        <v>4451019</v>
      </c>
      <c r="U624" s="58">
        <v>235775</v>
      </c>
      <c r="V624" s="58">
        <v>4686794</v>
      </c>
    </row>
    <row r="625" spans="1:22">
      <c r="A625" s="54">
        <v>96804</v>
      </c>
      <c r="B625" s="55" t="s">
        <v>2001</v>
      </c>
      <c r="C625" s="106">
        <v>2.4230000000000001E-4</v>
      </c>
      <c r="D625" s="106">
        <v>2.275E-4</v>
      </c>
      <c r="E625" s="56">
        <v>89702.400000000009</v>
      </c>
      <c r="F625" s="56">
        <v>102101</v>
      </c>
      <c r="G625" s="56">
        <v>514242</v>
      </c>
      <c r="H625" s="56"/>
      <c r="I625" s="57">
        <v>9662</v>
      </c>
      <c r="J625" s="57">
        <v>450640</v>
      </c>
      <c r="K625" s="57">
        <v>35221</v>
      </c>
      <c r="L625" s="56">
        <v>4453</v>
      </c>
      <c r="M625" s="56"/>
      <c r="N625" s="57">
        <v>18020</v>
      </c>
      <c r="O625" s="57">
        <v>166329</v>
      </c>
      <c r="P625" s="57">
        <v>0</v>
      </c>
      <c r="Q625" s="56">
        <v>3167</v>
      </c>
      <c r="R625" s="57">
        <f t="shared" si="9"/>
        <v>284311</v>
      </c>
      <c r="S625" s="56"/>
      <c r="T625" s="57">
        <v>137449</v>
      </c>
      <c r="U625" s="58">
        <v>1085</v>
      </c>
      <c r="V625" s="58">
        <v>138535</v>
      </c>
    </row>
    <row r="626" spans="1:22">
      <c r="A626" s="54">
        <v>96808</v>
      </c>
      <c r="B626" s="55" t="s">
        <v>2002</v>
      </c>
      <c r="C626" s="106">
        <v>1.2882E-3</v>
      </c>
      <c r="D626" s="106">
        <v>1.1995E-3</v>
      </c>
      <c r="E626" s="56">
        <v>505072.35</v>
      </c>
      <c r="F626" s="56">
        <v>538328</v>
      </c>
      <c r="G626" s="56">
        <v>2733992</v>
      </c>
      <c r="H626" s="56"/>
      <c r="I626" s="57">
        <v>51367</v>
      </c>
      <c r="J626" s="57">
        <v>2395848</v>
      </c>
      <c r="K626" s="57">
        <v>187254</v>
      </c>
      <c r="L626" s="56">
        <v>67087</v>
      </c>
      <c r="M626" s="56"/>
      <c r="N626" s="57">
        <v>95802</v>
      </c>
      <c r="O626" s="57">
        <v>884295</v>
      </c>
      <c r="P626" s="57">
        <v>0</v>
      </c>
      <c r="Q626" s="56">
        <v>0</v>
      </c>
      <c r="R626" s="57">
        <f t="shared" si="9"/>
        <v>1511553</v>
      </c>
      <c r="S626" s="56"/>
      <c r="T626" s="57">
        <v>730756</v>
      </c>
      <c r="U626" s="58">
        <v>24558</v>
      </c>
      <c r="V626" s="58">
        <v>755313</v>
      </c>
    </row>
    <row r="627" spans="1:22">
      <c r="A627" s="54">
        <v>96811</v>
      </c>
      <c r="B627" s="55" t="s">
        <v>2003</v>
      </c>
      <c r="C627" s="106">
        <v>5.9861999999999997E-3</v>
      </c>
      <c r="D627" s="106">
        <v>6.0393000000000001E-3</v>
      </c>
      <c r="E627" s="56">
        <v>2443568.73</v>
      </c>
      <c r="F627" s="56">
        <v>2710402</v>
      </c>
      <c r="G627" s="56">
        <v>12704722</v>
      </c>
      <c r="H627" s="56"/>
      <c r="I627" s="57">
        <v>238700</v>
      </c>
      <c r="J627" s="57">
        <v>11133386</v>
      </c>
      <c r="K627" s="57">
        <v>870160</v>
      </c>
      <c r="L627" s="56">
        <v>0</v>
      </c>
      <c r="M627" s="56"/>
      <c r="N627" s="57">
        <v>445188</v>
      </c>
      <c r="O627" s="57">
        <v>4109275</v>
      </c>
      <c r="P627" s="57">
        <v>0</v>
      </c>
      <c r="Q627" s="56">
        <v>86222</v>
      </c>
      <c r="R627" s="57">
        <f t="shared" si="9"/>
        <v>7024111</v>
      </c>
      <c r="S627" s="56"/>
      <c r="T627" s="57">
        <v>3395786</v>
      </c>
      <c r="U627" s="58">
        <v>-32722</v>
      </c>
      <c r="V627" s="58">
        <v>3363064</v>
      </c>
    </row>
    <row r="628" spans="1:22">
      <c r="A628" s="54">
        <v>96821</v>
      </c>
      <c r="B628" s="55" t="s">
        <v>2004</v>
      </c>
      <c r="C628" s="106">
        <v>1.3630999999999999E-3</v>
      </c>
      <c r="D628" s="106">
        <v>1.4808E-3</v>
      </c>
      <c r="E628" s="56">
        <v>518291.4</v>
      </c>
      <c r="F628" s="56">
        <v>664574</v>
      </c>
      <c r="G628" s="56">
        <v>2892955</v>
      </c>
      <c r="H628" s="56"/>
      <c r="I628" s="57">
        <v>54354</v>
      </c>
      <c r="J628" s="57">
        <v>2535151</v>
      </c>
      <c r="K628" s="57">
        <v>198142</v>
      </c>
      <c r="L628" s="56">
        <v>0</v>
      </c>
      <c r="M628" s="56"/>
      <c r="N628" s="57">
        <v>101372</v>
      </c>
      <c r="O628" s="57">
        <v>935711</v>
      </c>
      <c r="P628" s="57">
        <v>0</v>
      </c>
      <c r="Q628" s="56">
        <v>153131</v>
      </c>
      <c r="R628" s="57">
        <f t="shared" si="9"/>
        <v>1599440</v>
      </c>
      <c r="S628" s="56"/>
      <c r="T628" s="57">
        <v>773244</v>
      </c>
      <c r="U628" s="58">
        <v>-47603</v>
      </c>
      <c r="V628" s="58">
        <v>725641</v>
      </c>
    </row>
    <row r="629" spans="1:22">
      <c r="A629" s="54">
        <v>96831</v>
      </c>
      <c r="B629" s="55" t="s">
        <v>2005</v>
      </c>
      <c r="C629" s="106">
        <v>9.2400000000000002E-4</v>
      </c>
      <c r="D629" s="106">
        <v>8.3830000000000005E-4</v>
      </c>
      <c r="E629" s="56">
        <v>353922.04000000004</v>
      </c>
      <c r="F629" s="56">
        <v>376224</v>
      </c>
      <c r="G629" s="56">
        <v>1961037.54</v>
      </c>
      <c r="H629" s="56"/>
      <c r="I629" s="57">
        <v>36844.5</v>
      </c>
      <c r="J629" s="57">
        <v>1718494</v>
      </c>
      <c r="K629" s="57">
        <v>134314</v>
      </c>
      <c r="L629" s="56">
        <v>56487</v>
      </c>
      <c r="M629" s="56"/>
      <c r="N629" s="57">
        <v>68717</v>
      </c>
      <c r="O629" s="57">
        <v>634287</v>
      </c>
      <c r="P629" s="57">
        <v>0</v>
      </c>
      <c r="Q629" s="56">
        <v>0</v>
      </c>
      <c r="R629" s="57">
        <f t="shared" si="9"/>
        <v>1084207</v>
      </c>
      <c r="S629" s="56"/>
      <c r="T629" s="57">
        <v>524157</v>
      </c>
      <c r="U629" s="58">
        <v>19257</v>
      </c>
      <c r="V629" s="58">
        <v>543413</v>
      </c>
    </row>
    <row r="630" spans="1:22">
      <c r="A630" s="54">
        <v>96901</v>
      </c>
      <c r="B630" s="55" t="s">
        <v>2006</v>
      </c>
      <c r="C630" s="106">
        <v>8.1610000000000005E-4</v>
      </c>
      <c r="D630" s="106">
        <v>7.6599999999999997E-4</v>
      </c>
      <c r="E630" s="56">
        <v>326581.33</v>
      </c>
      <c r="F630" s="56">
        <v>343776</v>
      </c>
      <c r="G630" s="56">
        <v>1732038</v>
      </c>
      <c r="H630" s="56"/>
      <c r="I630" s="57">
        <v>32542</v>
      </c>
      <c r="J630" s="57">
        <v>1517817</v>
      </c>
      <c r="K630" s="57">
        <v>118629</v>
      </c>
      <c r="L630" s="56">
        <v>46444</v>
      </c>
      <c r="M630" s="56"/>
      <c r="N630" s="57">
        <v>60693</v>
      </c>
      <c r="O630" s="57">
        <v>560218</v>
      </c>
      <c r="P630" s="57">
        <v>0</v>
      </c>
      <c r="Q630" s="56">
        <v>0</v>
      </c>
      <c r="R630" s="57">
        <f t="shared" si="9"/>
        <v>957599</v>
      </c>
      <c r="S630" s="56"/>
      <c r="T630" s="57">
        <v>462948</v>
      </c>
      <c r="U630" s="58">
        <v>15281</v>
      </c>
      <c r="V630" s="58">
        <v>478229</v>
      </c>
    </row>
    <row r="631" spans="1:22">
      <c r="A631" s="54">
        <v>96911</v>
      </c>
      <c r="B631" s="55" t="s">
        <v>2007</v>
      </c>
      <c r="C631" s="106">
        <v>3.7000000000000002E-6</v>
      </c>
      <c r="D631" s="106">
        <v>1.15E-5</v>
      </c>
      <c r="E631" s="56">
        <v>2162.39</v>
      </c>
      <c r="F631" s="56">
        <v>5161</v>
      </c>
      <c r="G631" s="56">
        <v>7853</v>
      </c>
      <c r="H631" s="56"/>
      <c r="I631" s="57">
        <v>147.53749999999999</v>
      </c>
      <c r="J631" s="57">
        <v>6881</v>
      </c>
      <c r="K631" s="57">
        <v>538</v>
      </c>
      <c r="L631" s="56">
        <v>3997</v>
      </c>
      <c r="M631" s="56"/>
      <c r="N631" s="57">
        <v>275</v>
      </c>
      <c r="O631" s="57">
        <v>2540</v>
      </c>
      <c r="P631" s="57">
        <v>0</v>
      </c>
      <c r="Q631" s="56">
        <v>3716</v>
      </c>
      <c r="R631" s="57">
        <f t="shared" si="9"/>
        <v>4341</v>
      </c>
      <c r="S631" s="56"/>
      <c r="T631" s="57">
        <v>2099</v>
      </c>
      <c r="U631" s="58">
        <v>571</v>
      </c>
      <c r="V631" s="58">
        <v>2669</v>
      </c>
    </row>
    <row r="632" spans="1:22">
      <c r="A632" s="54">
        <v>96912</v>
      </c>
      <c r="B632" s="55" t="s">
        <v>2008</v>
      </c>
      <c r="C632" s="106">
        <v>6.0999999999999999E-5</v>
      </c>
      <c r="D632" s="106">
        <v>5.5899999999999997E-5</v>
      </c>
      <c r="E632" s="56">
        <v>20331.63</v>
      </c>
      <c r="F632" s="56">
        <v>25088</v>
      </c>
      <c r="G632" s="56">
        <v>129462</v>
      </c>
      <c r="H632" s="56"/>
      <c r="I632" s="57">
        <v>2432.375</v>
      </c>
      <c r="J632" s="57">
        <v>113450</v>
      </c>
      <c r="K632" s="57">
        <v>8867</v>
      </c>
      <c r="L632" s="56">
        <v>7641</v>
      </c>
      <c r="M632" s="56"/>
      <c r="N632" s="57">
        <v>4537</v>
      </c>
      <c r="O632" s="57">
        <v>41874</v>
      </c>
      <c r="P632" s="57">
        <v>0</v>
      </c>
      <c r="Q632" s="56">
        <v>1013</v>
      </c>
      <c r="R632" s="57">
        <f t="shared" si="9"/>
        <v>71576</v>
      </c>
      <c r="S632" s="56"/>
      <c r="T632" s="57">
        <v>34603</v>
      </c>
      <c r="U632" s="58">
        <v>3054</v>
      </c>
      <c r="V632" s="58">
        <v>37657</v>
      </c>
    </row>
    <row r="633" spans="1:22">
      <c r="A633" s="54">
        <v>96918</v>
      </c>
      <c r="B633" s="55" t="s">
        <v>2009</v>
      </c>
      <c r="C633" s="106">
        <v>4.0500000000000002E-5</v>
      </c>
      <c r="D633" s="106">
        <v>4.5099999999999998E-5</v>
      </c>
      <c r="E633" s="56">
        <v>18289.97</v>
      </c>
      <c r="F633" s="56">
        <v>20241</v>
      </c>
      <c r="G633" s="56">
        <v>85955</v>
      </c>
      <c r="H633" s="56"/>
      <c r="I633" s="57">
        <v>1614.9375</v>
      </c>
      <c r="J633" s="57">
        <v>75324</v>
      </c>
      <c r="K633" s="57">
        <v>5887</v>
      </c>
      <c r="L633" s="56">
        <v>12921</v>
      </c>
      <c r="M633" s="56"/>
      <c r="N633" s="57">
        <v>3012</v>
      </c>
      <c r="O633" s="57">
        <v>27802</v>
      </c>
      <c r="P633" s="57">
        <v>0</v>
      </c>
      <c r="Q633" s="56">
        <v>1194</v>
      </c>
      <c r="R633" s="57">
        <f t="shared" si="9"/>
        <v>47522</v>
      </c>
      <c r="S633" s="56"/>
      <c r="T633" s="57">
        <v>22974</v>
      </c>
      <c r="U633" s="58">
        <v>5498</v>
      </c>
      <c r="V633" s="58">
        <v>28472</v>
      </c>
    </row>
    <row r="634" spans="1:22">
      <c r="A634" s="54">
        <v>97001</v>
      </c>
      <c r="B634" s="55" t="s">
        <v>2010</v>
      </c>
      <c r="C634" s="106">
        <v>1.3641E-3</v>
      </c>
      <c r="D634" s="106">
        <v>1.3221999999999999E-3</v>
      </c>
      <c r="E634" s="56">
        <v>636604.70000000007</v>
      </c>
      <c r="F634" s="56">
        <v>593395</v>
      </c>
      <c r="G634" s="56">
        <v>2895077</v>
      </c>
      <c r="H634" s="56"/>
      <c r="I634" s="57">
        <v>54393</v>
      </c>
      <c r="J634" s="57">
        <v>2537010</v>
      </c>
      <c r="K634" s="57">
        <v>198287</v>
      </c>
      <c r="L634" s="56">
        <v>107093</v>
      </c>
      <c r="M634" s="56"/>
      <c r="N634" s="57">
        <v>101447</v>
      </c>
      <c r="O634" s="57">
        <v>936397</v>
      </c>
      <c r="P634" s="57">
        <v>0</v>
      </c>
      <c r="Q634" s="56">
        <v>23162</v>
      </c>
      <c r="R634" s="57">
        <f t="shared" si="9"/>
        <v>1600613</v>
      </c>
      <c r="S634" s="56"/>
      <c r="T634" s="57">
        <v>773812</v>
      </c>
      <c r="U634" s="58">
        <v>18430</v>
      </c>
      <c r="V634" s="58">
        <v>792241</v>
      </c>
    </row>
    <row r="635" spans="1:22">
      <c r="A635" s="54">
        <v>97002</v>
      </c>
      <c r="B635" s="55" t="s">
        <v>2011</v>
      </c>
      <c r="C635" s="106">
        <v>4.6589999999999999E-4</v>
      </c>
      <c r="D635" s="106">
        <v>3.9229999999999999E-4</v>
      </c>
      <c r="E635" s="56">
        <v>151526.06</v>
      </c>
      <c r="F635" s="56">
        <v>176062</v>
      </c>
      <c r="G635" s="56">
        <v>988796</v>
      </c>
      <c r="H635" s="56"/>
      <c r="I635" s="57">
        <v>18578</v>
      </c>
      <c r="J635" s="57">
        <v>866500</v>
      </c>
      <c r="K635" s="57">
        <v>67724</v>
      </c>
      <c r="L635" s="56">
        <v>28607</v>
      </c>
      <c r="M635" s="56"/>
      <c r="N635" s="57">
        <v>34649</v>
      </c>
      <c r="O635" s="57">
        <v>319821</v>
      </c>
      <c r="P635" s="57">
        <v>0</v>
      </c>
      <c r="Q635" s="56">
        <v>0</v>
      </c>
      <c r="R635" s="57">
        <f t="shared" si="9"/>
        <v>546679</v>
      </c>
      <c r="S635" s="56"/>
      <c r="T635" s="57">
        <v>264291</v>
      </c>
      <c r="U635" s="58">
        <v>11776</v>
      </c>
      <c r="V635" s="58">
        <v>276066</v>
      </c>
    </row>
    <row r="636" spans="1:22">
      <c r="A636" s="54">
        <v>97004</v>
      </c>
      <c r="B636" s="55" t="s">
        <v>2012</v>
      </c>
      <c r="C636" s="106">
        <v>1.0900000000000001E-5</v>
      </c>
      <c r="D636" s="106">
        <v>1.47E-5</v>
      </c>
      <c r="E636" s="56">
        <v>7359.36</v>
      </c>
      <c r="F636" s="56">
        <v>6597</v>
      </c>
      <c r="G636" s="56">
        <v>23133</v>
      </c>
      <c r="H636" s="56"/>
      <c r="I636" s="57">
        <v>435</v>
      </c>
      <c r="J636" s="57">
        <v>20272</v>
      </c>
      <c r="K636" s="57">
        <v>1584</v>
      </c>
      <c r="L636" s="56">
        <v>3251</v>
      </c>
      <c r="M636" s="56"/>
      <c r="N636" s="57">
        <v>811</v>
      </c>
      <c r="O636" s="57">
        <v>7482</v>
      </c>
      <c r="P636" s="57">
        <v>0</v>
      </c>
      <c r="Q636" s="56">
        <v>0</v>
      </c>
      <c r="R636" s="57">
        <f t="shared" si="9"/>
        <v>12790</v>
      </c>
      <c r="S636" s="56"/>
      <c r="T636" s="57">
        <v>6183</v>
      </c>
      <c r="U636" s="58">
        <v>1295</v>
      </c>
      <c r="V636" s="58">
        <v>7478</v>
      </c>
    </row>
    <row r="637" spans="1:22">
      <c r="A637" s="54">
        <v>97005</v>
      </c>
      <c r="B637" s="55" t="s">
        <v>2013</v>
      </c>
      <c r="C637" s="106">
        <v>1.42E-5</v>
      </c>
      <c r="D637" s="106">
        <v>2.3799999999999999E-5</v>
      </c>
      <c r="E637" s="56">
        <v>10552.87</v>
      </c>
      <c r="F637" s="56">
        <v>10681</v>
      </c>
      <c r="G637" s="56">
        <v>30137</v>
      </c>
      <c r="H637" s="56"/>
      <c r="I637" s="57">
        <v>566.22500000000002</v>
      </c>
      <c r="J637" s="57">
        <v>26410</v>
      </c>
      <c r="K637" s="57">
        <v>2064</v>
      </c>
      <c r="L637" s="56">
        <v>3091</v>
      </c>
      <c r="M637" s="56"/>
      <c r="N637" s="57">
        <v>1056</v>
      </c>
      <c r="O637" s="57">
        <v>9748</v>
      </c>
      <c r="P637" s="57">
        <v>0</v>
      </c>
      <c r="Q637" s="56">
        <v>2036</v>
      </c>
      <c r="R637" s="57">
        <f t="shared" si="9"/>
        <v>16662</v>
      </c>
      <c r="S637" s="56"/>
      <c r="T637" s="57">
        <v>8055</v>
      </c>
      <c r="U637" s="58">
        <v>428</v>
      </c>
      <c r="V637" s="58">
        <v>8483</v>
      </c>
    </row>
    <row r="638" spans="1:22">
      <c r="A638" s="54">
        <v>97008</v>
      </c>
      <c r="B638" s="55" t="s">
        <v>2014</v>
      </c>
      <c r="C638" s="106">
        <v>2.7530000000000002E-4</v>
      </c>
      <c r="D638" s="106">
        <v>2.6959999999999999E-4</v>
      </c>
      <c r="E638" s="56">
        <v>107270.37</v>
      </c>
      <c r="F638" s="56">
        <v>120995</v>
      </c>
      <c r="G638" s="56">
        <v>584279</v>
      </c>
      <c r="H638" s="56"/>
      <c r="I638" s="57">
        <v>10978</v>
      </c>
      <c r="J638" s="57">
        <v>512015</v>
      </c>
      <c r="K638" s="57">
        <v>40018</v>
      </c>
      <c r="L638" s="56">
        <v>14688</v>
      </c>
      <c r="M638" s="56"/>
      <c r="N638" s="57">
        <v>20474</v>
      </c>
      <c r="O638" s="57">
        <v>188982</v>
      </c>
      <c r="P638" s="57">
        <v>0</v>
      </c>
      <c r="Q638" s="56">
        <v>4604</v>
      </c>
      <c r="R638" s="57">
        <f t="shared" si="9"/>
        <v>323033</v>
      </c>
      <c r="S638" s="56"/>
      <c r="T638" s="57">
        <v>156169</v>
      </c>
      <c r="U638" s="58">
        <v>5904</v>
      </c>
      <c r="V638" s="58">
        <v>162074</v>
      </c>
    </row>
    <row r="639" spans="1:22">
      <c r="A639" s="54">
        <v>97010</v>
      </c>
      <c r="B639" s="55" t="s">
        <v>2015</v>
      </c>
      <c r="C639" s="106">
        <v>0</v>
      </c>
      <c r="D639" s="106">
        <v>0</v>
      </c>
      <c r="E639" s="56">
        <v>0</v>
      </c>
      <c r="F639" s="56">
        <v>0</v>
      </c>
      <c r="G639" s="56">
        <v>0</v>
      </c>
      <c r="H639" s="56"/>
      <c r="I639" s="57">
        <v>0</v>
      </c>
      <c r="J639" s="57">
        <v>0</v>
      </c>
      <c r="K639" s="57">
        <v>0</v>
      </c>
      <c r="L639" s="56">
        <v>0</v>
      </c>
      <c r="M639" s="56"/>
      <c r="N639" s="57">
        <v>0</v>
      </c>
      <c r="O639" s="57">
        <v>0</v>
      </c>
      <c r="P639" s="57">
        <v>0</v>
      </c>
      <c r="Q639" s="56">
        <v>3339356</v>
      </c>
      <c r="R639" s="57">
        <f t="shared" si="9"/>
        <v>0</v>
      </c>
      <c r="S639" s="56"/>
      <c r="T639" s="57">
        <v>0</v>
      </c>
      <c r="U639" s="58">
        <v>-1282454</v>
      </c>
      <c r="V639" s="58">
        <v>-1282454</v>
      </c>
    </row>
    <row r="640" spans="1:22">
      <c r="A640" s="54">
        <v>97011</v>
      </c>
      <c r="B640" s="55" t="s">
        <v>2016</v>
      </c>
      <c r="C640" s="106">
        <v>1.9522999999999999E-3</v>
      </c>
      <c r="D640" s="106">
        <v>2.0471E-3</v>
      </c>
      <c r="E640" s="56">
        <v>745774.1399999999</v>
      </c>
      <c r="F640" s="56">
        <v>918726</v>
      </c>
      <c r="G640" s="56">
        <v>4143435</v>
      </c>
      <c r="H640" s="56"/>
      <c r="I640" s="57">
        <v>77848</v>
      </c>
      <c r="J640" s="57">
        <v>3630970</v>
      </c>
      <c r="K640" s="57">
        <v>283788</v>
      </c>
      <c r="L640" s="56">
        <v>0</v>
      </c>
      <c r="M640" s="56"/>
      <c r="N640" s="57">
        <v>145191</v>
      </c>
      <c r="O640" s="57">
        <v>1340172</v>
      </c>
      <c r="P640" s="57">
        <v>0</v>
      </c>
      <c r="Q640" s="56">
        <v>128959</v>
      </c>
      <c r="R640" s="57">
        <f t="shared" si="9"/>
        <v>2290798</v>
      </c>
      <c r="S640" s="56"/>
      <c r="T640" s="57">
        <v>1107479</v>
      </c>
      <c r="U640" s="58">
        <v>-38250</v>
      </c>
      <c r="V640" s="58">
        <v>1069229</v>
      </c>
    </row>
    <row r="641" spans="1:22">
      <c r="A641" s="54">
        <v>97012</v>
      </c>
      <c r="B641" s="55" t="s">
        <v>2017</v>
      </c>
      <c r="C641" s="106">
        <v>2.4499999999999999E-5</v>
      </c>
      <c r="D641" s="106">
        <v>2.4199999999999999E-5</v>
      </c>
      <c r="E641" s="56">
        <v>14173.02</v>
      </c>
      <c r="F641" s="56">
        <v>10861</v>
      </c>
      <c r="G641" s="56">
        <v>51997</v>
      </c>
      <c r="H641" s="56"/>
      <c r="I641" s="57">
        <v>976.9375</v>
      </c>
      <c r="J641" s="57">
        <v>45566</v>
      </c>
      <c r="K641" s="57">
        <v>3561</v>
      </c>
      <c r="L641" s="56">
        <v>3417</v>
      </c>
      <c r="M641" s="56"/>
      <c r="N641" s="57">
        <v>1822</v>
      </c>
      <c r="O641" s="57">
        <v>16818</v>
      </c>
      <c r="P641" s="57">
        <v>0</v>
      </c>
      <c r="Q641" s="56">
        <v>1887</v>
      </c>
      <c r="R641" s="57">
        <f t="shared" si="9"/>
        <v>28748</v>
      </c>
      <c r="S641" s="56"/>
      <c r="T641" s="57">
        <v>13898</v>
      </c>
      <c r="U641" s="58">
        <v>148</v>
      </c>
      <c r="V641" s="58">
        <v>14046</v>
      </c>
    </row>
    <row r="642" spans="1:22">
      <c r="A642" s="54">
        <v>97013</v>
      </c>
      <c r="B642" s="55" t="s">
        <v>2018</v>
      </c>
      <c r="C642" s="106">
        <v>2.0699999999999998E-5</v>
      </c>
      <c r="D642" s="106">
        <v>1.1399999999999999E-5</v>
      </c>
      <c r="E642" s="56">
        <v>8196.81</v>
      </c>
      <c r="F642" s="56">
        <v>5116</v>
      </c>
      <c r="G642" s="56">
        <v>43932</v>
      </c>
      <c r="H642" s="56"/>
      <c r="I642" s="57">
        <v>825</v>
      </c>
      <c r="J642" s="57">
        <v>38499</v>
      </c>
      <c r="K642" s="57">
        <v>3009</v>
      </c>
      <c r="L642" s="56">
        <v>7733</v>
      </c>
      <c r="M642" s="56"/>
      <c r="N642" s="57">
        <v>1539</v>
      </c>
      <c r="O642" s="57">
        <v>14210</v>
      </c>
      <c r="P642" s="57">
        <v>0</v>
      </c>
      <c r="Q642" s="56">
        <v>866</v>
      </c>
      <c r="R642" s="57">
        <f t="shared" si="9"/>
        <v>24289</v>
      </c>
      <c r="S642" s="56"/>
      <c r="T642" s="57">
        <v>11742</v>
      </c>
      <c r="U642" s="58">
        <v>1850</v>
      </c>
      <c r="V642" s="58">
        <v>13592</v>
      </c>
    </row>
    <row r="643" spans="1:22">
      <c r="A643" s="54">
        <v>97015</v>
      </c>
      <c r="B643" s="55" t="s">
        <v>2019</v>
      </c>
      <c r="C643" s="106">
        <v>5.3699999999999997E-5</v>
      </c>
      <c r="D643" s="106">
        <v>4.7700000000000001E-5</v>
      </c>
      <c r="E643" s="56">
        <v>21900.080000000002</v>
      </c>
      <c r="F643" s="56">
        <v>21407</v>
      </c>
      <c r="G643" s="56">
        <v>113969</v>
      </c>
      <c r="H643" s="56"/>
      <c r="I643" s="57">
        <v>2141</v>
      </c>
      <c r="J643" s="57">
        <v>99874</v>
      </c>
      <c r="K643" s="57">
        <v>7806</v>
      </c>
      <c r="L643" s="56">
        <v>6681</v>
      </c>
      <c r="M643" s="56"/>
      <c r="N643" s="57">
        <v>3994</v>
      </c>
      <c r="O643" s="57">
        <v>36863</v>
      </c>
      <c r="P643" s="57">
        <v>0</v>
      </c>
      <c r="Q643" s="56">
        <v>1588</v>
      </c>
      <c r="R643" s="57">
        <f t="shared" si="9"/>
        <v>63011</v>
      </c>
      <c r="S643" s="56"/>
      <c r="T643" s="57">
        <v>30462</v>
      </c>
      <c r="U643" s="58">
        <v>1274</v>
      </c>
      <c r="V643" s="58">
        <v>31737</v>
      </c>
    </row>
    <row r="644" spans="1:22">
      <c r="A644" s="54">
        <v>97018</v>
      </c>
      <c r="B644" s="55" t="s">
        <v>2020</v>
      </c>
      <c r="C644" s="106">
        <v>9.3999999999999998E-6</v>
      </c>
      <c r="D644" s="106">
        <v>9.5000000000000005E-6</v>
      </c>
      <c r="E644" s="56">
        <v>7336.3199999999988</v>
      </c>
      <c r="F644" s="56">
        <v>4264</v>
      </c>
      <c r="G644" s="56">
        <v>19950</v>
      </c>
      <c r="H644" s="56"/>
      <c r="I644" s="57">
        <v>374.82499999999999</v>
      </c>
      <c r="J644" s="57">
        <v>17483</v>
      </c>
      <c r="K644" s="57">
        <v>1366</v>
      </c>
      <c r="L644" s="56">
        <v>6124</v>
      </c>
      <c r="M644" s="56"/>
      <c r="N644" s="57">
        <v>699</v>
      </c>
      <c r="O644" s="57">
        <v>6453</v>
      </c>
      <c r="P644" s="57">
        <v>0</v>
      </c>
      <c r="Q644" s="56">
        <v>0</v>
      </c>
      <c r="R644" s="57">
        <f t="shared" si="9"/>
        <v>11030</v>
      </c>
      <c r="S644" s="56"/>
      <c r="T644" s="57">
        <v>5332</v>
      </c>
      <c r="U644" s="58">
        <v>2103</v>
      </c>
      <c r="V644" s="58">
        <v>7435</v>
      </c>
    </row>
    <row r="645" spans="1:22">
      <c r="A645" s="54">
        <v>97101</v>
      </c>
      <c r="B645" s="55" t="s">
        <v>2021</v>
      </c>
      <c r="C645" s="106">
        <v>2.6029E-3</v>
      </c>
      <c r="D645" s="106">
        <v>2.5864999999999998E-3</v>
      </c>
      <c r="E645" s="56">
        <v>1065743.6500000001</v>
      </c>
      <c r="F645" s="56">
        <v>1160806</v>
      </c>
      <c r="G645" s="56">
        <v>5524226</v>
      </c>
      <c r="H645" s="56"/>
      <c r="I645" s="57">
        <v>103791</v>
      </c>
      <c r="J645" s="57">
        <v>4840983</v>
      </c>
      <c r="K645" s="57">
        <v>378360</v>
      </c>
      <c r="L645" s="56">
        <v>28605</v>
      </c>
      <c r="M645" s="56"/>
      <c r="N645" s="57">
        <v>193575</v>
      </c>
      <c r="O645" s="57">
        <v>1786782</v>
      </c>
      <c r="P645" s="57">
        <v>0</v>
      </c>
      <c r="Q645" s="56">
        <v>13944</v>
      </c>
      <c r="R645" s="57">
        <f t="shared" si="9"/>
        <v>3054201</v>
      </c>
      <c r="S645" s="56"/>
      <c r="T645" s="57">
        <v>1476544</v>
      </c>
      <c r="U645" s="58">
        <v>2643</v>
      </c>
      <c r="V645" s="58">
        <v>1479187</v>
      </c>
    </row>
    <row r="646" spans="1:22">
      <c r="A646" s="54">
        <v>97104</v>
      </c>
      <c r="B646" s="55" t="s">
        <v>2022</v>
      </c>
      <c r="C646" s="106">
        <v>5.6799999999999998E-5</v>
      </c>
      <c r="D646" s="106">
        <v>5.2099999999999999E-5</v>
      </c>
      <c r="E646" s="56">
        <v>26203.390000000003</v>
      </c>
      <c r="F646" s="56">
        <v>23382</v>
      </c>
      <c r="G646" s="56">
        <v>120549</v>
      </c>
      <c r="H646" s="56"/>
      <c r="I646" s="57">
        <v>2264.9</v>
      </c>
      <c r="J646" s="57">
        <v>105639</v>
      </c>
      <c r="K646" s="57">
        <v>8257</v>
      </c>
      <c r="L646" s="56">
        <v>15710</v>
      </c>
      <c r="M646" s="56"/>
      <c r="N646" s="57">
        <v>4224</v>
      </c>
      <c r="O646" s="57">
        <v>38991</v>
      </c>
      <c r="P646" s="57">
        <v>0</v>
      </c>
      <c r="Q646" s="56">
        <v>0</v>
      </c>
      <c r="R646" s="57">
        <f t="shared" si="9"/>
        <v>66648</v>
      </c>
      <c r="S646" s="56"/>
      <c r="T646" s="57">
        <v>32221</v>
      </c>
      <c r="U646" s="58">
        <v>5708</v>
      </c>
      <c r="V646" s="58">
        <v>37929</v>
      </c>
    </row>
    <row r="647" spans="1:22">
      <c r="A647" s="54">
        <v>97111</v>
      </c>
      <c r="B647" s="55" t="s">
        <v>2023</v>
      </c>
      <c r="C647" s="106">
        <v>2.7099999999999997E-4</v>
      </c>
      <c r="D647" s="106">
        <v>2.5099999999999998E-4</v>
      </c>
      <c r="E647" s="56">
        <v>99518.98</v>
      </c>
      <c r="F647" s="56">
        <v>112647</v>
      </c>
      <c r="G647" s="56">
        <v>575153</v>
      </c>
      <c r="H647" s="56"/>
      <c r="I647" s="57">
        <v>10806</v>
      </c>
      <c r="J647" s="57">
        <v>504017</v>
      </c>
      <c r="K647" s="57">
        <v>39393</v>
      </c>
      <c r="L647" s="56">
        <v>14654</v>
      </c>
      <c r="M647" s="56"/>
      <c r="N647" s="57">
        <v>20154</v>
      </c>
      <c r="O647" s="57">
        <v>186030</v>
      </c>
      <c r="P647" s="57">
        <v>0</v>
      </c>
      <c r="Q647" s="56">
        <v>17411</v>
      </c>
      <c r="R647" s="57">
        <f t="shared" ref="R647:R710" si="10">IF(J647&gt;O647,J647-O647,O647-J647)</f>
        <v>317987</v>
      </c>
      <c r="S647" s="56"/>
      <c r="T647" s="57">
        <v>153730</v>
      </c>
      <c r="U647" s="58">
        <v>858</v>
      </c>
      <c r="V647" s="58">
        <v>154588</v>
      </c>
    </row>
    <row r="648" spans="1:22">
      <c r="A648" s="54">
        <v>97121</v>
      </c>
      <c r="B648" s="55" t="s">
        <v>2024</v>
      </c>
      <c r="C648" s="106">
        <v>1.2070000000000001E-4</v>
      </c>
      <c r="D648" s="106">
        <v>1.495E-4</v>
      </c>
      <c r="E648" s="56">
        <v>55080.780000000006</v>
      </c>
      <c r="F648" s="56">
        <v>67095</v>
      </c>
      <c r="G648" s="56">
        <v>256166</v>
      </c>
      <c r="H648" s="56"/>
      <c r="I648" s="57">
        <v>4813</v>
      </c>
      <c r="J648" s="57">
        <v>224483</v>
      </c>
      <c r="K648" s="57">
        <v>17545</v>
      </c>
      <c r="L648" s="56">
        <v>0</v>
      </c>
      <c r="M648" s="56"/>
      <c r="N648" s="57">
        <v>8976</v>
      </c>
      <c r="O648" s="57">
        <v>82855</v>
      </c>
      <c r="P648" s="57">
        <v>0</v>
      </c>
      <c r="Q648" s="56">
        <v>14541</v>
      </c>
      <c r="R648" s="57">
        <f t="shared" si="10"/>
        <v>141628</v>
      </c>
      <c r="S648" s="56"/>
      <c r="T648" s="57">
        <v>68469</v>
      </c>
      <c r="U648" s="58">
        <v>-4515</v>
      </c>
      <c r="V648" s="58">
        <v>63954</v>
      </c>
    </row>
    <row r="649" spans="1:22">
      <c r="A649" s="54">
        <v>97131</v>
      </c>
      <c r="B649" s="55" t="s">
        <v>2025</v>
      </c>
      <c r="C649" s="106">
        <v>6.2969999999999996E-4</v>
      </c>
      <c r="D649" s="106">
        <v>5.9650000000000002E-4</v>
      </c>
      <c r="E649" s="56">
        <v>232414.21000000002</v>
      </c>
      <c r="F649" s="56">
        <v>267706</v>
      </c>
      <c r="G649" s="56">
        <v>1336434</v>
      </c>
      <c r="H649" s="56"/>
      <c r="I649" s="57">
        <v>25109</v>
      </c>
      <c r="J649" s="57">
        <v>1171143</v>
      </c>
      <c r="K649" s="57">
        <v>91534</v>
      </c>
      <c r="L649" s="56">
        <v>6841</v>
      </c>
      <c r="M649" s="56"/>
      <c r="N649" s="57">
        <v>46830</v>
      </c>
      <c r="O649" s="57">
        <v>432263</v>
      </c>
      <c r="P649" s="57">
        <v>0</v>
      </c>
      <c r="Q649" s="56">
        <v>3274</v>
      </c>
      <c r="R649" s="57">
        <f t="shared" si="10"/>
        <v>738880</v>
      </c>
      <c r="S649" s="56"/>
      <c r="T649" s="57">
        <v>357209</v>
      </c>
      <c r="U649" s="58">
        <v>1535</v>
      </c>
      <c r="V649" s="58">
        <v>358745</v>
      </c>
    </row>
    <row r="650" spans="1:22">
      <c r="A650" s="54">
        <v>97201</v>
      </c>
      <c r="B650" s="55" t="s">
        <v>2026</v>
      </c>
      <c r="C650" s="106">
        <v>4.9439999999999998E-4</v>
      </c>
      <c r="D650" s="106">
        <v>4.7249999999999999E-4</v>
      </c>
      <c r="E650" s="56">
        <v>214121.60000000001</v>
      </c>
      <c r="F650" s="56">
        <v>212055</v>
      </c>
      <c r="G650" s="56">
        <v>1049282</v>
      </c>
      <c r="H650" s="56"/>
      <c r="I650" s="57">
        <v>19714.2</v>
      </c>
      <c r="J650" s="57">
        <v>919506</v>
      </c>
      <c r="K650" s="57">
        <v>71866</v>
      </c>
      <c r="L650" s="56">
        <v>22797</v>
      </c>
      <c r="M650" s="56"/>
      <c r="N650" s="57">
        <v>36768</v>
      </c>
      <c r="O650" s="57">
        <v>339385</v>
      </c>
      <c r="P650" s="57">
        <v>0</v>
      </c>
      <c r="Q650" s="56">
        <v>3773</v>
      </c>
      <c r="R650" s="57">
        <f t="shared" si="10"/>
        <v>580121</v>
      </c>
      <c r="S650" s="56"/>
      <c r="T650" s="57">
        <v>280458</v>
      </c>
      <c r="U650" s="58">
        <v>4235</v>
      </c>
      <c r="V650" s="58">
        <v>284693</v>
      </c>
    </row>
    <row r="651" spans="1:22">
      <c r="A651" s="54">
        <v>97211</v>
      </c>
      <c r="B651" s="55" t="s">
        <v>2027</v>
      </c>
      <c r="C651" s="106">
        <v>1.4119999999999999E-4</v>
      </c>
      <c r="D651" s="106">
        <v>1.7689999999999999E-4</v>
      </c>
      <c r="E651" s="56">
        <v>62098.209999999992</v>
      </c>
      <c r="F651" s="56">
        <v>79392</v>
      </c>
      <c r="G651" s="56">
        <v>299674</v>
      </c>
      <c r="H651" s="56"/>
      <c r="I651" s="57">
        <v>5630</v>
      </c>
      <c r="J651" s="57">
        <v>262610</v>
      </c>
      <c r="K651" s="57">
        <v>20525</v>
      </c>
      <c r="L651" s="56">
        <v>3573</v>
      </c>
      <c r="M651" s="56"/>
      <c r="N651" s="57">
        <v>10501</v>
      </c>
      <c r="O651" s="57">
        <v>96928</v>
      </c>
      <c r="P651" s="57">
        <v>0</v>
      </c>
      <c r="Q651" s="56">
        <v>16466</v>
      </c>
      <c r="R651" s="57">
        <f t="shared" si="10"/>
        <v>165682</v>
      </c>
      <c r="S651" s="56"/>
      <c r="T651" s="57">
        <v>80098</v>
      </c>
      <c r="U651" s="58">
        <v>-3079</v>
      </c>
      <c r="V651" s="58">
        <v>77020</v>
      </c>
    </row>
    <row r="652" spans="1:22">
      <c r="A652" s="54">
        <v>97213</v>
      </c>
      <c r="B652" s="55" t="s">
        <v>2028</v>
      </c>
      <c r="C652" s="106">
        <v>3.8300000000000003E-5</v>
      </c>
      <c r="D652" s="106">
        <v>4.0800000000000002E-5</v>
      </c>
      <c r="E652" s="56">
        <v>16614.780000000002</v>
      </c>
      <c r="F652" s="56">
        <v>18311</v>
      </c>
      <c r="G652" s="56">
        <v>81285</v>
      </c>
      <c r="H652" s="56"/>
      <c r="I652" s="57">
        <v>1527</v>
      </c>
      <c r="J652" s="57">
        <v>71232</v>
      </c>
      <c r="K652" s="57">
        <v>5567</v>
      </c>
      <c r="L652" s="56">
        <v>1545</v>
      </c>
      <c r="M652" s="56"/>
      <c r="N652" s="57">
        <v>2848</v>
      </c>
      <c r="O652" s="57">
        <v>26291</v>
      </c>
      <c r="P652" s="57">
        <v>0</v>
      </c>
      <c r="Q652" s="56">
        <v>668</v>
      </c>
      <c r="R652" s="57">
        <f t="shared" si="10"/>
        <v>44941</v>
      </c>
      <c r="S652" s="56"/>
      <c r="T652" s="57">
        <v>21726</v>
      </c>
      <c r="U652" s="58">
        <v>577</v>
      </c>
      <c r="V652" s="58">
        <v>22303</v>
      </c>
    </row>
    <row r="653" spans="1:22">
      <c r="A653" s="54">
        <v>97217</v>
      </c>
      <c r="B653" s="55" t="s">
        <v>2029</v>
      </c>
      <c r="C653" s="106">
        <v>4.8999999999999997E-6</v>
      </c>
      <c r="D653" s="106">
        <v>5.0000000000000004E-6</v>
      </c>
      <c r="E653" s="56">
        <v>6184.6800000000012</v>
      </c>
      <c r="F653" s="56">
        <v>2244</v>
      </c>
      <c r="G653" s="56">
        <v>10399</v>
      </c>
      <c r="H653" s="56"/>
      <c r="I653" s="57">
        <v>195.38749999999999</v>
      </c>
      <c r="J653" s="57">
        <v>9113</v>
      </c>
      <c r="K653" s="57">
        <v>712</v>
      </c>
      <c r="L653" s="56">
        <v>6975</v>
      </c>
      <c r="M653" s="56"/>
      <c r="N653" s="57">
        <v>364</v>
      </c>
      <c r="O653" s="57">
        <v>3364</v>
      </c>
      <c r="P653" s="57">
        <v>0</v>
      </c>
      <c r="Q653" s="56">
        <v>0</v>
      </c>
      <c r="R653" s="57">
        <f t="shared" si="10"/>
        <v>5749</v>
      </c>
      <c r="S653" s="56"/>
      <c r="T653" s="57">
        <v>2780</v>
      </c>
      <c r="U653" s="58">
        <v>2381</v>
      </c>
      <c r="V653" s="58">
        <v>5160</v>
      </c>
    </row>
    <row r="654" spans="1:22">
      <c r="A654" s="54">
        <v>97221</v>
      </c>
      <c r="B654" s="55" t="s">
        <v>2030</v>
      </c>
      <c r="C654" s="106">
        <v>6.1999999999999999E-6</v>
      </c>
      <c r="D654" s="106">
        <v>6.2999999999999998E-6</v>
      </c>
      <c r="E654" s="56">
        <v>6603.27</v>
      </c>
      <c r="F654" s="56">
        <v>2827</v>
      </c>
      <c r="G654" s="56">
        <v>13158</v>
      </c>
      <c r="H654" s="56"/>
      <c r="I654" s="57">
        <v>247.22499999999999</v>
      </c>
      <c r="J654" s="57">
        <v>11531</v>
      </c>
      <c r="K654" s="57">
        <v>901</v>
      </c>
      <c r="L654" s="56">
        <v>5895</v>
      </c>
      <c r="M654" s="56"/>
      <c r="N654" s="57">
        <v>461</v>
      </c>
      <c r="O654" s="57">
        <v>4256</v>
      </c>
      <c r="P654" s="57">
        <v>0</v>
      </c>
      <c r="Q654" s="56">
        <v>0</v>
      </c>
      <c r="R654" s="57">
        <f t="shared" si="10"/>
        <v>7275</v>
      </c>
      <c r="S654" s="56"/>
      <c r="T654" s="57">
        <v>3517</v>
      </c>
      <c r="U654" s="58">
        <v>2057</v>
      </c>
      <c r="V654" s="58">
        <v>5574</v>
      </c>
    </row>
    <row r="655" spans="1:22">
      <c r="A655" s="54">
        <v>97301</v>
      </c>
      <c r="B655" s="55" t="s">
        <v>2031</v>
      </c>
      <c r="C655" s="106">
        <v>2.5742E-3</v>
      </c>
      <c r="D655" s="106">
        <v>2.6905000000000002E-3</v>
      </c>
      <c r="E655" s="56">
        <v>1080030.6199999999</v>
      </c>
      <c r="F655" s="56">
        <v>1207480</v>
      </c>
      <c r="G655" s="56">
        <v>5463315</v>
      </c>
      <c r="H655" s="56"/>
      <c r="I655" s="57">
        <v>102646</v>
      </c>
      <c r="J655" s="57">
        <v>4787605</v>
      </c>
      <c r="K655" s="57">
        <v>374188</v>
      </c>
      <c r="L655" s="56">
        <v>36738</v>
      </c>
      <c r="M655" s="56"/>
      <c r="N655" s="57">
        <v>191441</v>
      </c>
      <c r="O655" s="57">
        <v>1767080</v>
      </c>
      <c r="P655" s="57">
        <v>0</v>
      </c>
      <c r="Q655" s="56">
        <v>62348</v>
      </c>
      <c r="R655" s="57">
        <f t="shared" si="10"/>
        <v>3020525</v>
      </c>
      <c r="S655" s="56"/>
      <c r="T655" s="57">
        <v>1460264</v>
      </c>
      <c r="U655" s="58">
        <v>-7105</v>
      </c>
      <c r="V655" s="58">
        <v>1453159</v>
      </c>
    </row>
    <row r="656" spans="1:22">
      <c r="A656" s="54">
        <v>97304</v>
      </c>
      <c r="B656" s="55" t="s">
        <v>2032</v>
      </c>
      <c r="C656" s="106">
        <v>1.7600000000000001E-5</v>
      </c>
      <c r="D656" s="106">
        <v>1.8499999999999999E-5</v>
      </c>
      <c r="E656" s="56">
        <v>11927.640000000001</v>
      </c>
      <c r="F656" s="56">
        <v>8303</v>
      </c>
      <c r="G656" s="56">
        <v>37353</v>
      </c>
      <c r="H656" s="56"/>
      <c r="I656" s="57">
        <v>702</v>
      </c>
      <c r="J656" s="57">
        <v>32733</v>
      </c>
      <c r="K656" s="57">
        <v>2558</v>
      </c>
      <c r="L656" s="56">
        <v>7244</v>
      </c>
      <c r="M656" s="56"/>
      <c r="N656" s="57">
        <v>1309</v>
      </c>
      <c r="O656" s="57">
        <v>12082</v>
      </c>
      <c r="P656" s="57">
        <v>0</v>
      </c>
      <c r="Q656" s="56">
        <v>0</v>
      </c>
      <c r="R656" s="57">
        <f t="shared" si="10"/>
        <v>20651</v>
      </c>
      <c r="S656" s="56"/>
      <c r="T656" s="57">
        <v>9984</v>
      </c>
      <c r="U656" s="58">
        <v>2504</v>
      </c>
      <c r="V656" s="58">
        <v>12488</v>
      </c>
    </row>
    <row r="657" spans="1:22">
      <c r="A657" s="54">
        <v>97311</v>
      </c>
      <c r="B657" s="55" t="s">
        <v>2033</v>
      </c>
      <c r="C657" s="106">
        <v>9.5E-4</v>
      </c>
      <c r="D657" s="106">
        <v>1.0311000000000001E-3</v>
      </c>
      <c r="E657" s="56">
        <v>367318.43000000005</v>
      </c>
      <c r="F657" s="56">
        <v>462751</v>
      </c>
      <c r="G657" s="56">
        <v>2016218.25</v>
      </c>
      <c r="H657" s="56"/>
      <c r="I657" s="57">
        <v>37881.25</v>
      </c>
      <c r="J657" s="57">
        <v>1766849.9</v>
      </c>
      <c r="K657" s="57">
        <v>138093</v>
      </c>
      <c r="L657" s="56">
        <v>0</v>
      </c>
      <c r="M657" s="56"/>
      <c r="N657" s="57">
        <v>70650.55</v>
      </c>
      <c r="O657" s="57">
        <v>652135.1</v>
      </c>
      <c r="P657" s="57">
        <v>0</v>
      </c>
      <c r="Q657" s="56">
        <v>97758</v>
      </c>
      <c r="R657" s="57">
        <f t="shared" si="10"/>
        <v>1114714.7999999998</v>
      </c>
      <c r="S657" s="56"/>
      <c r="T657" s="57">
        <v>538906</v>
      </c>
      <c r="U657" s="58">
        <v>-33821</v>
      </c>
      <c r="V657" s="58">
        <v>505085</v>
      </c>
    </row>
    <row r="658" spans="1:22">
      <c r="A658" s="54">
        <v>97401</v>
      </c>
      <c r="B658" s="55" t="s">
        <v>2034</v>
      </c>
      <c r="C658" s="106">
        <v>6.9633000000000004E-3</v>
      </c>
      <c r="D658" s="106">
        <v>6.9844E-3</v>
      </c>
      <c r="E658" s="56">
        <v>2848906.9899999998</v>
      </c>
      <c r="F658" s="56">
        <v>3134557</v>
      </c>
      <c r="G658" s="56">
        <v>14778455</v>
      </c>
      <c r="H658" s="56"/>
      <c r="I658" s="57">
        <v>277662</v>
      </c>
      <c r="J658" s="57">
        <v>12950638</v>
      </c>
      <c r="K658" s="57">
        <v>1012192</v>
      </c>
      <c r="L658" s="56">
        <v>0</v>
      </c>
      <c r="M658" s="56"/>
      <c r="N658" s="57">
        <v>517854</v>
      </c>
      <c r="O658" s="57">
        <v>4780013</v>
      </c>
      <c r="P658" s="57">
        <v>0</v>
      </c>
      <c r="Q658" s="56">
        <v>142656</v>
      </c>
      <c r="R658" s="57">
        <f t="shared" si="10"/>
        <v>8170625</v>
      </c>
      <c r="S658" s="56"/>
      <c r="T658" s="57">
        <v>3950064</v>
      </c>
      <c r="U658" s="58">
        <v>-59462</v>
      </c>
      <c r="V658" s="58">
        <v>3890602</v>
      </c>
    </row>
    <row r="659" spans="1:22">
      <c r="A659" s="54">
        <v>97402</v>
      </c>
      <c r="B659" s="55" t="s">
        <v>2035</v>
      </c>
      <c r="C659" s="106">
        <v>4.4700000000000002E-5</v>
      </c>
      <c r="D659" s="106">
        <v>2.3799999999999999E-5</v>
      </c>
      <c r="E659" s="56">
        <v>21076.7</v>
      </c>
      <c r="F659" s="56">
        <v>10681</v>
      </c>
      <c r="G659" s="56">
        <v>94868</v>
      </c>
      <c r="H659" s="56"/>
      <c r="I659" s="57">
        <v>1782</v>
      </c>
      <c r="J659" s="57">
        <v>83135</v>
      </c>
      <c r="K659" s="57">
        <v>6498</v>
      </c>
      <c r="L659" s="56">
        <v>15050</v>
      </c>
      <c r="M659" s="56"/>
      <c r="N659" s="57">
        <v>3324</v>
      </c>
      <c r="O659" s="57">
        <v>30685</v>
      </c>
      <c r="P659" s="57">
        <v>0</v>
      </c>
      <c r="Q659" s="56">
        <v>0</v>
      </c>
      <c r="R659" s="57">
        <f t="shared" si="10"/>
        <v>52450</v>
      </c>
      <c r="S659" s="56"/>
      <c r="T659" s="57">
        <v>25357</v>
      </c>
      <c r="U659" s="58">
        <v>4096</v>
      </c>
      <c r="V659" s="58">
        <v>29453</v>
      </c>
    </row>
    <row r="660" spans="1:22">
      <c r="A660" s="54">
        <v>97404</v>
      </c>
      <c r="B660" s="55" t="s">
        <v>2036</v>
      </c>
      <c r="C660" s="106">
        <v>2.1049999999999999E-4</v>
      </c>
      <c r="D660" s="106">
        <v>2.1249999999999999E-4</v>
      </c>
      <c r="E660" s="56">
        <v>73914.680000000008</v>
      </c>
      <c r="F660" s="56">
        <v>95369</v>
      </c>
      <c r="G660" s="56">
        <v>446752</v>
      </c>
      <c r="H660" s="56"/>
      <c r="I660" s="57">
        <v>8393.6875</v>
      </c>
      <c r="J660" s="57">
        <v>391497</v>
      </c>
      <c r="K660" s="57">
        <v>30598</v>
      </c>
      <c r="L660" s="56">
        <v>1976</v>
      </c>
      <c r="M660" s="56"/>
      <c r="N660" s="57">
        <v>15655</v>
      </c>
      <c r="O660" s="57">
        <v>144499</v>
      </c>
      <c r="P660" s="57">
        <v>0</v>
      </c>
      <c r="Q660" s="56">
        <v>16111</v>
      </c>
      <c r="R660" s="57">
        <f t="shared" si="10"/>
        <v>246998</v>
      </c>
      <c r="S660" s="56"/>
      <c r="T660" s="57">
        <v>119410</v>
      </c>
      <c r="U660" s="58">
        <v>-3656</v>
      </c>
      <c r="V660" s="58">
        <v>115754</v>
      </c>
    </row>
    <row r="661" spans="1:22">
      <c r="A661" s="54">
        <v>97405</v>
      </c>
      <c r="B661" s="55" t="s">
        <v>2037</v>
      </c>
      <c r="C661" s="106">
        <v>1.087E-4</v>
      </c>
      <c r="D661" s="106">
        <v>1.081E-4</v>
      </c>
      <c r="E661" s="56">
        <v>55456.069999999992</v>
      </c>
      <c r="F661" s="56">
        <v>48515</v>
      </c>
      <c r="G661" s="56">
        <v>230698</v>
      </c>
      <c r="H661" s="56"/>
      <c r="I661" s="57">
        <v>4334</v>
      </c>
      <c r="J661" s="57">
        <v>202165</v>
      </c>
      <c r="K661" s="57">
        <v>15801</v>
      </c>
      <c r="L661" s="56">
        <v>20704</v>
      </c>
      <c r="M661" s="56"/>
      <c r="N661" s="57">
        <v>8084</v>
      </c>
      <c r="O661" s="57">
        <v>74618</v>
      </c>
      <c r="P661" s="57">
        <v>0</v>
      </c>
      <c r="Q661" s="56">
        <v>9828.61</v>
      </c>
      <c r="R661" s="57">
        <f t="shared" si="10"/>
        <v>127547</v>
      </c>
      <c r="S661" s="56"/>
      <c r="T661" s="57">
        <v>61662</v>
      </c>
      <c r="U661" s="58">
        <v>1556</v>
      </c>
      <c r="V661" s="58">
        <v>63218</v>
      </c>
    </row>
    <row r="662" spans="1:22">
      <c r="A662" s="54">
        <v>97408</v>
      </c>
      <c r="B662" s="55" t="s">
        <v>2038</v>
      </c>
      <c r="C662" s="106">
        <v>4.9299999999999999E-5</v>
      </c>
      <c r="D662" s="106">
        <v>5.1199999999999998E-5</v>
      </c>
      <c r="E662" s="56">
        <v>28028.109999999997</v>
      </c>
      <c r="F662" s="56">
        <v>22978</v>
      </c>
      <c r="G662" s="56">
        <v>104631</v>
      </c>
      <c r="H662" s="56"/>
      <c r="I662" s="57">
        <v>1966</v>
      </c>
      <c r="J662" s="57">
        <v>91690</v>
      </c>
      <c r="K662" s="57">
        <v>7166</v>
      </c>
      <c r="L662" s="56">
        <v>7585</v>
      </c>
      <c r="M662" s="56"/>
      <c r="N662" s="57">
        <v>3666</v>
      </c>
      <c r="O662" s="57">
        <v>33842</v>
      </c>
      <c r="P662" s="57">
        <v>0</v>
      </c>
      <c r="Q662" s="56">
        <v>0</v>
      </c>
      <c r="R662" s="57">
        <f t="shared" si="10"/>
        <v>57848</v>
      </c>
      <c r="S662" s="56"/>
      <c r="T662" s="57">
        <v>27966</v>
      </c>
      <c r="U662" s="58">
        <v>2375</v>
      </c>
      <c r="V662" s="58">
        <v>30341</v>
      </c>
    </row>
    <row r="663" spans="1:22">
      <c r="A663" s="54">
        <v>97411</v>
      </c>
      <c r="B663" s="55" t="s">
        <v>2039</v>
      </c>
      <c r="C663" s="106">
        <v>6.7269000000000001E-3</v>
      </c>
      <c r="D663" s="106">
        <v>7.0987000000000003E-3</v>
      </c>
      <c r="E663" s="56">
        <v>2531536.58</v>
      </c>
      <c r="F663" s="56">
        <v>3185854</v>
      </c>
      <c r="G663" s="56">
        <v>14276735</v>
      </c>
      <c r="H663" s="56"/>
      <c r="I663" s="57">
        <v>268235</v>
      </c>
      <c r="J663" s="57">
        <v>12510971</v>
      </c>
      <c r="K663" s="57">
        <v>977829</v>
      </c>
      <c r="L663" s="56">
        <v>0</v>
      </c>
      <c r="M663" s="56"/>
      <c r="N663" s="57">
        <v>500273</v>
      </c>
      <c r="O663" s="57">
        <v>4617734</v>
      </c>
      <c r="P663" s="57">
        <v>0</v>
      </c>
      <c r="Q663" s="56">
        <v>854591</v>
      </c>
      <c r="R663" s="57">
        <f t="shared" si="10"/>
        <v>7893237</v>
      </c>
      <c r="S663" s="56"/>
      <c r="T663" s="57">
        <v>3815962</v>
      </c>
      <c r="U663" s="58">
        <v>-289319</v>
      </c>
      <c r="V663" s="58">
        <v>3526643</v>
      </c>
    </row>
    <row r="664" spans="1:22">
      <c r="A664" s="54">
        <v>97412</v>
      </c>
      <c r="B664" s="55" t="s">
        <v>2040</v>
      </c>
      <c r="C664" s="106">
        <v>4.424E-3</v>
      </c>
      <c r="D664" s="106">
        <v>4.1891999999999997E-3</v>
      </c>
      <c r="E664" s="56">
        <v>1763681.7500000002</v>
      </c>
      <c r="F664" s="56">
        <v>1880088</v>
      </c>
      <c r="G664" s="56">
        <v>9389210</v>
      </c>
      <c r="H664" s="56"/>
      <c r="I664" s="57">
        <v>176407</v>
      </c>
      <c r="J664" s="57">
        <v>8227941</v>
      </c>
      <c r="K664" s="57">
        <v>643077</v>
      </c>
      <c r="L664" s="56">
        <v>158642</v>
      </c>
      <c r="M664" s="56"/>
      <c r="N664" s="57">
        <v>329008</v>
      </c>
      <c r="O664" s="57">
        <v>3036890</v>
      </c>
      <c r="P664" s="57">
        <v>0</v>
      </c>
      <c r="Q664" s="56">
        <v>0</v>
      </c>
      <c r="R664" s="57">
        <f t="shared" si="10"/>
        <v>5191051</v>
      </c>
      <c r="S664" s="56"/>
      <c r="T664" s="57">
        <v>2509598</v>
      </c>
      <c r="U664" s="58">
        <v>54211</v>
      </c>
      <c r="V664" s="58">
        <v>2563810</v>
      </c>
    </row>
    <row r="665" spans="1:22">
      <c r="A665" s="54">
        <v>97413</v>
      </c>
      <c r="B665" s="55" t="s">
        <v>2041</v>
      </c>
      <c r="C665" s="106">
        <v>2.7910000000000001E-4</v>
      </c>
      <c r="D665" s="106">
        <v>2.9320000000000003E-4</v>
      </c>
      <c r="E665" s="56">
        <v>126701.6</v>
      </c>
      <c r="F665" s="56">
        <v>131586</v>
      </c>
      <c r="G665" s="56">
        <v>592344</v>
      </c>
      <c r="H665" s="56"/>
      <c r="I665" s="57">
        <v>11129</v>
      </c>
      <c r="J665" s="57">
        <v>519082</v>
      </c>
      <c r="K665" s="57">
        <v>40570</v>
      </c>
      <c r="L665" s="56">
        <v>1832</v>
      </c>
      <c r="M665" s="56"/>
      <c r="N665" s="57">
        <v>20756</v>
      </c>
      <c r="O665" s="57">
        <v>191590</v>
      </c>
      <c r="P665" s="57">
        <v>0</v>
      </c>
      <c r="Q665" s="56">
        <v>10212</v>
      </c>
      <c r="R665" s="57">
        <f t="shared" si="10"/>
        <v>327492</v>
      </c>
      <c r="S665" s="56"/>
      <c r="T665" s="57">
        <v>158325</v>
      </c>
      <c r="U665" s="58">
        <v>-4433</v>
      </c>
      <c r="V665" s="58">
        <v>153891</v>
      </c>
    </row>
    <row r="666" spans="1:22">
      <c r="A666" s="54">
        <v>97421</v>
      </c>
      <c r="B666" s="55" t="s">
        <v>2042</v>
      </c>
      <c r="C666" s="106">
        <v>4.1120000000000002E-4</v>
      </c>
      <c r="D666" s="106">
        <v>4.1140000000000003E-4</v>
      </c>
      <c r="E666" s="56">
        <v>162264.79999999999</v>
      </c>
      <c r="F666" s="56">
        <v>184634</v>
      </c>
      <c r="G666" s="56">
        <v>872704</v>
      </c>
      <c r="H666" s="56"/>
      <c r="I666" s="57">
        <v>16397</v>
      </c>
      <c r="J666" s="57">
        <v>764767</v>
      </c>
      <c r="K666" s="57">
        <v>59772</v>
      </c>
      <c r="L666" s="56">
        <v>0</v>
      </c>
      <c r="M666" s="56"/>
      <c r="N666" s="57">
        <v>30581</v>
      </c>
      <c r="O666" s="57">
        <v>282272</v>
      </c>
      <c r="P666" s="57">
        <v>0</v>
      </c>
      <c r="Q666" s="56">
        <v>40232</v>
      </c>
      <c r="R666" s="57">
        <f t="shared" si="10"/>
        <v>482495</v>
      </c>
      <c r="S666" s="56"/>
      <c r="T666" s="57">
        <v>233261</v>
      </c>
      <c r="U666" s="58">
        <v>-16104</v>
      </c>
      <c r="V666" s="58">
        <v>217157</v>
      </c>
    </row>
    <row r="667" spans="1:22">
      <c r="A667" s="54">
        <v>97423</v>
      </c>
      <c r="B667" s="55" t="s">
        <v>2043</v>
      </c>
      <c r="C667" s="106">
        <v>4.5800000000000002E-5</v>
      </c>
      <c r="D667" s="106">
        <v>4.5300000000000003E-5</v>
      </c>
      <c r="E667" s="56">
        <v>37545.089999999997</v>
      </c>
      <c r="F667" s="56">
        <v>20330</v>
      </c>
      <c r="G667" s="56">
        <v>97203</v>
      </c>
      <c r="H667" s="56"/>
      <c r="I667" s="57">
        <v>1826.2750000000001</v>
      </c>
      <c r="J667" s="57">
        <v>85181</v>
      </c>
      <c r="K667" s="57">
        <v>6658</v>
      </c>
      <c r="L667" s="56">
        <v>26530</v>
      </c>
      <c r="M667" s="56"/>
      <c r="N667" s="57">
        <v>3406</v>
      </c>
      <c r="O667" s="57">
        <v>31440</v>
      </c>
      <c r="P667" s="57">
        <v>0</v>
      </c>
      <c r="Q667" s="56">
        <v>0</v>
      </c>
      <c r="R667" s="57">
        <f t="shared" si="10"/>
        <v>53741</v>
      </c>
      <c r="S667" s="56"/>
      <c r="T667" s="57">
        <v>25981</v>
      </c>
      <c r="U667" s="58">
        <v>8002</v>
      </c>
      <c r="V667" s="58">
        <v>33982</v>
      </c>
    </row>
    <row r="668" spans="1:22">
      <c r="A668" s="54">
        <v>97431</v>
      </c>
      <c r="B668" s="55" t="s">
        <v>2044</v>
      </c>
      <c r="C668" s="106">
        <v>8.5199999999999997E-5</v>
      </c>
      <c r="D668" s="106">
        <v>8.7700000000000004E-5</v>
      </c>
      <c r="E668" s="56">
        <v>38446.49</v>
      </c>
      <c r="F668" s="56">
        <v>39359</v>
      </c>
      <c r="G668" s="56">
        <v>180823</v>
      </c>
      <c r="H668" s="56"/>
      <c r="I668" s="57">
        <v>3397.35</v>
      </c>
      <c r="J668" s="57">
        <v>158459</v>
      </c>
      <c r="K668" s="57">
        <v>12385</v>
      </c>
      <c r="L668" s="56">
        <v>2882</v>
      </c>
      <c r="M668" s="56"/>
      <c r="N668" s="57">
        <v>6336</v>
      </c>
      <c r="O668" s="57">
        <v>58486</v>
      </c>
      <c r="P668" s="57">
        <v>0</v>
      </c>
      <c r="Q668" s="56">
        <v>0</v>
      </c>
      <c r="R668" s="57">
        <f t="shared" si="10"/>
        <v>99973</v>
      </c>
      <c r="S668" s="56"/>
      <c r="T668" s="57">
        <v>48331</v>
      </c>
      <c r="U668" s="58">
        <v>909</v>
      </c>
      <c r="V668" s="58">
        <v>49241</v>
      </c>
    </row>
    <row r="669" spans="1:22">
      <c r="A669" s="54">
        <v>97441</v>
      </c>
      <c r="B669" s="55" t="s">
        <v>2045</v>
      </c>
      <c r="C669" s="106">
        <v>7.0500000000000006E-5</v>
      </c>
      <c r="D669" s="106">
        <v>6.8700000000000003E-5</v>
      </c>
      <c r="E669" s="56">
        <v>23078.829999999998</v>
      </c>
      <c r="F669" s="56">
        <v>30832</v>
      </c>
      <c r="G669" s="56">
        <v>149625</v>
      </c>
      <c r="H669" s="56"/>
      <c r="I669" s="57">
        <v>2811</v>
      </c>
      <c r="J669" s="57">
        <v>131119</v>
      </c>
      <c r="K669" s="57">
        <v>10248</v>
      </c>
      <c r="L669" s="56">
        <v>406</v>
      </c>
      <c r="M669" s="56"/>
      <c r="N669" s="57">
        <v>5243</v>
      </c>
      <c r="O669" s="57">
        <v>48395</v>
      </c>
      <c r="P669" s="57">
        <v>0</v>
      </c>
      <c r="Q669" s="56">
        <v>4997</v>
      </c>
      <c r="R669" s="57">
        <f t="shared" si="10"/>
        <v>82724</v>
      </c>
      <c r="S669" s="56"/>
      <c r="T669" s="57">
        <v>39992</v>
      </c>
      <c r="U669" s="58">
        <v>-1212</v>
      </c>
      <c r="V669" s="58">
        <v>38780</v>
      </c>
    </row>
    <row r="670" spans="1:22">
      <c r="A670" s="54">
        <v>97451</v>
      </c>
      <c r="B670" s="55" t="s">
        <v>2046</v>
      </c>
      <c r="C670" s="106">
        <v>6.1039999999999998E-4</v>
      </c>
      <c r="D670" s="106">
        <v>5.1670000000000004E-4</v>
      </c>
      <c r="E670" s="56">
        <v>212064.53000000003</v>
      </c>
      <c r="F670" s="56">
        <v>231892</v>
      </c>
      <c r="G670" s="56">
        <v>1295473</v>
      </c>
      <c r="H670" s="56"/>
      <c r="I670" s="57">
        <v>24339.7</v>
      </c>
      <c r="J670" s="57">
        <v>1135248</v>
      </c>
      <c r="K670" s="57">
        <v>88728</v>
      </c>
      <c r="L670" s="56">
        <v>30041</v>
      </c>
      <c r="M670" s="56"/>
      <c r="N670" s="57">
        <v>45395</v>
      </c>
      <c r="O670" s="57">
        <v>419014</v>
      </c>
      <c r="P670" s="57">
        <v>0</v>
      </c>
      <c r="Q670" s="56">
        <v>5880</v>
      </c>
      <c r="R670" s="57">
        <f t="shared" si="10"/>
        <v>716234</v>
      </c>
      <c r="S670" s="56"/>
      <c r="T670" s="57">
        <v>346261</v>
      </c>
      <c r="U670" s="58">
        <v>8187</v>
      </c>
      <c r="V670" s="58">
        <v>354448</v>
      </c>
    </row>
    <row r="671" spans="1:22">
      <c r="A671" s="54">
        <v>97461</v>
      </c>
      <c r="B671" s="55" t="s">
        <v>2047</v>
      </c>
      <c r="C671" s="106">
        <v>5.1869999999999998E-4</v>
      </c>
      <c r="D671" s="106">
        <v>5.3859999999999997E-4</v>
      </c>
      <c r="E671" s="56">
        <v>202229.84000000003</v>
      </c>
      <c r="F671" s="56">
        <v>241720</v>
      </c>
      <c r="G671" s="56">
        <v>1100855</v>
      </c>
      <c r="H671" s="56"/>
      <c r="I671" s="57">
        <v>20683</v>
      </c>
      <c r="J671" s="57">
        <v>964700</v>
      </c>
      <c r="K671" s="57">
        <v>75399</v>
      </c>
      <c r="L671" s="56">
        <v>4454</v>
      </c>
      <c r="M671" s="56"/>
      <c r="N671" s="57">
        <v>38575</v>
      </c>
      <c r="O671" s="57">
        <v>356066</v>
      </c>
      <c r="P671" s="57">
        <v>0</v>
      </c>
      <c r="Q671" s="56">
        <v>46078</v>
      </c>
      <c r="R671" s="57">
        <f t="shared" si="10"/>
        <v>608634</v>
      </c>
      <c r="S671" s="56"/>
      <c r="T671" s="57">
        <v>294242</v>
      </c>
      <c r="U671" s="58">
        <v>-12231</v>
      </c>
      <c r="V671" s="58">
        <v>282012</v>
      </c>
    </row>
    <row r="672" spans="1:22">
      <c r="A672" s="54">
        <v>97463</v>
      </c>
      <c r="B672" s="55" t="s">
        <v>2048</v>
      </c>
      <c r="C672" s="106">
        <v>5.0099999999999998E-5</v>
      </c>
      <c r="D672" s="106">
        <v>5.6400000000000002E-5</v>
      </c>
      <c r="E672" s="56">
        <v>17389.919999999998</v>
      </c>
      <c r="F672" s="56">
        <v>25312</v>
      </c>
      <c r="G672" s="56">
        <v>106329</v>
      </c>
      <c r="H672" s="56"/>
      <c r="I672" s="57">
        <v>1998</v>
      </c>
      <c r="J672" s="57">
        <v>93178</v>
      </c>
      <c r="K672" s="57">
        <v>7283</v>
      </c>
      <c r="L672" s="56">
        <v>2539</v>
      </c>
      <c r="M672" s="56"/>
      <c r="N672" s="57">
        <v>3726</v>
      </c>
      <c r="O672" s="57">
        <v>34392</v>
      </c>
      <c r="P672" s="57">
        <v>0</v>
      </c>
      <c r="Q672" s="56">
        <v>5965</v>
      </c>
      <c r="R672" s="57">
        <f t="shared" si="10"/>
        <v>58786</v>
      </c>
      <c r="S672" s="56"/>
      <c r="T672" s="57">
        <v>28420</v>
      </c>
      <c r="U672" s="58">
        <v>-427</v>
      </c>
      <c r="V672" s="58">
        <v>27993</v>
      </c>
    </row>
    <row r="673" spans="1:22">
      <c r="A673" s="54">
        <v>97471</v>
      </c>
      <c r="B673" s="55" t="s">
        <v>2049</v>
      </c>
      <c r="C673" s="106">
        <v>1.27E-5</v>
      </c>
      <c r="D673" s="106">
        <v>1.31E-5</v>
      </c>
      <c r="E673" s="56">
        <v>8483.43</v>
      </c>
      <c r="F673" s="56">
        <v>5879</v>
      </c>
      <c r="G673" s="56">
        <v>26954</v>
      </c>
      <c r="H673" s="56"/>
      <c r="I673" s="57">
        <v>506.41250000000002</v>
      </c>
      <c r="J673" s="57">
        <v>23620</v>
      </c>
      <c r="K673" s="57">
        <v>1846</v>
      </c>
      <c r="L673" s="56">
        <v>5163</v>
      </c>
      <c r="M673" s="56"/>
      <c r="N673" s="57">
        <v>944</v>
      </c>
      <c r="O673" s="57">
        <v>8718</v>
      </c>
      <c r="P673" s="57">
        <v>0</v>
      </c>
      <c r="Q673" s="56">
        <v>0</v>
      </c>
      <c r="R673" s="57">
        <f t="shared" si="10"/>
        <v>14902</v>
      </c>
      <c r="S673" s="56"/>
      <c r="T673" s="57">
        <v>7204</v>
      </c>
      <c r="U673" s="58">
        <v>1775</v>
      </c>
      <c r="V673" s="58">
        <v>8980</v>
      </c>
    </row>
    <row r="674" spans="1:22">
      <c r="A674" s="54">
        <v>97481</v>
      </c>
      <c r="B674" s="55" t="s">
        <v>2050</v>
      </c>
      <c r="C674" s="106">
        <v>1.63E-5</v>
      </c>
      <c r="D674" s="106">
        <v>1.13E-5</v>
      </c>
      <c r="E674" s="56">
        <v>5817.26</v>
      </c>
      <c r="F674" s="56">
        <v>5071</v>
      </c>
      <c r="G674" s="56">
        <v>34594</v>
      </c>
      <c r="H674" s="56"/>
      <c r="I674" s="57">
        <v>649.96249999999998</v>
      </c>
      <c r="J674" s="57">
        <v>30315</v>
      </c>
      <c r="K674" s="57">
        <v>2369</v>
      </c>
      <c r="L674" s="56">
        <v>5965</v>
      </c>
      <c r="M674" s="56"/>
      <c r="N674" s="57">
        <v>1212</v>
      </c>
      <c r="O674" s="57">
        <v>11189</v>
      </c>
      <c r="P674" s="57">
        <v>0</v>
      </c>
      <c r="Q674" s="56">
        <v>0</v>
      </c>
      <c r="R674" s="57">
        <f t="shared" si="10"/>
        <v>19126</v>
      </c>
      <c r="S674" s="56"/>
      <c r="T674" s="57">
        <v>9246</v>
      </c>
      <c r="U674" s="58">
        <v>2373</v>
      </c>
      <c r="V674" s="58">
        <v>11619</v>
      </c>
    </row>
    <row r="675" spans="1:22">
      <c r="A675" s="54">
        <v>97491</v>
      </c>
      <c r="B675" s="55" t="s">
        <v>2051</v>
      </c>
      <c r="C675" s="106">
        <v>0</v>
      </c>
      <c r="D675" s="106">
        <v>0</v>
      </c>
      <c r="E675" s="56">
        <v>0</v>
      </c>
      <c r="F675" s="56">
        <v>0</v>
      </c>
      <c r="G675" s="56">
        <v>0</v>
      </c>
      <c r="H675" s="56"/>
      <c r="I675" s="57">
        <v>0</v>
      </c>
      <c r="J675" s="57">
        <v>0</v>
      </c>
      <c r="K675" s="57">
        <v>0</v>
      </c>
      <c r="L675" s="56">
        <v>0</v>
      </c>
      <c r="M675" s="56"/>
      <c r="N675" s="57">
        <v>0</v>
      </c>
      <c r="O675" s="57">
        <v>0</v>
      </c>
      <c r="P675" s="57">
        <v>0</v>
      </c>
      <c r="Q675" s="56">
        <v>12790</v>
      </c>
      <c r="R675" s="57">
        <f t="shared" si="10"/>
        <v>0</v>
      </c>
      <c r="S675" s="56"/>
      <c r="T675" s="57">
        <v>0</v>
      </c>
      <c r="U675" s="58">
        <v>-4941</v>
      </c>
      <c r="V675" s="58">
        <v>-4941</v>
      </c>
    </row>
    <row r="676" spans="1:22">
      <c r="A676" s="54">
        <v>97501</v>
      </c>
      <c r="B676" s="55" t="s">
        <v>2052</v>
      </c>
      <c r="C676" s="106">
        <v>9.6730000000000004E-4</v>
      </c>
      <c r="D676" s="106">
        <v>9.7659999999999999E-4</v>
      </c>
      <c r="E676" s="56">
        <v>413876.56</v>
      </c>
      <c r="F676" s="56">
        <v>438292</v>
      </c>
      <c r="G676" s="56">
        <v>2052935</v>
      </c>
      <c r="H676" s="56"/>
      <c r="I676" s="57">
        <v>38571</v>
      </c>
      <c r="J676" s="57">
        <v>1799025</v>
      </c>
      <c r="K676" s="57">
        <v>140608</v>
      </c>
      <c r="L676" s="56">
        <v>45898</v>
      </c>
      <c r="M676" s="56"/>
      <c r="N676" s="57">
        <v>71937</v>
      </c>
      <c r="O676" s="57">
        <v>664011</v>
      </c>
      <c r="P676" s="57">
        <v>0</v>
      </c>
      <c r="Q676" s="56">
        <v>0</v>
      </c>
      <c r="R676" s="57">
        <f t="shared" si="10"/>
        <v>1135014</v>
      </c>
      <c r="S676" s="56"/>
      <c r="T676" s="57">
        <v>548719</v>
      </c>
      <c r="U676" s="58">
        <v>19873</v>
      </c>
      <c r="V676" s="58">
        <v>568592</v>
      </c>
    </row>
    <row r="677" spans="1:22">
      <c r="A677" s="54">
        <v>97511</v>
      </c>
      <c r="B677" s="55" t="s">
        <v>2053</v>
      </c>
      <c r="C677" s="106">
        <v>2.3220000000000001E-4</v>
      </c>
      <c r="D677" s="106">
        <v>2.1719999999999999E-4</v>
      </c>
      <c r="E677" s="56">
        <v>97777.06</v>
      </c>
      <c r="F677" s="56">
        <v>97478</v>
      </c>
      <c r="G677" s="56">
        <v>492806</v>
      </c>
      <c r="H677" s="56"/>
      <c r="I677" s="57">
        <v>9259</v>
      </c>
      <c r="J677" s="57">
        <v>431855</v>
      </c>
      <c r="K677" s="57">
        <v>33753</v>
      </c>
      <c r="L677" s="56">
        <v>10778</v>
      </c>
      <c r="M677" s="56"/>
      <c r="N677" s="57">
        <v>17268</v>
      </c>
      <c r="O677" s="57">
        <v>159396</v>
      </c>
      <c r="P677" s="57">
        <v>0</v>
      </c>
      <c r="Q677" s="56">
        <v>1307</v>
      </c>
      <c r="R677" s="57">
        <f t="shared" si="10"/>
        <v>272459</v>
      </c>
      <c r="S677" s="56"/>
      <c r="T677" s="57">
        <v>131720</v>
      </c>
      <c r="U677" s="58">
        <v>2532</v>
      </c>
      <c r="V677" s="58">
        <v>134252</v>
      </c>
    </row>
    <row r="678" spans="1:22">
      <c r="A678" s="54">
        <v>97521</v>
      </c>
      <c r="B678" s="55" t="s">
        <v>2054</v>
      </c>
      <c r="C678" s="106">
        <v>1.293E-4</v>
      </c>
      <c r="D678" s="106">
        <v>1.404E-4</v>
      </c>
      <c r="E678" s="56">
        <v>48146.35</v>
      </c>
      <c r="F678" s="56">
        <v>63011</v>
      </c>
      <c r="G678" s="56">
        <v>274418</v>
      </c>
      <c r="H678" s="56"/>
      <c r="I678" s="57">
        <v>5156</v>
      </c>
      <c r="J678" s="57">
        <v>240478</v>
      </c>
      <c r="K678" s="57">
        <v>18795</v>
      </c>
      <c r="L678" s="56">
        <v>4401.88</v>
      </c>
      <c r="M678" s="56"/>
      <c r="N678" s="57">
        <v>9616</v>
      </c>
      <c r="O678" s="57">
        <v>88759</v>
      </c>
      <c r="P678" s="57">
        <v>0</v>
      </c>
      <c r="Q678" s="56">
        <v>17530</v>
      </c>
      <c r="R678" s="57">
        <f t="shared" si="10"/>
        <v>151719</v>
      </c>
      <c r="S678" s="56"/>
      <c r="T678" s="57">
        <v>73348</v>
      </c>
      <c r="U678" s="58">
        <v>-3048</v>
      </c>
      <c r="V678" s="58">
        <v>70299</v>
      </c>
    </row>
    <row r="679" spans="1:22">
      <c r="A679" s="54">
        <v>97531</v>
      </c>
      <c r="B679" s="55" t="s">
        <v>2055</v>
      </c>
      <c r="C679" s="106">
        <v>3.6300000000000001E-5</v>
      </c>
      <c r="D679" s="106">
        <v>3.5099999999999999E-5</v>
      </c>
      <c r="E679" s="56">
        <v>18181.670000000002</v>
      </c>
      <c r="F679" s="56">
        <v>15753</v>
      </c>
      <c r="G679" s="56">
        <v>77041</v>
      </c>
      <c r="H679" s="56"/>
      <c r="I679" s="57">
        <v>1447</v>
      </c>
      <c r="J679" s="57">
        <v>67512</v>
      </c>
      <c r="K679" s="57">
        <v>5277</v>
      </c>
      <c r="L679" s="56">
        <v>3234</v>
      </c>
      <c r="M679" s="56"/>
      <c r="N679" s="57">
        <v>2700</v>
      </c>
      <c r="O679" s="57">
        <v>24918</v>
      </c>
      <c r="P679" s="57">
        <v>0</v>
      </c>
      <c r="Q679" s="56">
        <v>14595</v>
      </c>
      <c r="R679" s="57">
        <f t="shared" si="10"/>
        <v>42594</v>
      </c>
      <c r="S679" s="56"/>
      <c r="T679" s="57">
        <v>20592</v>
      </c>
      <c r="U679" s="58">
        <v>-4705</v>
      </c>
      <c r="V679" s="58">
        <v>15887</v>
      </c>
    </row>
    <row r="680" spans="1:22">
      <c r="A680" s="54">
        <v>97601</v>
      </c>
      <c r="B680" s="55" t="s">
        <v>2056</v>
      </c>
      <c r="C680" s="106">
        <v>4.7808E-3</v>
      </c>
      <c r="D680" s="106">
        <v>4.8238999999999999E-3</v>
      </c>
      <c r="E680" s="56">
        <v>1911817.8699999999</v>
      </c>
      <c r="F680" s="56">
        <v>2164937</v>
      </c>
      <c r="G680" s="56">
        <v>10146459</v>
      </c>
      <c r="H680" s="56"/>
      <c r="I680" s="57">
        <v>190634.4</v>
      </c>
      <c r="J680" s="57">
        <v>8891533</v>
      </c>
      <c r="K680" s="57">
        <v>694942</v>
      </c>
      <c r="L680" s="56">
        <v>0</v>
      </c>
      <c r="M680" s="56"/>
      <c r="N680" s="57">
        <v>355543</v>
      </c>
      <c r="O680" s="57">
        <v>3281818</v>
      </c>
      <c r="P680" s="57">
        <v>0</v>
      </c>
      <c r="Q680" s="56">
        <v>137509</v>
      </c>
      <c r="R680" s="57">
        <f t="shared" si="10"/>
        <v>5609715</v>
      </c>
      <c r="S680" s="56"/>
      <c r="T680" s="57">
        <v>2712000</v>
      </c>
      <c r="U680" s="58">
        <v>-46067</v>
      </c>
      <c r="V680" s="58">
        <v>2665933</v>
      </c>
    </row>
    <row r="681" spans="1:22">
      <c r="A681" s="54">
        <v>97607</v>
      </c>
      <c r="B681" s="55" t="s">
        <v>2057</v>
      </c>
      <c r="C681" s="106">
        <v>1.9199999999999999E-5</v>
      </c>
      <c r="D681" s="106">
        <v>2.27E-5</v>
      </c>
      <c r="E681" s="56">
        <v>13222.63</v>
      </c>
      <c r="F681" s="56">
        <v>10188</v>
      </c>
      <c r="G681" s="56">
        <v>40749</v>
      </c>
      <c r="H681" s="56"/>
      <c r="I681" s="57">
        <v>766</v>
      </c>
      <c r="J681" s="57">
        <v>35709</v>
      </c>
      <c r="K681" s="57">
        <v>2791</v>
      </c>
      <c r="L681" s="56">
        <v>8819</v>
      </c>
      <c r="M681" s="56"/>
      <c r="N681" s="57">
        <v>1428</v>
      </c>
      <c r="O681" s="57">
        <v>13180</v>
      </c>
      <c r="P681" s="57">
        <v>0</v>
      </c>
      <c r="Q681" s="56">
        <v>0</v>
      </c>
      <c r="R681" s="57">
        <f t="shared" si="10"/>
        <v>22529</v>
      </c>
      <c r="S681" s="56"/>
      <c r="T681" s="57">
        <v>10892</v>
      </c>
      <c r="U681" s="58">
        <v>3435</v>
      </c>
      <c r="V681" s="58">
        <v>14327</v>
      </c>
    </row>
    <row r="682" spans="1:22">
      <c r="A682" s="54">
        <v>97611</v>
      </c>
      <c r="B682" s="55" t="s">
        <v>2058</v>
      </c>
      <c r="C682" s="106">
        <v>2.5750999999999999E-3</v>
      </c>
      <c r="D682" s="106">
        <v>2.7582000000000001E-3</v>
      </c>
      <c r="E682" s="56">
        <v>984035.03</v>
      </c>
      <c r="F682" s="56">
        <v>1237864</v>
      </c>
      <c r="G682" s="56">
        <v>5465225</v>
      </c>
      <c r="H682" s="56"/>
      <c r="I682" s="57">
        <v>102682</v>
      </c>
      <c r="J682" s="57">
        <v>4789279</v>
      </c>
      <c r="K682" s="57">
        <v>374319</v>
      </c>
      <c r="L682" s="56">
        <v>0</v>
      </c>
      <c r="M682" s="56"/>
      <c r="N682" s="57">
        <v>191508</v>
      </c>
      <c r="O682" s="57">
        <v>1767698</v>
      </c>
      <c r="P682" s="57">
        <v>0</v>
      </c>
      <c r="Q682" s="56">
        <v>281180</v>
      </c>
      <c r="R682" s="57">
        <f t="shared" si="10"/>
        <v>3021581</v>
      </c>
      <c r="S682" s="56"/>
      <c r="T682" s="57">
        <v>1460774</v>
      </c>
      <c r="U682" s="58">
        <v>-93860</v>
      </c>
      <c r="V682" s="58">
        <v>1366915</v>
      </c>
    </row>
    <row r="683" spans="1:22">
      <c r="A683" s="54">
        <v>97613</v>
      </c>
      <c r="B683" s="55" t="s">
        <v>2059</v>
      </c>
      <c r="C683" s="106">
        <v>1.2459999999999999E-4</v>
      </c>
      <c r="D683" s="106">
        <v>1.21E-4</v>
      </c>
      <c r="E683" s="56">
        <v>55529.85</v>
      </c>
      <c r="F683" s="56">
        <v>54304</v>
      </c>
      <c r="G683" s="56">
        <v>264443</v>
      </c>
      <c r="H683" s="56"/>
      <c r="I683" s="57">
        <v>4968</v>
      </c>
      <c r="J683" s="57">
        <v>231736</v>
      </c>
      <c r="K683" s="57">
        <v>18112</v>
      </c>
      <c r="L683" s="56">
        <v>5357</v>
      </c>
      <c r="M683" s="56"/>
      <c r="N683" s="57">
        <v>9266</v>
      </c>
      <c r="O683" s="57">
        <v>85533</v>
      </c>
      <c r="P683" s="57">
        <v>0</v>
      </c>
      <c r="Q683" s="56">
        <v>5319</v>
      </c>
      <c r="R683" s="57">
        <f t="shared" si="10"/>
        <v>146203</v>
      </c>
      <c r="S683" s="56"/>
      <c r="T683" s="57">
        <v>70682</v>
      </c>
      <c r="U683" s="58">
        <v>-505</v>
      </c>
      <c r="V683" s="58">
        <v>70177</v>
      </c>
    </row>
    <row r="684" spans="1:22">
      <c r="A684" s="54">
        <v>97621</v>
      </c>
      <c r="B684" s="55" t="s">
        <v>2060</v>
      </c>
      <c r="C684" s="106">
        <v>4.7429999999999998E-4</v>
      </c>
      <c r="D684" s="106">
        <v>5.1290000000000005E-4</v>
      </c>
      <c r="E684" s="56">
        <v>166598.32</v>
      </c>
      <c r="F684" s="56">
        <v>230186</v>
      </c>
      <c r="G684" s="56">
        <v>1006623</v>
      </c>
      <c r="H684" s="56"/>
      <c r="I684" s="57">
        <v>18913</v>
      </c>
      <c r="J684" s="57">
        <v>882123</v>
      </c>
      <c r="K684" s="57">
        <v>68945</v>
      </c>
      <c r="L684" s="56">
        <v>24561</v>
      </c>
      <c r="M684" s="56"/>
      <c r="N684" s="57">
        <v>35273</v>
      </c>
      <c r="O684" s="57">
        <v>325587</v>
      </c>
      <c r="P684" s="57">
        <v>0</v>
      </c>
      <c r="Q684" s="56">
        <v>43510</v>
      </c>
      <c r="R684" s="57">
        <f t="shared" si="10"/>
        <v>556536</v>
      </c>
      <c r="S684" s="56"/>
      <c r="T684" s="57">
        <v>269056</v>
      </c>
      <c r="U684" s="58">
        <v>-2547</v>
      </c>
      <c r="V684" s="58">
        <v>266509</v>
      </c>
    </row>
    <row r="685" spans="1:22">
      <c r="A685" s="54">
        <v>97623</v>
      </c>
      <c r="B685" s="55" t="s">
        <v>2061</v>
      </c>
      <c r="C685" s="106">
        <v>2.9200000000000002E-5</v>
      </c>
      <c r="D685" s="106">
        <v>3.0000000000000001E-5</v>
      </c>
      <c r="E685" s="56">
        <v>14038.030000000002</v>
      </c>
      <c r="F685" s="56">
        <v>13463.82</v>
      </c>
      <c r="G685" s="56">
        <v>61972</v>
      </c>
      <c r="H685" s="56"/>
      <c r="I685" s="57">
        <v>1164</v>
      </c>
      <c r="J685" s="57">
        <v>54307</v>
      </c>
      <c r="K685" s="57">
        <v>4245</v>
      </c>
      <c r="L685" s="56">
        <v>10193</v>
      </c>
      <c r="M685" s="56"/>
      <c r="N685" s="57">
        <v>2172</v>
      </c>
      <c r="O685" s="57">
        <v>20045</v>
      </c>
      <c r="P685" s="57">
        <v>0</v>
      </c>
      <c r="Q685" s="56">
        <v>0</v>
      </c>
      <c r="R685" s="57">
        <f t="shared" si="10"/>
        <v>34262</v>
      </c>
      <c r="S685" s="56"/>
      <c r="T685" s="57">
        <v>16564</v>
      </c>
      <c r="U685" s="58">
        <v>3688</v>
      </c>
      <c r="V685" s="58">
        <v>20252</v>
      </c>
    </row>
    <row r="686" spans="1:22">
      <c r="A686" s="54">
        <v>97627</v>
      </c>
      <c r="B686" s="55" t="s">
        <v>2062</v>
      </c>
      <c r="C686" s="106">
        <v>1.0200000000000001E-5</v>
      </c>
      <c r="D686" s="106">
        <v>9.0999999999999993E-6</v>
      </c>
      <c r="E686" s="56">
        <v>4149.8899999999994</v>
      </c>
      <c r="F686" s="56">
        <v>4084</v>
      </c>
      <c r="G686" s="56">
        <v>21648</v>
      </c>
      <c r="H686" s="56"/>
      <c r="I686" s="57">
        <v>406.72500000000002</v>
      </c>
      <c r="J686" s="57">
        <v>18970</v>
      </c>
      <c r="K686" s="57">
        <v>1483</v>
      </c>
      <c r="L686" s="56">
        <v>942</v>
      </c>
      <c r="M686" s="56"/>
      <c r="N686" s="57">
        <v>759</v>
      </c>
      <c r="O686" s="57">
        <v>7002</v>
      </c>
      <c r="P686" s="57">
        <v>0</v>
      </c>
      <c r="Q686" s="56">
        <v>1562</v>
      </c>
      <c r="R686" s="57">
        <f t="shared" si="10"/>
        <v>11968</v>
      </c>
      <c r="S686" s="56"/>
      <c r="T686" s="57">
        <v>5786</v>
      </c>
      <c r="U686" s="58">
        <v>-217</v>
      </c>
      <c r="V686" s="58">
        <v>5570</v>
      </c>
    </row>
    <row r="687" spans="1:22">
      <c r="A687" s="54">
        <v>97631</v>
      </c>
      <c r="B687" s="55" t="s">
        <v>2063</v>
      </c>
      <c r="C687" s="106">
        <v>2.009E-4</v>
      </c>
      <c r="D687" s="106">
        <v>1.7239999999999999E-4</v>
      </c>
      <c r="E687" s="56">
        <v>69843.56</v>
      </c>
      <c r="F687" s="56">
        <v>77372</v>
      </c>
      <c r="G687" s="56">
        <v>426377</v>
      </c>
      <c r="H687" s="56"/>
      <c r="I687" s="57">
        <v>8011</v>
      </c>
      <c r="J687" s="57">
        <v>373642</v>
      </c>
      <c r="K687" s="57">
        <v>29203</v>
      </c>
      <c r="L687" s="56">
        <v>14802</v>
      </c>
      <c r="M687" s="56"/>
      <c r="N687" s="57">
        <v>14941</v>
      </c>
      <c r="O687" s="57">
        <v>137909</v>
      </c>
      <c r="P687" s="57">
        <v>0</v>
      </c>
      <c r="Q687" s="56">
        <v>0</v>
      </c>
      <c r="R687" s="57">
        <f t="shared" si="10"/>
        <v>235733</v>
      </c>
      <c r="S687" s="56"/>
      <c r="T687" s="57">
        <v>113964</v>
      </c>
      <c r="U687" s="58">
        <v>5491</v>
      </c>
      <c r="V687" s="58">
        <v>119456</v>
      </c>
    </row>
    <row r="688" spans="1:22">
      <c r="A688" s="54">
        <v>97637</v>
      </c>
      <c r="B688" s="55" t="s">
        <v>2064</v>
      </c>
      <c r="C688" s="106">
        <v>4.7999999999999998E-6</v>
      </c>
      <c r="D688" s="106">
        <v>6.1999999999999999E-6</v>
      </c>
      <c r="E688" s="56">
        <v>2878.4200000000005</v>
      </c>
      <c r="F688" s="56">
        <v>2783</v>
      </c>
      <c r="G688" s="56">
        <v>10187</v>
      </c>
      <c r="H688" s="56"/>
      <c r="I688" s="57">
        <v>191</v>
      </c>
      <c r="J688" s="57">
        <v>8927</v>
      </c>
      <c r="K688" s="57">
        <v>698</v>
      </c>
      <c r="L688" s="56">
        <v>655</v>
      </c>
      <c r="M688" s="56"/>
      <c r="N688" s="57">
        <v>357</v>
      </c>
      <c r="O688" s="57">
        <v>3295</v>
      </c>
      <c r="P688" s="57">
        <v>0</v>
      </c>
      <c r="Q688" s="56">
        <v>40</v>
      </c>
      <c r="R688" s="57">
        <f t="shared" si="10"/>
        <v>5632</v>
      </c>
      <c r="S688" s="56"/>
      <c r="T688" s="57">
        <v>2723</v>
      </c>
      <c r="U688" s="58">
        <v>244</v>
      </c>
      <c r="V688" s="58">
        <v>2967</v>
      </c>
    </row>
    <row r="689" spans="1:22">
      <c r="A689" s="54">
        <v>97641</v>
      </c>
      <c r="B689" s="55" t="s">
        <v>2065</v>
      </c>
      <c r="C689" s="106">
        <v>6.9999999999999994E-5</v>
      </c>
      <c r="D689" s="106">
        <v>5.3900000000000002E-5</v>
      </c>
      <c r="E689" s="56">
        <v>31635.049999999996</v>
      </c>
      <c r="F689" s="56">
        <v>24190</v>
      </c>
      <c r="G689" s="56">
        <v>148563</v>
      </c>
      <c r="H689" s="56"/>
      <c r="I689" s="57">
        <v>2791</v>
      </c>
      <c r="J689" s="57">
        <v>130189</v>
      </c>
      <c r="K689" s="57">
        <v>10175</v>
      </c>
      <c r="L689" s="56">
        <v>15548</v>
      </c>
      <c r="M689" s="56"/>
      <c r="N689" s="57">
        <v>5205.83</v>
      </c>
      <c r="O689" s="57">
        <v>48052.06</v>
      </c>
      <c r="P689" s="57">
        <v>0</v>
      </c>
      <c r="Q689" s="56">
        <v>5807</v>
      </c>
      <c r="R689" s="57">
        <f t="shared" si="10"/>
        <v>82136.94</v>
      </c>
      <c r="S689" s="56"/>
      <c r="T689" s="57">
        <v>39709</v>
      </c>
      <c r="U689" s="58">
        <v>1546</v>
      </c>
      <c r="V689" s="58">
        <v>41255</v>
      </c>
    </row>
    <row r="690" spans="1:22">
      <c r="A690" s="54">
        <v>97651</v>
      </c>
      <c r="B690" s="55" t="s">
        <v>2066</v>
      </c>
      <c r="C690" s="106">
        <v>5.1579999999999996E-4</v>
      </c>
      <c r="D690" s="106">
        <v>5.4140000000000004E-4</v>
      </c>
      <c r="E690" s="56">
        <v>190593.37</v>
      </c>
      <c r="F690" s="56">
        <v>242977</v>
      </c>
      <c r="G690" s="56">
        <v>1094700</v>
      </c>
      <c r="H690" s="56"/>
      <c r="I690" s="57">
        <v>20568</v>
      </c>
      <c r="J690" s="57">
        <v>959307</v>
      </c>
      <c r="K690" s="57">
        <v>74977</v>
      </c>
      <c r="L690" s="56">
        <v>4062</v>
      </c>
      <c r="M690" s="56"/>
      <c r="N690" s="57">
        <v>38360</v>
      </c>
      <c r="O690" s="57">
        <v>354075</v>
      </c>
      <c r="P690" s="57">
        <v>0</v>
      </c>
      <c r="Q690" s="56">
        <v>51828</v>
      </c>
      <c r="R690" s="57">
        <f t="shared" si="10"/>
        <v>605232</v>
      </c>
      <c r="S690" s="56"/>
      <c r="T690" s="57">
        <v>292597</v>
      </c>
      <c r="U690" s="58">
        <v>-17066</v>
      </c>
      <c r="V690" s="58">
        <v>275532</v>
      </c>
    </row>
    <row r="691" spans="1:22">
      <c r="A691" s="54">
        <v>97661</v>
      </c>
      <c r="B691" s="55" t="s">
        <v>2067</v>
      </c>
      <c r="C691" s="106">
        <v>4.3900000000000003E-5</v>
      </c>
      <c r="D691" s="106">
        <v>3.1999999999999999E-5</v>
      </c>
      <c r="E691" s="56">
        <v>18869.439999999999</v>
      </c>
      <c r="F691" s="56">
        <v>14361</v>
      </c>
      <c r="G691" s="56">
        <v>93171</v>
      </c>
      <c r="H691" s="56"/>
      <c r="I691" s="57">
        <v>1751</v>
      </c>
      <c r="J691" s="57">
        <v>81647</v>
      </c>
      <c r="K691" s="57">
        <v>6381</v>
      </c>
      <c r="L691" s="56">
        <v>12364</v>
      </c>
      <c r="M691" s="56"/>
      <c r="N691" s="57">
        <v>3265</v>
      </c>
      <c r="O691" s="57">
        <v>30136</v>
      </c>
      <c r="P691" s="57">
        <v>0</v>
      </c>
      <c r="Q691" s="56">
        <v>2964</v>
      </c>
      <c r="R691" s="57">
        <f t="shared" si="10"/>
        <v>51511</v>
      </c>
      <c r="S691" s="56"/>
      <c r="T691" s="57">
        <v>24903</v>
      </c>
      <c r="U691" s="58">
        <v>3435</v>
      </c>
      <c r="V691" s="58">
        <v>28338</v>
      </c>
    </row>
    <row r="692" spans="1:22">
      <c r="A692" s="54">
        <v>97701</v>
      </c>
      <c r="B692" s="55" t="s">
        <v>2068</v>
      </c>
      <c r="C692" s="106">
        <v>2.5081000000000001E-3</v>
      </c>
      <c r="D692" s="106">
        <v>2.4424999999999998E-3</v>
      </c>
      <c r="E692" s="56">
        <v>1011241.6699999999</v>
      </c>
      <c r="F692" s="56">
        <v>1096179</v>
      </c>
      <c r="G692" s="56">
        <v>5323028</v>
      </c>
      <c r="H692" s="56"/>
      <c r="I692" s="57">
        <v>100010</v>
      </c>
      <c r="J692" s="57">
        <v>4664670</v>
      </c>
      <c r="K692" s="57">
        <v>364580</v>
      </c>
      <c r="L692" s="56">
        <v>31450</v>
      </c>
      <c r="M692" s="56"/>
      <c r="N692" s="57">
        <v>186525</v>
      </c>
      <c r="O692" s="57">
        <v>1721705</v>
      </c>
      <c r="P692" s="57">
        <v>0</v>
      </c>
      <c r="Q692" s="56">
        <v>17434</v>
      </c>
      <c r="R692" s="57">
        <f t="shared" si="10"/>
        <v>2942965</v>
      </c>
      <c r="S692" s="56"/>
      <c r="T692" s="57">
        <v>1422767</v>
      </c>
      <c r="U692" s="58">
        <v>529</v>
      </c>
      <c r="V692" s="58">
        <v>1423296</v>
      </c>
    </row>
    <row r="693" spans="1:22">
      <c r="A693" s="54">
        <v>97705</v>
      </c>
      <c r="B693" s="55" t="s">
        <v>2069</v>
      </c>
      <c r="C693" s="106">
        <v>6.41E-5</v>
      </c>
      <c r="D693" s="106">
        <v>5.1700000000000003E-5</v>
      </c>
      <c r="E693" s="56">
        <v>21949.45</v>
      </c>
      <c r="F693" s="56">
        <v>23203</v>
      </c>
      <c r="G693" s="56">
        <v>136042</v>
      </c>
      <c r="H693" s="56"/>
      <c r="I693" s="57">
        <v>2556</v>
      </c>
      <c r="J693" s="57">
        <v>119216</v>
      </c>
      <c r="K693" s="57">
        <v>9318</v>
      </c>
      <c r="L693" s="56">
        <v>9600</v>
      </c>
      <c r="M693" s="56"/>
      <c r="N693" s="57">
        <v>4767</v>
      </c>
      <c r="O693" s="57">
        <v>44002</v>
      </c>
      <c r="P693" s="57">
        <v>0</v>
      </c>
      <c r="Q693" s="56">
        <v>3526</v>
      </c>
      <c r="R693" s="57">
        <f t="shared" si="10"/>
        <v>75214</v>
      </c>
      <c r="S693" s="56"/>
      <c r="T693" s="57">
        <v>36362</v>
      </c>
      <c r="U693" s="58">
        <v>2791</v>
      </c>
      <c r="V693" s="58">
        <v>39153</v>
      </c>
    </row>
    <row r="694" spans="1:22">
      <c r="A694" s="54">
        <v>97711</v>
      </c>
      <c r="B694" s="55" t="s">
        <v>2070</v>
      </c>
      <c r="C694" s="106">
        <v>9.3789999999999998E-4</v>
      </c>
      <c r="D694" s="106">
        <v>9.6489999999999998E-4</v>
      </c>
      <c r="E694" s="56">
        <v>373399.85</v>
      </c>
      <c r="F694" s="56">
        <v>433041</v>
      </c>
      <c r="G694" s="56">
        <v>1990538</v>
      </c>
      <c r="H694" s="56"/>
      <c r="I694" s="57">
        <v>37399</v>
      </c>
      <c r="J694" s="57">
        <v>1744346</v>
      </c>
      <c r="K694" s="57">
        <v>136334</v>
      </c>
      <c r="L694" s="56">
        <v>18485</v>
      </c>
      <c r="M694" s="56"/>
      <c r="N694" s="57">
        <v>69751</v>
      </c>
      <c r="O694" s="57">
        <v>643829</v>
      </c>
      <c r="P694" s="57">
        <v>0</v>
      </c>
      <c r="Q694" s="56">
        <v>24399</v>
      </c>
      <c r="R694" s="57">
        <f t="shared" si="10"/>
        <v>1100517</v>
      </c>
      <c r="S694" s="56"/>
      <c r="T694" s="57">
        <v>532042</v>
      </c>
      <c r="U694" s="58">
        <v>2197</v>
      </c>
      <c r="V694" s="58">
        <v>534239</v>
      </c>
    </row>
    <row r="695" spans="1:22">
      <c r="A695" s="54">
        <v>97713</v>
      </c>
      <c r="B695" s="55" t="s">
        <v>2071</v>
      </c>
      <c r="C695" s="106">
        <v>5.3699999999999997E-5</v>
      </c>
      <c r="D695" s="106">
        <v>5.5600000000000003E-5</v>
      </c>
      <c r="E695" s="56">
        <v>17632.46</v>
      </c>
      <c r="F695" s="56">
        <v>24953</v>
      </c>
      <c r="G695" s="56">
        <v>113969</v>
      </c>
      <c r="H695" s="56"/>
      <c r="I695" s="57">
        <v>2141</v>
      </c>
      <c r="J695" s="57">
        <v>99874</v>
      </c>
      <c r="K695" s="57">
        <v>7806</v>
      </c>
      <c r="L695" s="56">
        <v>1862.64</v>
      </c>
      <c r="M695" s="56"/>
      <c r="N695" s="57">
        <v>3994</v>
      </c>
      <c r="O695" s="57">
        <v>36863</v>
      </c>
      <c r="P695" s="57">
        <v>0</v>
      </c>
      <c r="Q695" s="56">
        <v>10607</v>
      </c>
      <c r="R695" s="57">
        <f t="shared" si="10"/>
        <v>63011</v>
      </c>
      <c r="S695" s="56"/>
      <c r="T695" s="57">
        <v>30462</v>
      </c>
      <c r="U695" s="58">
        <v>-2389</v>
      </c>
      <c r="V695" s="58">
        <v>28073</v>
      </c>
    </row>
    <row r="696" spans="1:22">
      <c r="A696" s="54">
        <v>97717</v>
      </c>
      <c r="B696" s="55" t="s">
        <v>2072</v>
      </c>
      <c r="C696" s="106">
        <v>7.5000000000000002E-6</v>
      </c>
      <c r="D696" s="106">
        <v>6.6000000000000003E-6</v>
      </c>
      <c r="E696" s="56">
        <v>4301.63</v>
      </c>
      <c r="F696" s="56">
        <v>2962</v>
      </c>
      <c r="G696" s="56">
        <v>15918</v>
      </c>
      <c r="H696" s="56"/>
      <c r="I696" s="57">
        <v>299.0625</v>
      </c>
      <c r="J696" s="57">
        <v>13949</v>
      </c>
      <c r="K696" s="57">
        <v>1090.2075</v>
      </c>
      <c r="L696" s="56">
        <v>1454</v>
      </c>
      <c r="M696" s="56"/>
      <c r="N696" s="57">
        <v>558</v>
      </c>
      <c r="O696" s="57">
        <v>5148</v>
      </c>
      <c r="P696" s="57">
        <v>0</v>
      </c>
      <c r="Q696" s="56">
        <v>3295</v>
      </c>
      <c r="R696" s="57">
        <f t="shared" si="10"/>
        <v>8801</v>
      </c>
      <c r="S696" s="56"/>
      <c r="T696" s="57">
        <v>4255</v>
      </c>
      <c r="U696" s="58">
        <v>-1145</v>
      </c>
      <c r="V696" s="58">
        <v>3109</v>
      </c>
    </row>
    <row r="697" spans="1:22">
      <c r="A697" s="54">
        <v>97721</v>
      </c>
      <c r="B697" s="55" t="s">
        <v>2073</v>
      </c>
      <c r="C697" s="106">
        <v>5.7249999999999998E-4</v>
      </c>
      <c r="D697" s="106">
        <v>5.2689999999999996E-4</v>
      </c>
      <c r="E697" s="56">
        <v>224528.03999999998</v>
      </c>
      <c r="F697" s="56">
        <v>236470</v>
      </c>
      <c r="G697" s="56">
        <v>1215037</v>
      </c>
      <c r="H697" s="56"/>
      <c r="I697" s="57">
        <v>22828.4375</v>
      </c>
      <c r="J697" s="57">
        <v>1064760</v>
      </c>
      <c r="K697" s="57">
        <v>83219</v>
      </c>
      <c r="L697" s="56">
        <v>19505</v>
      </c>
      <c r="M697" s="56"/>
      <c r="N697" s="57">
        <v>42576</v>
      </c>
      <c r="O697" s="57">
        <v>392997</v>
      </c>
      <c r="P697" s="57">
        <v>0</v>
      </c>
      <c r="Q697" s="56">
        <v>36721</v>
      </c>
      <c r="R697" s="57">
        <f t="shared" si="10"/>
        <v>671763</v>
      </c>
      <c r="S697" s="56"/>
      <c r="T697" s="57">
        <v>324762</v>
      </c>
      <c r="U697" s="58">
        <v>-7125</v>
      </c>
      <c r="V697" s="58">
        <v>317637</v>
      </c>
    </row>
    <row r="698" spans="1:22">
      <c r="A698" s="54">
        <v>97727</v>
      </c>
      <c r="B698" s="55" t="s">
        <v>2074</v>
      </c>
      <c r="C698" s="106">
        <v>2.37E-5</v>
      </c>
      <c r="D698" s="106">
        <v>2.5299999999999998E-5</v>
      </c>
      <c r="E698" s="56">
        <v>9369.1200000000008</v>
      </c>
      <c r="F698" s="56">
        <v>11354</v>
      </c>
      <c r="G698" s="56">
        <v>50299</v>
      </c>
      <c r="H698" s="56"/>
      <c r="I698" s="57">
        <v>945.03750000000002</v>
      </c>
      <c r="J698" s="57">
        <v>44078</v>
      </c>
      <c r="K698" s="57">
        <v>3445</v>
      </c>
      <c r="L698" s="56">
        <v>0</v>
      </c>
      <c r="M698" s="56"/>
      <c r="N698" s="57">
        <v>1763</v>
      </c>
      <c r="O698" s="57">
        <v>16269</v>
      </c>
      <c r="P698" s="57">
        <v>0</v>
      </c>
      <c r="Q698" s="56">
        <v>3253</v>
      </c>
      <c r="R698" s="57">
        <f t="shared" si="10"/>
        <v>27809</v>
      </c>
      <c r="S698" s="56"/>
      <c r="T698" s="57">
        <v>13444</v>
      </c>
      <c r="U698" s="58">
        <v>-1207</v>
      </c>
      <c r="V698" s="58">
        <v>12237</v>
      </c>
    </row>
    <row r="699" spans="1:22">
      <c r="A699" s="54">
        <v>97731</v>
      </c>
      <c r="B699" s="55" t="s">
        <v>2075</v>
      </c>
      <c r="C699" s="106">
        <v>3.7100000000000001E-5</v>
      </c>
      <c r="D699" s="106">
        <v>3.3599999999999997E-5</v>
      </c>
      <c r="E699" s="56">
        <v>17225.91</v>
      </c>
      <c r="F699" s="56">
        <v>15079</v>
      </c>
      <c r="G699" s="56">
        <v>78739</v>
      </c>
      <c r="H699" s="56"/>
      <c r="I699" s="57">
        <v>1479</v>
      </c>
      <c r="J699" s="57">
        <v>69000</v>
      </c>
      <c r="K699" s="57">
        <v>5393</v>
      </c>
      <c r="L699" s="56">
        <v>8501</v>
      </c>
      <c r="M699" s="56"/>
      <c r="N699" s="57">
        <v>2759</v>
      </c>
      <c r="O699" s="57">
        <v>25468</v>
      </c>
      <c r="P699" s="57">
        <v>0</v>
      </c>
      <c r="Q699" s="56">
        <v>0</v>
      </c>
      <c r="R699" s="57">
        <f t="shared" si="10"/>
        <v>43532</v>
      </c>
      <c r="S699" s="56"/>
      <c r="T699" s="57">
        <v>21046</v>
      </c>
      <c r="U699" s="58">
        <v>2797</v>
      </c>
      <c r="V699" s="58">
        <v>23843</v>
      </c>
    </row>
    <row r="700" spans="1:22">
      <c r="A700" s="54">
        <v>97801</v>
      </c>
      <c r="B700" s="55" t="s">
        <v>2297</v>
      </c>
      <c r="C700" s="106">
        <v>7.3343000000000002E-3</v>
      </c>
      <c r="D700" s="106">
        <v>7.4117999999999996E-3</v>
      </c>
      <c r="E700" s="56">
        <v>2930301.9699999993</v>
      </c>
      <c r="F700" s="56">
        <v>3326371</v>
      </c>
      <c r="G700" s="56">
        <v>15565842</v>
      </c>
      <c r="H700" s="56"/>
      <c r="I700" s="57">
        <v>292455</v>
      </c>
      <c r="J700" s="57">
        <v>13640639</v>
      </c>
      <c r="K700" s="57">
        <v>1066121</v>
      </c>
      <c r="L700" s="56">
        <v>55808</v>
      </c>
      <c r="M700" s="56"/>
      <c r="N700" s="57">
        <v>545445</v>
      </c>
      <c r="O700" s="57">
        <v>5034689</v>
      </c>
      <c r="P700" s="57">
        <v>0</v>
      </c>
      <c r="Q700" s="56">
        <v>191858</v>
      </c>
      <c r="R700" s="57">
        <f t="shared" si="10"/>
        <v>8605950</v>
      </c>
      <c r="S700" s="56"/>
      <c r="T700" s="57">
        <v>4160521</v>
      </c>
      <c r="U700" s="58">
        <v>-29463</v>
      </c>
      <c r="V700" s="58">
        <v>4131058</v>
      </c>
    </row>
    <row r="701" spans="1:22">
      <c r="A701" s="54">
        <v>97802</v>
      </c>
      <c r="B701" s="55" t="s">
        <v>2077</v>
      </c>
      <c r="C701" s="106">
        <v>1.8120000000000001E-4</v>
      </c>
      <c r="D701" s="106">
        <v>1.8599999999999999E-4</v>
      </c>
      <c r="E701" s="56">
        <v>74110.990000000005</v>
      </c>
      <c r="F701" s="56">
        <v>83476</v>
      </c>
      <c r="G701" s="56">
        <v>384567</v>
      </c>
      <c r="H701" s="56"/>
      <c r="I701" s="57">
        <v>7225.35</v>
      </c>
      <c r="J701" s="57">
        <v>337003</v>
      </c>
      <c r="K701" s="57">
        <v>26339</v>
      </c>
      <c r="L701" s="56">
        <v>19490</v>
      </c>
      <c r="M701" s="56"/>
      <c r="N701" s="57">
        <v>13476</v>
      </c>
      <c r="O701" s="57">
        <v>124386</v>
      </c>
      <c r="P701" s="57">
        <v>0</v>
      </c>
      <c r="Q701" s="56">
        <v>22046</v>
      </c>
      <c r="R701" s="57">
        <f t="shared" si="10"/>
        <v>212617</v>
      </c>
      <c r="S701" s="56"/>
      <c r="T701" s="57">
        <v>102789</v>
      </c>
      <c r="U701" s="58">
        <v>2255</v>
      </c>
      <c r="V701" s="58">
        <v>105045</v>
      </c>
    </row>
    <row r="702" spans="1:22">
      <c r="A702" s="54">
        <v>97803</v>
      </c>
      <c r="B702" s="55" t="s">
        <v>2078</v>
      </c>
      <c r="C702" s="106">
        <v>7.9099999999999998E-5</v>
      </c>
      <c r="D702" s="106">
        <v>7.6600000000000005E-5</v>
      </c>
      <c r="E702" s="56">
        <v>33622</v>
      </c>
      <c r="F702" s="56">
        <v>34378</v>
      </c>
      <c r="G702" s="56">
        <v>167877</v>
      </c>
      <c r="H702" s="56"/>
      <c r="I702" s="57">
        <v>3154</v>
      </c>
      <c r="J702" s="57">
        <v>147114</v>
      </c>
      <c r="K702" s="57">
        <v>11498</v>
      </c>
      <c r="L702" s="56">
        <v>9364</v>
      </c>
      <c r="M702" s="56"/>
      <c r="N702" s="57">
        <v>5883</v>
      </c>
      <c r="O702" s="57">
        <v>54299</v>
      </c>
      <c r="P702" s="57">
        <v>0</v>
      </c>
      <c r="Q702" s="56">
        <v>2358</v>
      </c>
      <c r="R702" s="57">
        <f t="shared" si="10"/>
        <v>92815</v>
      </c>
      <c r="S702" s="56"/>
      <c r="T702" s="57">
        <v>44871</v>
      </c>
      <c r="U702" s="58">
        <v>3329</v>
      </c>
      <c r="V702" s="58">
        <v>48200</v>
      </c>
    </row>
    <row r="703" spans="1:22">
      <c r="A703" s="54">
        <v>97805</v>
      </c>
      <c r="B703" s="55" t="s">
        <v>2079</v>
      </c>
      <c r="C703" s="106">
        <v>8.2600000000000002E-5</v>
      </c>
      <c r="D703" s="106">
        <v>6.7700000000000006E-5</v>
      </c>
      <c r="E703" s="56">
        <v>34033.410000000003</v>
      </c>
      <c r="F703" s="56">
        <v>30383</v>
      </c>
      <c r="G703" s="56">
        <v>175305</v>
      </c>
      <c r="H703" s="56"/>
      <c r="I703" s="57">
        <v>3294</v>
      </c>
      <c r="J703" s="57">
        <v>153623</v>
      </c>
      <c r="K703" s="57">
        <v>12007</v>
      </c>
      <c r="L703" s="56">
        <v>13426</v>
      </c>
      <c r="M703" s="56"/>
      <c r="N703" s="57">
        <v>6143</v>
      </c>
      <c r="O703" s="57">
        <v>56701</v>
      </c>
      <c r="P703" s="57">
        <v>0</v>
      </c>
      <c r="Q703" s="56">
        <v>453.72</v>
      </c>
      <c r="R703" s="57">
        <f t="shared" si="10"/>
        <v>96922</v>
      </c>
      <c r="S703" s="56"/>
      <c r="T703" s="57">
        <v>46856</v>
      </c>
      <c r="U703" s="58">
        <v>3757</v>
      </c>
      <c r="V703" s="58">
        <v>50613</v>
      </c>
    </row>
    <row r="704" spans="1:22">
      <c r="A704" s="54">
        <v>97811</v>
      </c>
      <c r="B704" s="55" t="s">
        <v>2080</v>
      </c>
      <c r="C704" s="106">
        <v>2.4088E-3</v>
      </c>
      <c r="D704" s="106">
        <v>2.5788E-3</v>
      </c>
      <c r="E704" s="56">
        <v>950193.23999999987</v>
      </c>
      <c r="F704" s="56">
        <v>1157350</v>
      </c>
      <c r="G704" s="56">
        <v>5112281</v>
      </c>
      <c r="H704" s="56"/>
      <c r="I704" s="57">
        <v>96050.9</v>
      </c>
      <c r="J704" s="57">
        <v>4479987</v>
      </c>
      <c r="K704" s="57">
        <v>350146</v>
      </c>
      <c r="L704" s="56">
        <v>0</v>
      </c>
      <c r="M704" s="56"/>
      <c r="N704" s="57">
        <v>179140</v>
      </c>
      <c r="O704" s="57">
        <v>1653540</v>
      </c>
      <c r="P704" s="57">
        <v>0</v>
      </c>
      <c r="Q704" s="56">
        <v>235946</v>
      </c>
      <c r="R704" s="57">
        <f t="shared" si="10"/>
        <v>2826447</v>
      </c>
      <c r="S704" s="56"/>
      <c r="T704" s="57">
        <v>1366438</v>
      </c>
      <c r="U704" s="58">
        <v>-72994</v>
      </c>
      <c r="V704" s="58">
        <v>1293444</v>
      </c>
    </row>
    <row r="705" spans="1:22">
      <c r="A705" s="54">
        <v>97817</v>
      </c>
      <c r="B705" s="55" t="s">
        <v>2081</v>
      </c>
      <c r="C705" s="106">
        <v>3.9999999999999998E-6</v>
      </c>
      <c r="D705" s="106">
        <v>7.0999999999999998E-6</v>
      </c>
      <c r="E705" s="56">
        <v>7287.0899999999992</v>
      </c>
      <c r="F705" s="56">
        <v>3186</v>
      </c>
      <c r="G705" s="56">
        <v>8489.34</v>
      </c>
      <c r="H705" s="56"/>
      <c r="I705" s="57">
        <v>159.5</v>
      </c>
      <c r="J705" s="57">
        <v>7439</v>
      </c>
      <c r="K705" s="57">
        <v>581</v>
      </c>
      <c r="L705" s="56">
        <v>4157</v>
      </c>
      <c r="M705" s="56"/>
      <c r="N705" s="57">
        <v>297</v>
      </c>
      <c r="O705" s="57">
        <v>2746</v>
      </c>
      <c r="P705" s="57">
        <v>0</v>
      </c>
      <c r="Q705" s="56">
        <v>3747</v>
      </c>
      <c r="R705" s="57">
        <f t="shared" si="10"/>
        <v>4693</v>
      </c>
      <c r="S705" s="56"/>
      <c r="T705" s="57">
        <v>2269</v>
      </c>
      <c r="U705" s="58">
        <v>78</v>
      </c>
      <c r="V705" s="58">
        <v>2347</v>
      </c>
    </row>
    <row r="706" spans="1:22">
      <c r="A706" s="54">
        <v>97818</v>
      </c>
      <c r="B706" s="55" t="s">
        <v>2082</v>
      </c>
      <c r="C706" s="106">
        <v>2.12E-5</v>
      </c>
      <c r="D706" s="106">
        <v>8.3999999999999992E-6</v>
      </c>
      <c r="E706" s="56">
        <v>8689.8200000000015</v>
      </c>
      <c r="F706" s="56">
        <v>3770</v>
      </c>
      <c r="G706" s="56">
        <v>44994</v>
      </c>
      <c r="H706" s="56"/>
      <c r="I706" s="57">
        <v>845.35</v>
      </c>
      <c r="J706" s="57">
        <v>39429</v>
      </c>
      <c r="K706" s="57">
        <v>3082</v>
      </c>
      <c r="L706" s="56">
        <v>8112</v>
      </c>
      <c r="M706" s="56"/>
      <c r="N706" s="57">
        <v>1577</v>
      </c>
      <c r="O706" s="57">
        <v>14553</v>
      </c>
      <c r="P706" s="57">
        <v>0</v>
      </c>
      <c r="Q706" s="56">
        <v>4294.42</v>
      </c>
      <c r="R706" s="57">
        <f t="shared" si="10"/>
        <v>24876</v>
      </c>
      <c r="S706" s="56"/>
      <c r="T706" s="57">
        <v>12026</v>
      </c>
      <c r="U706" s="58">
        <v>58</v>
      </c>
      <c r="V706" s="58">
        <v>12084</v>
      </c>
    </row>
    <row r="707" spans="1:22">
      <c r="A707" s="54">
        <v>97821</v>
      </c>
      <c r="B707" s="55" t="s">
        <v>2083</v>
      </c>
      <c r="C707" s="106">
        <v>1.1620000000000001E-4</v>
      </c>
      <c r="D707" s="106">
        <v>1.3329999999999999E-4</v>
      </c>
      <c r="E707" s="56">
        <v>52013.57</v>
      </c>
      <c r="F707" s="56">
        <v>59824</v>
      </c>
      <c r="G707" s="56">
        <v>246615</v>
      </c>
      <c r="H707" s="56"/>
      <c r="I707" s="57">
        <v>4633</v>
      </c>
      <c r="J707" s="57">
        <v>216114</v>
      </c>
      <c r="K707" s="57">
        <v>16891</v>
      </c>
      <c r="L707" s="56">
        <v>0</v>
      </c>
      <c r="M707" s="56"/>
      <c r="N707" s="57">
        <v>8642</v>
      </c>
      <c r="O707" s="57">
        <v>79766</v>
      </c>
      <c r="P707" s="57">
        <v>0</v>
      </c>
      <c r="Q707" s="56">
        <v>26909</v>
      </c>
      <c r="R707" s="57">
        <f t="shared" si="10"/>
        <v>136348</v>
      </c>
      <c r="S707" s="56"/>
      <c r="T707" s="57">
        <v>65917</v>
      </c>
      <c r="U707" s="58">
        <v>-10681</v>
      </c>
      <c r="V707" s="58">
        <v>55236</v>
      </c>
    </row>
    <row r="708" spans="1:22">
      <c r="A708" s="54">
        <v>97823</v>
      </c>
      <c r="B708" s="55" t="s">
        <v>2084</v>
      </c>
      <c r="C708" s="106">
        <v>2.4600000000000002E-5</v>
      </c>
      <c r="D708" s="106">
        <v>2.58E-5</v>
      </c>
      <c r="E708" s="56">
        <v>11852.430000000002</v>
      </c>
      <c r="F708" s="56">
        <v>11579</v>
      </c>
      <c r="G708" s="56">
        <v>52209</v>
      </c>
      <c r="H708" s="56"/>
      <c r="I708" s="57">
        <v>981</v>
      </c>
      <c r="J708" s="57">
        <v>45752</v>
      </c>
      <c r="K708" s="57">
        <v>3576</v>
      </c>
      <c r="L708" s="56">
        <v>926</v>
      </c>
      <c r="M708" s="56"/>
      <c r="N708" s="57">
        <v>1829</v>
      </c>
      <c r="O708" s="57">
        <v>16887</v>
      </c>
      <c r="P708" s="57">
        <v>0</v>
      </c>
      <c r="Q708" s="56">
        <v>1188</v>
      </c>
      <c r="R708" s="57">
        <f t="shared" si="10"/>
        <v>28865</v>
      </c>
      <c r="S708" s="56"/>
      <c r="T708" s="57">
        <v>13955</v>
      </c>
      <c r="U708" s="58">
        <v>-338</v>
      </c>
      <c r="V708" s="58">
        <v>13616</v>
      </c>
    </row>
    <row r="709" spans="1:22">
      <c r="A709" s="54">
        <v>97831</v>
      </c>
      <c r="B709" s="55" t="s">
        <v>2085</v>
      </c>
      <c r="C709" s="106">
        <v>1.482E-4</v>
      </c>
      <c r="D709" s="106">
        <v>1.5860000000000001E-4</v>
      </c>
      <c r="E709" s="56">
        <v>66463.330000000016</v>
      </c>
      <c r="F709" s="56">
        <v>71179</v>
      </c>
      <c r="G709" s="56">
        <v>314530</v>
      </c>
      <c r="H709" s="56"/>
      <c r="I709" s="57">
        <v>5909</v>
      </c>
      <c r="J709" s="57">
        <v>275629</v>
      </c>
      <c r="K709" s="57">
        <v>21543</v>
      </c>
      <c r="L709" s="56">
        <v>0</v>
      </c>
      <c r="M709" s="56"/>
      <c r="N709" s="57">
        <v>11021</v>
      </c>
      <c r="O709" s="57">
        <v>101733</v>
      </c>
      <c r="P709" s="57">
        <v>0</v>
      </c>
      <c r="Q709" s="56">
        <v>14308</v>
      </c>
      <c r="R709" s="57">
        <f t="shared" si="10"/>
        <v>173896</v>
      </c>
      <c r="S709" s="56"/>
      <c r="T709" s="57">
        <v>84069</v>
      </c>
      <c r="U709" s="58">
        <v>-5891</v>
      </c>
      <c r="V709" s="58">
        <v>78179</v>
      </c>
    </row>
    <row r="710" spans="1:22">
      <c r="A710" s="54">
        <v>97837</v>
      </c>
      <c r="B710" s="55" t="s">
        <v>2086</v>
      </c>
      <c r="C710" s="106">
        <v>8.8000000000000004E-6</v>
      </c>
      <c r="D710" s="106">
        <v>1.3699999999999999E-5</v>
      </c>
      <c r="E710" s="56">
        <v>6597.01</v>
      </c>
      <c r="F710" s="56">
        <v>6148</v>
      </c>
      <c r="G710" s="56">
        <v>18677</v>
      </c>
      <c r="H710" s="56"/>
      <c r="I710" s="57">
        <v>351</v>
      </c>
      <c r="J710" s="57">
        <v>16367</v>
      </c>
      <c r="K710" s="57">
        <v>1279</v>
      </c>
      <c r="L710" s="56">
        <v>2093</v>
      </c>
      <c r="M710" s="56"/>
      <c r="N710" s="57">
        <v>654</v>
      </c>
      <c r="O710" s="57">
        <v>6041</v>
      </c>
      <c r="P710" s="57">
        <v>0</v>
      </c>
      <c r="Q710" s="56">
        <v>289</v>
      </c>
      <c r="R710" s="57">
        <f t="shared" si="10"/>
        <v>10326</v>
      </c>
      <c r="S710" s="56"/>
      <c r="T710" s="57">
        <v>4992</v>
      </c>
      <c r="U710" s="58">
        <v>751</v>
      </c>
      <c r="V710" s="58">
        <v>5743</v>
      </c>
    </row>
    <row r="711" spans="1:22">
      <c r="A711" s="54">
        <v>97840</v>
      </c>
      <c r="B711" s="55" t="s">
        <v>2087</v>
      </c>
      <c r="C711" s="106">
        <v>1.403E-4</v>
      </c>
      <c r="D711" s="106">
        <v>1.4799999999999999E-4</v>
      </c>
      <c r="E711" s="56">
        <v>98734.69</v>
      </c>
      <c r="F711" s="56">
        <v>66422</v>
      </c>
      <c r="G711" s="56">
        <v>297764</v>
      </c>
      <c r="H711" s="56"/>
      <c r="I711" s="57">
        <v>5594</v>
      </c>
      <c r="J711" s="57">
        <v>260936</v>
      </c>
      <c r="K711" s="57">
        <v>20394</v>
      </c>
      <c r="L711" s="56">
        <v>64083</v>
      </c>
      <c r="M711" s="56"/>
      <c r="N711" s="57">
        <v>10434</v>
      </c>
      <c r="O711" s="57">
        <v>96310</v>
      </c>
      <c r="P711" s="57">
        <v>0</v>
      </c>
      <c r="Q711" s="56">
        <v>1938</v>
      </c>
      <c r="R711" s="57">
        <f t="shared" ref="R711:R774" si="11">IF(J711&gt;O711,J711-O711,O711-J711)</f>
        <v>164626</v>
      </c>
      <c r="S711" s="56"/>
      <c r="T711" s="57">
        <v>79588</v>
      </c>
      <c r="U711" s="58">
        <v>19035</v>
      </c>
      <c r="V711" s="58">
        <v>98623</v>
      </c>
    </row>
    <row r="712" spans="1:22">
      <c r="A712" s="54">
        <v>97841</v>
      </c>
      <c r="B712" s="55" t="s">
        <v>2088</v>
      </c>
      <c r="C712" s="106">
        <v>1.45E-5</v>
      </c>
      <c r="D712" s="106">
        <v>1.5699999999999999E-5</v>
      </c>
      <c r="E712" s="56">
        <v>6090.83</v>
      </c>
      <c r="F712" s="56">
        <v>7046</v>
      </c>
      <c r="G712" s="56">
        <v>30774</v>
      </c>
      <c r="H712" s="56"/>
      <c r="I712" s="57">
        <v>578.1875</v>
      </c>
      <c r="J712" s="57">
        <v>26968</v>
      </c>
      <c r="K712" s="57">
        <v>2108</v>
      </c>
      <c r="L712" s="56">
        <v>636</v>
      </c>
      <c r="M712" s="56"/>
      <c r="N712" s="57">
        <v>1078</v>
      </c>
      <c r="O712" s="57">
        <v>9954</v>
      </c>
      <c r="P712" s="57">
        <v>0</v>
      </c>
      <c r="Q712" s="56">
        <v>8091</v>
      </c>
      <c r="R712" s="57">
        <f t="shared" si="11"/>
        <v>17014</v>
      </c>
      <c r="S712" s="56"/>
      <c r="T712" s="57">
        <v>8225</v>
      </c>
      <c r="U712" s="58">
        <v>-3707</v>
      </c>
      <c r="V712" s="58">
        <v>4519</v>
      </c>
    </row>
    <row r="713" spans="1:22">
      <c r="A713" s="54">
        <v>97847</v>
      </c>
      <c r="B713" s="55" t="s">
        <v>2089</v>
      </c>
      <c r="C713" s="106">
        <v>2.2000000000000001E-6</v>
      </c>
      <c r="D713" s="106">
        <v>2.7E-6</v>
      </c>
      <c r="E713" s="56">
        <v>1833.5700000000002</v>
      </c>
      <c r="F713" s="56">
        <v>1212</v>
      </c>
      <c r="G713" s="56">
        <v>4669</v>
      </c>
      <c r="H713" s="56"/>
      <c r="I713" s="57">
        <v>88</v>
      </c>
      <c r="J713" s="57">
        <v>4092</v>
      </c>
      <c r="K713" s="57">
        <v>320</v>
      </c>
      <c r="L713" s="56">
        <v>650</v>
      </c>
      <c r="M713" s="56"/>
      <c r="N713" s="57">
        <v>164</v>
      </c>
      <c r="O713" s="57">
        <v>1510</v>
      </c>
      <c r="P713" s="57">
        <v>0</v>
      </c>
      <c r="Q713" s="56">
        <v>145</v>
      </c>
      <c r="R713" s="57">
        <f t="shared" si="11"/>
        <v>2582</v>
      </c>
      <c r="S713" s="56"/>
      <c r="T713" s="57">
        <v>1248</v>
      </c>
      <c r="U713" s="58">
        <v>113</v>
      </c>
      <c r="V713" s="58">
        <v>1361</v>
      </c>
    </row>
    <row r="714" spans="1:22">
      <c r="A714" s="54">
        <v>97851</v>
      </c>
      <c r="B714" s="55" t="s">
        <v>2090</v>
      </c>
      <c r="C714" s="106">
        <v>2.7460000000000001E-4</v>
      </c>
      <c r="D714" s="106">
        <v>2.7E-4</v>
      </c>
      <c r="E714" s="56">
        <v>101247.38999999998</v>
      </c>
      <c r="F714" s="56">
        <v>121174.38</v>
      </c>
      <c r="G714" s="56">
        <v>582793</v>
      </c>
      <c r="H714" s="56"/>
      <c r="I714" s="57">
        <v>10950</v>
      </c>
      <c r="J714" s="57">
        <v>510713</v>
      </c>
      <c r="K714" s="57">
        <v>39916</v>
      </c>
      <c r="L714" s="56">
        <v>2911</v>
      </c>
      <c r="M714" s="56"/>
      <c r="N714" s="57">
        <v>20422</v>
      </c>
      <c r="O714" s="57">
        <v>188501</v>
      </c>
      <c r="P714" s="57">
        <v>0</v>
      </c>
      <c r="Q714" s="56">
        <v>8317</v>
      </c>
      <c r="R714" s="57">
        <f t="shared" si="11"/>
        <v>322212</v>
      </c>
      <c r="S714" s="56"/>
      <c r="T714" s="57">
        <v>155772</v>
      </c>
      <c r="U714" s="58">
        <v>-838</v>
      </c>
      <c r="V714" s="58">
        <v>154934</v>
      </c>
    </row>
    <row r="715" spans="1:22">
      <c r="A715" s="54">
        <v>97853</v>
      </c>
      <c r="B715" s="55" t="s">
        <v>2091</v>
      </c>
      <c r="C715" s="106">
        <v>9.1600000000000004E-5</v>
      </c>
      <c r="D715" s="106">
        <v>1.114E-4</v>
      </c>
      <c r="E715" s="56">
        <v>34606.629999999997</v>
      </c>
      <c r="F715" s="56">
        <v>49996</v>
      </c>
      <c r="G715" s="56">
        <v>194406</v>
      </c>
      <c r="H715" s="56"/>
      <c r="I715" s="57">
        <v>3652.55</v>
      </c>
      <c r="J715" s="57">
        <v>170362</v>
      </c>
      <c r="K715" s="57">
        <v>13315</v>
      </c>
      <c r="L715" s="56">
        <v>6323</v>
      </c>
      <c r="M715" s="56"/>
      <c r="N715" s="57">
        <v>6812</v>
      </c>
      <c r="O715" s="57">
        <v>62880</v>
      </c>
      <c r="P715" s="57">
        <v>0</v>
      </c>
      <c r="Q715" s="56">
        <v>13159</v>
      </c>
      <c r="R715" s="57">
        <f t="shared" si="11"/>
        <v>107482</v>
      </c>
      <c r="S715" s="56"/>
      <c r="T715" s="57">
        <v>51962</v>
      </c>
      <c r="U715" s="58">
        <v>-826</v>
      </c>
      <c r="V715" s="58">
        <v>51136</v>
      </c>
    </row>
    <row r="716" spans="1:22">
      <c r="A716" s="54">
        <v>97861</v>
      </c>
      <c r="B716" s="55" t="s">
        <v>2092</v>
      </c>
      <c r="C716" s="106">
        <v>6.8499999999999998E-5</v>
      </c>
      <c r="D716" s="106">
        <v>6.6799999999999997E-5</v>
      </c>
      <c r="E716" s="56">
        <v>25465.590000000004</v>
      </c>
      <c r="F716" s="56">
        <v>29979</v>
      </c>
      <c r="G716" s="56">
        <v>145380</v>
      </c>
      <c r="H716" s="56"/>
      <c r="I716" s="57">
        <v>2731.4375</v>
      </c>
      <c r="J716" s="57">
        <v>127399</v>
      </c>
      <c r="K716" s="57">
        <v>9957</v>
      </c>
      <c r="L716" s="56">
        <v>2745</v>
      </c>
      <c r="M716" s="56"/>
      <c r="N716" s="57">
        <v>5094</v>
      </c>
      <c r="O716" s="57">
        <v>47022</v>
      </c>
      <c r="P716" s="57">
        <v>0</v>
      </c>
      <c r="Q716" s="56">
        <v>8154</v>
      </c>
      <c r="R716" s="57">
        <f t="shared" si="11"/>
        <v>80377</v>
      </c>
      <c r="S716" s="56"/>
      <c r="T716" s="57">
        <v>38858</v>
      </c>
      <c r="U716" s="58">
        <v>-2826</v>
      </c>
      <c r="V716" s="58">
        <v>36032</v>
      </c>
    </row>
    <row r="717" spans="1:22">
      <c r="A717" s="54">
        <v>97871</v>
      </c>
      <c r="B717" s="55" t="s">
        <v>2093</v>
      </c>
      <c r="C717" s="106">
        <v>3.1500000000000001E-4</v>
      </c>
      <c r="D717" s="106">
        <v>3.1530000000000002E-4</v>
      </c>
      <c r="E717" s="56">
        <v>247765.79000000004</v>
      </c>
      <c r="F717" s="56">
        <v>141505</v>
      </c>
      <c r="G717" s="56">
        <v>668536</v>
      </c>
      <c r="H717" s="56"/>
      <c r="I717" s="57">
        <v>12560.625</v>
      </c>
      <c r="J717" s="57">
        <v>585850.23</v>
      </c>
      <c r="K717" s="57">
        <v>45789</v>
      </c>
      <c r="L717" s="56">
        <v>173467</v>
      </c>
      <c r="M717" s="56"/>
      <c r="N717" s="57">
        <v>23426</v>
      </c>
      <c r="O717" s="57">
        <v>216234</v>
      </c>
      <c r="P717" s="57">
        <v>0</v>
      </c>
      <c r="Q717" s="56">
        <v>0</v>
      </c>
      <c r="R717" s="57">
        <f t="shared" si="11"/>
        <v>369616.23</v>
      </c>
      <c r="S717" s="56"/>
      <c r="T717" s="57">
        <v>178690</v>
      </c>
      <c r="U717" s="58">
        <v>54798</v>
      </c>
      <c r="V717" s="58">
        <v>233488</v>
      </c>
    </row>
    <row r="718" spans="1:22">
      <c r="A718" s="54">
        <v>97877</v>
      </c>
      <c r="B718" s="55" t="s">
        <v>2094</v>
      </c>
      <c r="C718" s="106">
        <v>2.2000000000000001E-6</v>
      </c>
      <c r="D718" s="106">
        <v>2.6000000000000001E-6</v>
      </c>
      <c r="E718" s="56">
        <v>1917.4899999999998</v>
      </c>
      <c r="F718" s="56">
        <v>1167</v>
      </c>
      <c r="G718" s="56">
        <v>4669</v>
      </c>
      <c r="H718" s="56"/>
      <c r="I718" s="57">
        <v>88</v>
      </c>
      <c r="J718" s="57">
        <v>4092</v>
      </c>
      <c r="K718" s="57">
        <v>320</v>
      </c>
      <c r="L718" s="56">
        <v>1306</v>
      </c>
      <c r="M718" s="56"/>
      <c r="N718" s="57">
        <v>164</v>
      </c>
      <c r="O718" s="57">
        <v>1510</v>
      </c>
      <c r="P718" s="57">
        <v>0</v>
      </c>
      <c r="Q718" s="56">
        <v>0</v>
      </c>
      <c r="R718" s="57">
        <f t="shared" si="11"/>
        <v>2582</v>
      </c>
      <c r="S718" s="56"/>
      <c r="T718" s="57">
        <v>1248</v>
      </c>
      <c r="U718" s="58">
        <v>452</v>
      </c>
      <c r="V718" s="58">
        <v>1700</v>
      </c>
    </row>
    <row r="719" spans="1:22">
      <c r="A719" s="54">
        <v>97901</v>
      </c>
      <c r="B719" s="55" t="s">
        <v>2095</v>
      </c>
      <c r="C719" s="106">
        <v>4.3616999999999996E-3</v>
      </c>
      <c r="D719" s="106">
        <v>4.2928000000000003E-3</v>
      </c>
      <c r="E719" s="56">
        <v>1721465.11</v>
      </c>
      <c r="F719" s="56">
        <v>1926583</v>
      </c>
      <c r="G719" s="56">
        <v>9256989</v>
      </c>
      <c r="H719" s="56"/>
      <c r="I719" s="57">
        <v>173923</v>
      </c>
      <c r="J719" s="57">
        <v>8112073</v>
      </c>
      <c r="K719" s="57">
        <v>634021</v>
      </c>
      <c r="L719" s="56">
        <v>76379</v>
      </c>
      <c r="M719" s="56"/>
      <c r="N719" s="57">
        <v>324375</v>
      </c>
      <c r="O719" s="57">
        <v>2994124</v>
      </c>
      <c r="P719" s="57">
        <v>0</v>
      </c>
      <c r="Q719" s="56">
        <v>20062</v>
      </c>
      <c r="R719" s="57">
        <f t="shared" si="11"/>
        <v>5117949</v>
      </c>
      <c r="S719" s="56"/>
      <c r="T719" s="57">
        <v>2474257</v>
      </c>
      <c r="U719" s="58">
        <v>24654</v>
      </c>
      <c r="V719" s="58">
        <v>2498911</v>
      </c>
    </row>
    <row r="720" spans="1:22">
      <c r="A720" s="54">
        <v>97911</v>
      </c>
      <c r="B720" s="55" t="s">
        <v>2096</v>
      </c>
      <c r="C720" s="106">
        <v>1.3190000000000001E-3</v>
      </c>
      <c r="D720" s="106">
        <v>1.4008E-3</v>
      </c>
      <c r="E720" s="56">
        <v>549902.35000000009</v>
      </c>
      <c r="F720" s="56">
        <v>628671</v>
      </c>
      <c r="G720" s="56">
        <v>2799360</v>
      </c>
      <c r="H720" s="56"/>
      <c r="I720" s="57">
        <v>52595.125</v>
      </c>
      <c r="J720" s="57">
        <v>2453132</v>
      </c>
      <c r="K720" s="57">
        <v>191731</v>
      </c>
      <c r="L720" s="56">
        <v>50935</v>
      </c>
      <c r="M720" s="56"/>
      <c r="N720" s="57">
        <v>98093</v>
      </c>
      <c r="O720" s="57">
        <v>905438</v>
      </c>
      <c r="P720" s="57">
        <v>0</v>
      </c>
      <c r="Q720" s="56">
        <v>38377</v>
      </c>
      <c r="R720" s="57">
        <f t="shared" si="11"/>
        <v>1547694</v>
      </c>
      <c r="S720" s="56"/>
      <c r="T720" s="57">
        <v>748228</v>
      </c>
      <c r="U720" s="58">
        <v>10404</v>
      </c>
      <c r="V720" s="58">
        <v>758632</v>
      </c>
    </row>
    <row r="721" spans="1:22">
      <c r="A721" s="54">
        <v>97913</v>
      </c>
      <c r="B721" s="55" t="s">
        <v>2097</v>
      </c>
      <c r="C721" s="106">
        <v>3.7400000000000001E-5</v>
      </c>
      <c r="D721" s="106">
        <v>3.7700000000000002E-5</v>
      </c>
      <c r="E721" s="56">
        <v>23994.67</v>
      </c>
      <c r="F721" s="56">
        <v>16920</v>
      </c>
      <c r="G721" s="56">
        <v>79375</v>
      </c>
      <c r="H721" s="56"/>
      <c r="I721" s="57">
        <v>1491.325</v>
      </c>
      <c r="J721" s="57">
        <v>69558</v>
      </c>
      <c r="K721" s="57">
        <v>5437</v>
      </c>
      <c r="L721" s="56">
        <v>11163</v>
      </c>
      <c r="M721" s="56"/>
      <c r="N721" s="57">
        <v>2781</v>
      </c>
      <c r="O721" s="57">
        <v>25674</v>
      </c>
      <c r="P721" s="57">
        <v>0</v>
      </c>
      <c r="Q721" s="56">
        <v>0</v>
      </c>
      <c r="R721" s="57">
        <f t="shared" si="11"/>
        <v>43884</v>
      </c>
      <c r="S721" s="56"/>
      <c r="T721" s="57">
        <v>21216</v>
      </c>
      <c r="U721" s="58">
        <v>3404</v>
      </c>
      <c r="V721" s="58">
        <v>24620</v>
      </c>
    </row>
    <row r="722" spans="1:22">
      <c r="A722" s="54">
        <v>97917</v>
      </c>
      <c r="B722" s="55" t="s">
        <v>2098</v>
      </c>
      <c r="C722" s="106">
        <v>1.98E-5</v>
      </c>
      <c r="D722" s="106">
        <v>2.0599999999999999E-5</v>
      </c>
      <c r="E722" s="56">
        <v>11950.349999999999</v>
      </c>
      <c r="F722" s="56">
        <v>9245</v>
      </c>
      <c r="G722" s="56">
        <v>42022</v>
      </c>
      <c r="H722" s="56"/>
      <c r="I722" s="57">
        <v>789.52499999999998</v>
      </c>
      <c r="J722" s="57">
        <v>36825</v>
      </c>
      <c r="K722" s="57">
        <v>2878</v>
      </c>
      <c r="L722" s="56">
        <v>6195</v>
      </c>
      <c r="M722" s="56"/>
      <c r="N722" s="57">
        <v>1473</v>
      </c>
      <c r="O722" s="57">
        <v>13592</v>
      </c>
      <c r="P722" s="57">
        <v>0</v>
      </c>
      <c r="Q722" s="56">
        <v>0</v>
      </c>
      <c r="R722" s="57">
        <f t="shared" si="11"/>
        <v>23233</v>
      </c>
      <c r="S722" s="56"/>
      <c r="T722" s="57">
        <v>11232</v>
      </c>
      <c r="U722" s="58">
        <v>2211</v>
      </c>
      <c r="V722" s="58">
        <v>13443</v>
      </c>
    </row>
    <row r="723" spans="1:22">
      <c r="A723" s="54">
        <v>97921</v>
      </c>
      <c r="B723" s="55" t="s">
        <v>2099</v>
      </c>
      <c r="C723" s="106">
        <v>2.2169999999999999E-4</v>
      </c>
      <c r="D723" s="106">
        <v>2.3599999999999999E-4</v>
      </c>
      <c r="E723" s="56">
        <v>93980.13</v>
      </c>
      <c r="F723" s="56">
        <v>105915</v>
      </c>
      <c r="G723" s="56">
        <v>470522</v>
      </c>
      <c r="H723" s="56"/>
      <c r="I723" s="57">
        <v>8840</v>
      </c>
      <c r="J723" s="57">
        <v>412327</v>
      </c>
      <c r="K723" s="57">
        <v>32227</v>
      </c>
      <c r="L723" s="56">
        <v>17914</v>
      </c>
      <c r="M723" s="56"/>
      <c r="N723" s="57">
        <v>16488</v>
      </c>
      <c r="O723" s="57">
        <v>152188</v>
      </c>
      <c r="P723" s="57">
        <v>0</v>
      </c>
      <c r="Q723" s="56">
        <v>8707</v>
      </c>
      <c r="R723" s="57">
        <f t="shared" si="11"/>
        <v>260139</v>
      </c>
      <c r="S723" s="56"/>
      <c r="T723" s="57">
        <v>125764</v>
      </c>
      <c r="U723" s="58">
        <v>3320</v>
      </c>
      <c r="V723" s="58">
        <v>129084</v>
      </c>
    </row>
    <row r="724" spans="1:22">
      <c r="A724" s="54">
        <v>97931</v>
      </c>
      <c r="B724" s="55" t="s">
        <v>2100</v>
      </c>
      <c r="C724" s="106">
        <v>6.1600000000000007E-5</v>
      </c>
      <c r="D724" s="106">
        <v>6.7999999999999999E-5</v>
      </c>
      <c r="E724" s="56">
        <v>26190.6</v>
      </c>
      <c r="F724" s="56">
        <v>30518</v>
      </c>
      <c r="G724" s="56">
        <v>130736</v>
      </c>
      <c r="H724" s="56"/>
      <c r="I724" s="57">
        <v>2456</v>
      </c>
      <c r="J724" s="57">
        <v>114566</v>
      </c>
      <c r="K724" s="57">
        <v>8954</v>
      </c>
      <c r="L724" s="56">
        <v>19564</v>
      </c>
      <c r="M724" s="56"/>
      <c r="N724" s="57">
        <v>4581</v>
      </c>
      <c r="O724" s="57">
        <v>42286</v>
      </c>
      <c r="P724" s="57">
        <v>0</v>
      </c>
      <c r="Q724" s="56">
        <v>13697</v>
      </c>
      <c r="R724" s="57">
        <f t="shared" si="11"/>
        <v>72280</v>
      </c>
      <c r="S724" s="56"/>
      <c r="T724" s="57">
        <v>34944</v>
      </c>
      <c r="U724" s="58">
        <v>733</v>
      </c>
      <c r="V724" s="58">
        <v>35677</v>
      </c>
    </row>
    <row r="725" spans="1:22">
      <c r="A725" s="54">
        <v>97941</v>
      </c>
      <c r="B725" s="55" t="s">
        <v>2101</v>
      </c>
      <c r="C725" s="106">
        <v>2.3330000000000001E-4</v>
      </c>
      <c r="D725" s="106">
        <v>2.3120000000000001E-4</v>
      </c>
      <c r="E725" s="56">
        <v>99201.06</v>
      </c>
      <c r="F725" s="56">
        <v>103761</v>
      </c>
      <c r="G725" s="56">
        <v>495141</v>
      </c>
      <c r="H725" s="56"/>
      <c r="I725" s="57">
        <v>9303</v>
      </c>
      <c r="J725" s="57">
        <v>433901</v>
      </c>
      <c r="K725" s="57">
        <v>33913</v>
      </c>
      <c r="L725" s="56">
        <v>27337</v>
      </c>
      <c r="M725" s="56"/>
      <c r="N725" s="57">
        <v>17350</v>
      </c>
      <c r="O725" s="57">
        <v>160151</v>
      </c>
      <c r="P725" s="57">
        <v>0</v>
      </c>
      <c r="Q725" s="56">
        <v>299</v>
      </c>
      <c r="R725" s="57">
        <f t="shared" si="11"/>
        <v>273750</v>
      </c>
      <c r="S725" s="56"/>
      <c r="T725" s="57">
        <v>132344</v>
      </c>
      <c r="U725" s="58">
        <v>9188</v>
      </c>
      <c r="V725" s="58">
        <v>141532</v>
      </c>
    </row>
    <row r="726" spans="1:22">
      <c r="A726" s="54">
        <v>97947</v>
      </c>
      <c r="B726" s="55" t="s">
        <v>2102</v>
      </c>
      <c r="C726" s="106">
        <v>1.5500000000000001E-5</v>
      </c>
      <c r="D726" s="106">
        <v>1.1199999999999999E-5</v>
      </c>
      <c r="E726" s="56">
        <v>11155.259999999998</v>
      </c>
      <c r="F726" s="56">
        <v>5026</v>
      </c>
      <c r="G726" s="56">
        <v>32896</v>
      </c>
      <c r="H726" s="56"/>
      <c r="I726" s="57">
        <v>618.0625</v>
      </c>
      <c r="J726" s="57">
        <v>28828</v>
      </c>
      <c r="K726" s="57">
        <v>2253</v>
      </c>
      <c r="L726" s="56">
        <v>9195</v>
      </c>
      <c r="M726" s="56"/>
      <c r="N726" s="57">
        <v>1153</v>
      </c>
      <c r="O726" s="57">
        <v>10640</v>
      </c>
      <c r="P726" s="57">
        <v>0</v>
      </c>
      <c r="Q726" s="56">
        <v>615</v>
      </c>
      <c r="R726" s="57">
        <f t="shared" si="11"/>
        <v>18188</v>
      </c>
      <c r="S726" s="56"/>
      <c r="T726" s="57">
        <v>8793</v>
      </c>
      <c r="U726" s="58">
        <v>2366</v>
      </c>
      <c r="V726" s="58">
        <v>11159</v>
      </c>
    </row>
    <row r="727" spans="1:22">
      <c r="A727" s="54">
        <v>97948</v>
      </c>
      <c r="B727" s="55" t="s">
        <v>2103</v>
      </c>
      <c r="C727" s="106">
        <v>3.5200000000000002E-5</v>
      </c>
      <c r="D727" s="106">
        <v>3.43E-5</v>
      </c>
      <c r="E727" s="56">
        <v>13687.969999999998</v>
      </c>
      <c r="F727" s="56">
        <v>15394</v>
      </c>
      <c r="G727" s="56">
        <v>74706</v>
      </c>
      <c r="H727" s="56"/>
      <c r="I727" s="57">
        <v>1404</v>
      </c>
      <c r="J727" s="57">
        <v>65466</v>
      </c>
      <c r="K727" s="57">
        <v>5117</v>
      </c>
      <c r="L727" s="56">
        <v>3029</v>
      </c>
      <c r="M727" s="56"/>
      <c r="N727" s="57">
        <v>2618</v>
      </c>
      <c r="O727" s="57">
        <v>24163</v>
      </c>
      <c r="P727" s="57">
        <v>0</v>
      </c>
      <c r="Q727" s="56">
        <v>138</v>
      </c>
      <c r="R727" s="57">
        <f t="shared" si="11"/>
        <v>41303</v>
      </c>
      <c r="S727" s="56"/>
      <c r="T727" s="57">
        <v>19968</v>
      </c>
      <c r="U727" s="58">
        <v>1084</v>
      </c>
      <c r="V727" s="58">
        <v>21052</v>
      </c>
    </row>
    <row r="728" spans="1:22">
      <c r="A728" s="54">
        <v>97951</v>
      </c>
      <c r="B728" s="55" t="s">
        <v>2104</v>
      </c>
      <c r="C728" s="106">
        <v>1.2497000000000001E-3</v>
      </c>
      <c r="D728" s="106">
        <v>1.2842000000000001E-3</v>
      </c>
      <c r="E728" s="56">
        <v>544314.75</v>
      </c>
      <c r="F728" s="56">
        <v>576341</v>
      </c>
      <c r="G728" s="56">
        <v>2652282</v>
      </c>
      <c r="H728" s="56"/>
      <c r="I728" s="57">
        <v>49832</v>
      </c>
      <c r="J728" s="57">
        <v>2324245</v>
      </c>
      <c r="K728" s="57">
        <v>181658</v>
      </c>
      <c r="L728" s="56">
        <v>21304</v>
      </c>
      <c r="M728" s="56"/>
      <c r="N728" s="57">
        <v>92939</v>
      </c>
      <c r="O728" s="57">
        <v>857867</v>
      </c>
      <c r="P728" s="57">
        <v>0</v>
      </c>
      <c r="Q728" s="56">
        <v>14204.62</v>
      </c>
      <c r="R728" s="57">
        <f t="shared" si="11"/>
        <v>1466378</v>
      </c>
      <c r="S728" s="56"/>
      <c r="T728" s="57">
        <v>708916</v>
      </c>
      <c r="U728" s="58">
        <v>-103</v>
      </c>
      <c r="V728" s="58">
        <v>708813</v>
      </c>
    </row>
    <row r="729" spans="1:22">
      <c r="A729" s="54">
        <v>97957</v>
      </c>
      <c r="B729" s="55" t="s">
        <v>2105</v>
      </c>
      <c r="C729" s="106">
        <v>1.9599999999999999E-5</v>
      </c>
      <c r="D729" s="106">
        <v>1.9899999999999999E-5</v>
      </c>
      <c r="E729" s="56">
        <v>11054.150000000001</v>
      </c>
      <c r="F729" s="56">
        <v>8931</v>
      </c>
      <c r="G729" s="56">
        <v>41598</v>
      </c>
      <c r="H729" s="56"/>
      <c r="I729" s="57">
        <v>781.55</v>
      </c>
      <c r="J729" s="57">
        <v>36453</v>
      </c>
      <c r="K729" s="57">
        <v>2849</v>
      </c>
      <c r="L729" s="56">
        <v>2215</v>
      </c>
      <c r="M729" s="56"/>
      <c r="N729" s="57">
        <v>1458</v>
      </c>
      <c r="O729" s="57">
        <v>13455</v>
      </c>
      <c r="P729" s="57">
        <v>0</v>
      </c>
      <c r="Q729" s="56">
        <v>1781</v>
      </c>
      <c r="R729" s="57">
        <f t="shared" si="11"/>
        <v>22998</v>
      </c>
      <c r="S729" s="56"/>
      <c r="T729" s="57">
        <v>11118</v>
      </c>
      <c r="U729" s="58">
        <v>-84</v>
      </c>
      <c r="V729" s="58">
        <v>11035</v>
      </c>
    </row>
    <row r="730" spans="1:22">
      <c r="A730" s="54">
        <v>98001</v>
      </c>
      <c r="B730" s="55" t="s">
        <v>2106</v>
      </c>
      <c r="C730" s="106">
        <v>4.9659999999999999E-3</v>
      </c>
      <c r="D730" s="106">
        <v>4.9379999999999997E-3</v>
      </c>
      <c r="E730" s="56">
        <v>2027252.35</v>
      </c>
      <c r="F730" s="56">
        <v>2216145</v>
      </c>
      <c r="G730" s="56">
        <v>10539516</v>
      </c>
      <c r="H730" s="56"/>
      <c r="I730" s="57">
        <v>198019.25</v>
      </c>
      <c r="J730" s="57">
        <v>9235975</v>
      </c>
      <c r="K730" s="57">
        <v>721863</v>
      </c>
      <c r="L730" s="56">
        <v>119593</v>
      </c>
      <c r="M730" s="56"/>
      <c r="N730" s="57">
        <v>369316</v>
      </c>
      <c r="O730" s="57">
        <v>3408950</v>
      </c>
      <c r="P730" s="57">
        <v>0</v>
      </c>
      <c r="Q730" s="56">
        <v>0</v>
      </c>
      <c r="R730" s="57">
        <f t="shared" si="11"/>
        <v>5827025</v>
      </c>
      <c r="S730" s="56"/>
      <c r="T730" s="57">
        <v>2817058</v>
      </c>
      <c r="U730" s="58">
        <v>52585</v>
      </c>
      <c r="V730" s="58">
        <v>2869642</v>
      </c>
    </row>
    <row r="731" spans="1:22">
      <c r="A731" s="54">
        <v>98002</v>
      </c>
      <c r="B731" s="55" t="s">
        <v>2107</v>
      </c>
      <c r="C731" s="106">
        <v>7.3000000000000004E-6</v>
      </c>
      <c r="D731" s="106">
        <v>7.1999999999999997E-6</v>
      </c>
      <c r="E731" s="56">
        <v>3644.9599999999991</v>
      </c>
      <c r="F731" s="56">
        <v>3231</v>
      </c>
      <c r="G731" s="56">
        <v>15493</v>
      </c>
      <c r="H731" s="56"/>
      <c r="I731" s="57">
        <v>291</v>
      </c>
      <c r="J731" s="57">
        <v>13577</v>
      </c>
      <c r="K731" s="57">
        <v>1061</v>
      </c>
      <c r="L731" s="56">
        <v>799</v>
      </c>
      <c r="M731" s="56"/>
      <c r="N731" s="57">
        <v>543</v>
      </c>
      <c r="O731" s="57">
        <v>5011</v>
      </c>
      <c r="P731" s="57">
        <v>0</v>
      </c>
      <c r="Q731" s="56">
        <v>13050</v>
      </c>
      <c r="R731" s="57">
        <f t="shared" si="11"/>
        <v>8566</v>
      </c>
      <c r="S731" s="56"/>
      <c r="T731" s="57">
        <v>4141</v>
      </c>
      <c r="U731" s="58">
        <v>-6329</v>
      </c>
      <c r="V731" s="58">
        <v>-2188</v>
      </c>
    </row>
    <row r="732" spans="1:22">
      <c r="A732" s="54">
        <v>98003</v>
      </c>
      <c r="B732" s="55" t="s">
        <v>2108</v>
      </c>
      <c r="C732" s="106">
        <v>8.1600000000000005E-5</v>
      </c>
      <c r="D732" s="106">
        <v>6.8100000000000002E-5</v>
      </c>
      <c r="E732" s="56">
        <v>60648.32</v>
      </c>
      <c r="F732" s="56">
        <v>30563</v>
      </c>
      <c r="G732" s="56">
        <v>173183</v>
      </c>
      <c r="H732" s="56"/>
      <c r="I732" s="57">
        <v>3253.8</v>
      </c>
      <c r="J732" s="57">
        <v>151763</v>
      </c>
      <c r="K732" s="57">
        <v>11861</v>
      </c>
      <c r="L732" s="56">
        <v>41565</v>
      </c>
      <c r="M732" s="56"/>
      <c r="N732" s="57">
        <v>6069</v>
      </c>
      <c r="O732" s="57">
        <v>56015</v>
      </c>
      <c r="P732" s="57">
        <v>0</v>
      </c>
      <c r="Q732" s="56">
        <v>0</v>
      </c>
      <c r="R732" s="57">
        <f t="shared" si="11"/>
        <v>95748</v>
      </c>
      <c r="S732" s="56"/>
      <c r="T732" s="57">
        <v>46289</v>
      </c>
      <c r="U732" s="58">
        <v>12223</v>
      </c>
      <c r="V732" s="58">
        <v>58512</v>
      </c>
    </row>
    <row r="733" spans="1:22">
      <c r="A733" s="54">
        <v>98004</v>
      </c>
      <c r="B733" s="55" t="s">
        <v>2109</v>
      </c>
      <c r="C733" s="106">
        <v>1.209E-4</v>
      </c>
      <c r="D733" s="106">
        <v>1.2630000000000001E-4</v>
      </c>
      <c r="E733" s="56">
        <v>71693.130000000019</v>
      </c>
      <c r="F733" s="56">
        <v>56683</v>
      </c>
      <c r="G733" s="56">
        <v>256590</v>
      </c>
      <c r="H733" s="56"/>
      <c r="I733" s="57">
        <v>4821</v>
      </c>
      <c r="J733" s="57">
        <v>224855</v>
      </c>
      <c r="K733" s="57">
        <v>17574</v>
      </c>
      <c r="L733" s="56">
        <v>29242</v>
      </c>
      <c r="M733" s="56"/>
      <c r="N733" s="57">
        <v>8991</v>
      </c>
      <c r="O733" s="57">
        <v>82993</v>
      </c>
      <c r="P733" s="57">
        <v>0</v>
      </c>
      <c r="Q733" s="56">
        <v>0</v>
      </c>
      <c r="R733" s="57">
        <f t="shared" si="11"/>
        <v>141862</v>
      </c>
      <c r="S733" s="56"/>
      <c r="T733" s="57">
        <v>68583</v>
      </c>
      <c r="U733" s="58">
        <v>9885</v>
      </c>
      <c r="V733" s="58">
        <v>78468</v>
      </c>
    </row>
    <row r="734" spans="1:22">
      <c r="A734" s="54">
        <v>98008</v>
      </c>
      <c r="B734" s="55" t="s">
        <v>2110</v>
      </c>
      <c r="C734" s="106">
        <v>7.7999999999999999E-6</v>
      </c>
      <c r="D734" s="106">
        <v>8.3000000000000002E-6</v>
      </c>
      <c r="E734" s="56">
        <v>3013.8200000000006</v>
      </c>
      <c r="F734" s="56">
        <v>3725</v>
      </c>
      <c r="G734" s="56">
        <v>16554</v>
      </c>
      <c r="H734" s="56"/>
      <c r="I734" s="57">
        <v>311</v>
      </c>
      <c r="J734" s="57">
        <v>14507</v>
      </c>
      <c r="K734" s="57">
        <v>1134</v>
      </c>
      <c r="L734" s="56">
        <v>0</v>
      </c>
      <c r="M734" s="56"/>
      <c r="N734" s="57">
        <v>580</v>
      </c>
      <c r="O734" s="57">
        <v>5354</v>
      </c>
      <c r="P734" s="57">
        <v>0</v>
      </c>
      <c r="Q734" s="56">
        <v>1300</v>
      </c>
      <c r="R734" s="57">
        <f t="shared" si="11"/>
        <v>9153</v>
      </c>
      <c r="S734" s="56"/>
      <c r="T734" s="57">
        <v>4425</v>
      </c>
      <c r="U734" s="58">
        <v>-496</v>
      </c>
      <c r="V734" s="58">
        <v>3929</v>
      </c>
    </row>
    <row r="735" spans="1:22">
      <c r="A735" s="54">
        <v>98011</v>
      </c>
      <c r="B735" s="55" t="s">
        <v>2111</v>
      </c>
      <c r="C735" s="106">
        <v>3.1795E-3</v>
      </c>
      <c r="D735" s="106">
        <v>3.5899E-3</v>
      </c>
      <c r="E735" s="56">
        <v>1249395.6299999999</v>
      </c>
      <c r="F735" s="56">
        <v>1611126</v>
      </c>
      <c r="G735" s="56">
        <v>6747964</v>
      </c>
      <c r="H735" s="56"/>
      <c r="I735" s="57">
        <v>126783</v>
      </c>
      <c r="J735" s="57">
        <v>5913368</v>
      </c>
      <c r="K735" s="57">
        <v>462175</v>
      </c>
      <c r="L735" s="56">
        <v>0</v>
      </c>
      <c r="M735" s="56"/>
      <c r="N735" s="57">
        <v>236456</v>
      </c>
      <c r="O735" s="57">
        <v>2182593</v>
      </c>
      <c r="P735" s="57">
        <v>0</v>
      </c>
      <c r="Q735" s="56">
        <v>424125</v>
      </c>
      <c r="R735" s="57">
        <f t="shared" si="11"/>
        <v>3730775</v>
      </c>
      <c r="S735" s="56"/>
      <c r="T735" s="57">
        <v>1803632</v>
      </c>
      <c r="U735" s="58">
        <v>-139309</v>
      </c>
      <c r="V735" s="58">
        <v>1664322</v>
      </c>
    </row>
    <row r="736" spans="1:22">
      <c r="A736" s="54">
        <v>98013</v>
      </c>
      <c r="B736" s="55" t="s">
        <v>2112</v>
      </c>
      <c r="C736" s="106">
        <v>1.426E-4</v>
      </c>
      <c r="D736" s="106">
        <v>1.427E-4</v>
      </c>
      <c r="E736" s="56">
        <v>126822.16</v>
      </c>
      <c r="F736" s="56">
        <v>64043</v>
      </c>
      <c r="G736" s="56">
        <v>302645</v>
      </c>
      <c r="H736" s="56"/>
      <c r="I736" s="57">
        <v>5686</v>
      </c>
      <c r="J736" s="57">
        <v>265213</v>
      </c>
      <c r="K736" s="57">
        <v>20728</v>
      </c>
      <c r="L736" s="56">
        <v>97343</v>
      </c>
      <c r="M736" s="56"/>
      <c r="N736" s="57">
        <v>10605</v>
      </c>
      <c r="O736" s="57">
        <v>97889</v>
      </c>
      <c r="P736" s="57">
        <v>0</v>
      </c>
      <c r="Q736" s="56">
        <v>4167</v>
      </c>
      <c r="R736" s="57">
        <f t="shared" si="11"/>
        <v>167324</v>
      </c>
      <c r="S736" s="56"/>
      <c r="T736" s="57">
        <v>80893</v>
      </c>
      <c r="U736" s="58">
        <v>27256</v>
      </c>
      <c r="V736" s="58">
        <v>108149</v>
      </c>
    </row>
    <row r="737" spans="1:22">
      <c r="A737" s="54">
        <v>98021</v>
      </c>
      <c r="B737" s="55" t="s">
        <v>2113</v>
      </c>
      <c r="C737" s="106">
        <v>7.5099999999999996E-5</v>
      </c>
      <c r="D737" s="106">
        <v>7.4099999999999999E-5</v>
      </c>
      <c r="E737" s="56">
        <v>28245.75</v>
      </c>
      <c r="F737" s="56">
        <v>33256</v>
      </c>
      <c r="G737" s="56">
        <v>159387</v>
      </c>
      <c r="H737" s="56"/>
      <c r="I737" s="57">
        <v>2995</v>
      </c>
      <c r="J737" s="57">
        <v>139674</v>
      </c>
      <c r="K737" s="57">
        <v>10917</v>
      </c>
      <c r="L737" s="56">
        <v>20868</v>
      </c>
      <c r="M737" s="56"/>
      <c r="N737" s="57">
        <v>5585</v>
      </c>
      <c r="O737" s="57">
        <v>51553</v>
      </c>
      <c r="P737" s="57">
        <v>0</v>
      </c>
      <c r="Q737" s="56">
        <v>1894</v>
      </c>
      <c r="R737" s="57">
        <f t="shared" si="11"/>
        <v>88121</v>
      </c>
      <c r="S737" s="56"/>
      <c r="T737" s="57">
        <v>42602</v>
      </c>
      <c r="U737" s="58">
        <v>6826</v>
      </c>
      <c r="V737" s="58">
        <v>49428</v>
      </c>
    </row>
    <row r="738" spans="1:22">
      <c r="A738" s="54">
        <v>98023</v>
      </c>
      <c r="B738" s="55" t="s">
        <v>2114</v>
      </c>
      <c r="C738" s="106">
        <v>1.45E-5</v>
      </c>
      <c r="D738" s="106">
        <v>2.1500000000000001E-5</v>
      </c>
      <c r="E738" s="56">
        <v>6210.57</v>
      </c>
      <c r="F738" s="56">
        <v>9649</v>
      </c>
      <c r="G738" s="56">
        <v>30774</v>
      </c>
      <c r="H738" s="56"/>
      <c r="I738" s="57">
        <v>578.1875</v>
      </c>
      <c r="J738" s="57">
        <v>26968</v>
      </c>
      <c r="K738" s="57">
        <v>2108</v>
      </c>
      <c r="L738" s="56">
        <v>0</v>
      </c>
      <c r="M738" s="56"/>
      <c r="N738" s="57">
        <v>1078</v>
      </c>
      <c r="O738" s="57">
        <v>9954</v>
      </c>
      <c r="P738" s="57">
        <v>0</v>
      </c>
      <c r="Q738" s="56">
        <v>7858</v>
      </c>
      <c r="R738" s="57">
        <f t="shared" si="11"/>
        <v>17014</v>
      </c>
      <c r="S738" s="56"/>
      <c r="T738" s="57">
        <v>8225</v>
      </c>
      <c r="U738" s="58">
        <v>-2638</v>
      </c>
      <c r="V738" s="58">
        <v>5587</v>
      </c>
    </row>
    <row r="739" spans="1:22">
      <c r="A739" s="54">
        <v>98031</v>
      </c>
      <c r="B739" s="55" t="s">
        <v>2115</v>
      </c>
      <c r="C739" s="106">
        <v>1.5530000000000001E-4</v>
      </c>
      <c r="D739" s="106">
        <v>1.7009999999999999E-4</v>
      </c>
      <c r="E739" s="56">
        <v>66785.13</v>
      </c>
      <c r="F739" s="56">
        <v>76340</v>
      </c>
      <c r="G739" s="56">
        <v>329599</v>
      </c>
      <c r="H739" s="56"/>
      <c r="I739" s="57">
        <v>6193</v>
      </c>
      <c r="J739" s="57">
        <v>288833</v>
      </c>
      <c r="K739" s="57">
        <v>22575</v>
      </c>
      <c r="L739" s="56">
        <v>7207</v>
      </c>
      <c r="M739" s="56"/>
      <c r="N739" s="57">
        <v>11550</v>
      </c>
      <c r="O739" s="57">
        <v>106607</v>
      </c>
      <c r="P739" s="57">
        <v>0</v>
      </c>
      <c r="Q739" s="56">
        <v>8978</v>
      </c>
      <c r="R739" s="57">
        <f t="shared" si="11"/>
        <v>182226</v>
      </c>
      <c r="S739" s="56"/>
      <c r="T739" s="57">
        <v>88097</v>
      </c>
      <c r="U739" s="58">
        <v>-569</v>
      </c>
      <c r="V739" s="58">
        <v>87528</v>
      </c>
    </row>
    <row r="740" spans="1:22">
      <c r="A740" s="54">
        <v>98041</v>
      </c>
      <c r="B740" s="55" t="s">
        <v>2116</v>
      </c>
      <c r="C740" s="106">
        <v>1.6559999999999999E-4</v>
      </c>
      <c r="D740" s="106">
        <v>1.438E-4</v>
      </c>
      <c r="E740" s="56">
        <v>62577.35</v>
      </c>
      <c r="F740" s="56">
        <v>64537</v>
      </c>
      <c r="G740" s="56">
        <v>351459</v>
      </c>
      <c r="H740" s="56"/>
      <c r="I740" s="57">
        <v>6603</v>
      </c>
      <c r="J740" s="57">
        <v>307990</v>
      </c>
      <c r="K740" s="57">
        <v>24072</v>
      </c>
      <c r="L740" s="56">
        <v>7422</v>
      </c>
      <c r="M740" s="56"/>
      <c r="N740" s="57">
        <v>12316</v>
      </c>
      <c r="O740" s="57">
        <v>113677</v>
      </c>
      <c r="P740" s="57">
        <v>0</v>
      </c>
      <c r="Q740" s="56">
        <v>9673</v>
      </c>
      <c r="R740" s="57">
        <f t="shared" si="11"/>
        <v>194313</v>
      </c>
      <c r="S740" s="56"/>
      <c r="T740" s="57">
        <v>93940</v>
      </c>
      <c r="U740" s="58">
        <v>-1971</v>
      </c>
      <c r="V740" s="58">
        <v>91969</v>
      </c>
    </row>
    <row r="741" spans="1:22">
      <c r="A741" s="54">
        <v>98051</v>
      </c>
      <c r="B741" s="55" t="s">
        <v>2117</v>
      </c>
      <c r="C741" s="106">
        <v>3.0019999999999998E-4</v>
      </c>
      <c r="D741" s="106">
        <v>2.699E-4</v>
      </c>
      <c r="E741" s="56">
        <v>123086.21000000002</v>
      </c>
      <c r="F741" s="56">
        <v>121130</v>
      </c>
      <c r="G741" s="56">
        <v>637125</v>
      </c>
      <c r="H741" s="56"/>
      <c r="I741" s="57">
        <v>11970</v>
      </c>
      <c r="J741" s="57">
        <v>558325</v>
      </c>
      <c r="K741" s="57">
        <v>43637</v>
      </c>
      <c r="L741" s="56">
        <v>31222</v>
      </c>
      <c r="M741" s="56"/>
      <c r="N741" s="57">
        <v>22326</v>
      </c>
      <c r="O741" s="57">
        <v>206075</v>
      </c>
      <c r="P741" s="57">
        <v>0</v>
      </c>
      <c r="Q741" s="56">
        <v>229</v>
      </c>
      <c r="R741" s="57">
        <f t="shared" si="11"/>
        <v>352250</v>
      </c>
      <c r="S741" s="56"/>
      <c r="T741" s="57">
        <v>170294</v>
      </c>
      <c r="U741" s="58">
        <v>9416</v>
      </c>
      <c r="V741" s="58">
        <v>179711</v>
      </c>
    </row>
    <row r="742" spans="1:22">
      <c r="A742" s="54">
        <v>98061</v>
      </c>
      <c r="B742" s="55" t="s">
        <v>2118</v>
      </c>
      <c r="C742" s="106">
        <v>9.9099999999999996E-5</v>
      </c>
      <c r="D742" s="106">
        <v>1.3410000000000001E-4</v>
      </c>
      <c r="E742" s="56">
        <v>42535.31</v>
      </c>
      <c r="F742" s="56">
        <v>60183</v>
      </c>
      <c r="G742" s="56">
        <v>210323</v>
      </c>
      <c r="H742" s="56"/>
      <c r="I742" s="57">
        <v>3952</v>
      </c>
      <c r="J742" s="57">
        <v>184310</v>
      </c>
      <c r="K742" s="57">
        <v>14405</v>
      </c>
      <c r="L742" s="56">
        <v>0</v>
      </c>
      <c r="M742" s="56"/>
      <c r="N742" s="57">
        <v>7370</v>
      </c>
      <c r="O742" s="57">
        <v>68028</v>
      </c>
      <c r="P742" s="57">
        <v>0</v>
      </c>
      <c r="Q742" s="56">
        <v>24647</v>
      </c>
      <c r="R742" s="57">
        <f t="shared" si="11"/>
        <v>116282</v>
      </c>
      <c r="S742" s="56"/>
      <c r="T742" s="57">
        <v>56216</v>
      </c>
      <c r="U742" s="58">
        <v>-7215</v>
      </c>
      <c r="V742" s="58">
        <v>49002</v>
      </c>
    </row>
    <row r="743" spans="1:22">
      <c r="A743" s="54">
        <v>98071</v>
      </c>
      <c r="B743" s="55" t="s">
        <v>2119</v>
      </c>
      <c r="C743" s="106">
        <v>3.4400000000000003E-5</v>
      </c>
      <c r="D743" s="106">
        <v>3.2299999999999999E-5</v>
      </c>
      <c r="E743" s="56">
        <v>24294.65</v>
      </c>
      <c r="F743" s="56">
        <v>14496</v>
      </c>
      <c r="G743" s="56">
        <v>73008</v>
      </c>
      <c r="H743" s="56"/>
      <c r="I743" s="57">
        <v>1371.7</v>
      </c>
      <c r="J743" s="57">
        <v>63979</v>
      </c>
      <c r="K743" s="57">
        <v>5000</v>
      </c>
      <c r="L743" s="56">
        <v>9217</v>
      </c>
      <c r="M743" s="56"/>
      <c r="N743" s="57">
        <v>2558</v>
      </c>
      <c r="O743" s="57">
        <v>23614</v>
      </c>
      <c r="P743" s="57">
        <v>0</v>
      </c>
      <c r="Q743" s="56">
        <v>1859</v>
      </c>
      <c r="R743" s="57">
        <f t="shared" si="11"/>
        <v>40365</v>
      </c>
      <c r="S743" s="56"/>
      <c r="T743" s="57">
        <v>19514</v>
      </c>
      <c r="U743" s="58">
        <v>1734</v>
      </c>
      <c r="V743" s="58">
        <v>21248</v>
      </c>
    </row>
    <row r="744" spans="1:22">
      <c r="A744" s="54">
        <v>98081</v>
      </c>
      <c r="B744" s="55" t="s">
        <v>2120</v>
      </c>
      <c r="C744" s="106">
        <v>1.9400000000000001E-5</v>
      </c>
      <c r="D744" s="106">
        <v>2.0999999999999999E-5</v>
      </c>
      <c r="E744" s="56">
        <v>6798.0999999999995</v>
      </c>
      <c r="F744" s="56">
        <v>9425</v>
      </c>
      <c r="G744" s="56">
        <v>41173</v>
      </c>
      <c r="H744" s="56"/>
      <c r="I744" s="57">
        <v>773.57500000000005</v>
      </c>
      <c r="J744" s="57">
        <v>36081</v>
      </c>
      <c r="K744" s="57">
        <v>2820</v>
      </c>
      <c r="L744" s="56">
        <v>0</v>
      </c>
      <c r="M744" s="56"/>
      <c r="N744" s="57">
        <v>1443</v>
      </c>
      <c r="O744" s="57">
        <v>13317</v>
      </c>
      <c r="P744" s="57">
        <v>0</v>
      </c>
      <c r="Q744" s="56">
        <v>4336</v>
      </c>
      <c r="R744" s="57">
        <f t="shared" si="11"/>
        <v>22764</v>
      </c>
      <c r="S744" s="56"/>
      <c r="T744" s="57">
        <v>11005</v>
      </c>
      <c r="U744" s="58">
        <v>-1542</v>
      </c>
      <c r="V744" s="58">
        <v>9463</v>
      </c>
    </row>
    <row r="745" spans="1:22">
      <c r="A745" s="54">
        <v>98091</v>
      </c>
      <c r="B745" s="55" t="s">
        <v>2121</v>
      </c>
      <c r="C745" s="106">
        <v>5.0899999999999997E-5</v>
      </c>
      <c r="D745" s="106">
        <v>5.49E-5</v>
      </c>
      <c r="E745" s="56">
        <v>23937.15</v>
      </c>
      <c r="F745" s="56">
        <v>24639</v>
      </c>
      <c r="G745" s="56">
        <v>108027</v>
      </c>
      <c r="H745" s="56"/>
      <c r="I745" s="57">
        <v>2030</v>
      </c>
      <c r="J745" s="57">
        <v>94666</v>
      </c>
      <c r="K745" s="57">
        <v>7399</v>
      </c>
      <c r="L745" s="56">
        <v>1196</v>
      </c>
      <c r="M745" s="56"/>
      <c r="N745" s="57">
        <v>3785</v>
      </c>
      <c r="O745" s="57">
        <v>34941</v>
      </c>
      <c r="P745" s="57">
        <v>0</v>
      </c>
      <c r="Q745" s="56">
        <v>1622</v>
      </c>
      <c r="R745" s="57">
        <f t="shared" si="11"/>
        <v>59725</v>
      </c>
      <c r="S745" s="56"/>
      <c r="T745" s="57">
        <v>28874</v>
      </c>
      <c r="U745" s="58">
        <v>-412</v>
      </c>
      <c r="V745" s="58">
        <v>28462</v>
      </c>
    </row>
    <row r="746" spans="1:22">
      <c r="A746" s="54">
        <v>98101</v>
      </c>
      <c r="B746" s="55" t="s">
        <v>2122</v>
      </c>
      <c r="C746" s="106">
        <v>2.7642999999999999E-3</v>
      </c>
      <c r="D746" s="106">
        <v>2.7445E-3</v>
      </c>
      <c r="E746" s="56">
        <v>1093303.25</v>
      </c>
      <c r="F746" s="56">
        <v>1231715</v>
      </c>
      <c r="G746" s="56">
        <v>5866771</v>
      </c>
      <c r="H746" s="56"/>
      <c r="I746" s="57">
        <v>110226</v>
      </c>
      <c r="J746" s="57">
        <v>5141161</v>
      </c>
      <c r="K746" s="57">
        <v>401821</v>
      </c>
      <c r="L746" s="56">
        <v>61462</v>
      </c>
      <c r="M746" s="56"/>
      <c r="N746" s="57">
        <v>205578</v>
      </c>
      <c r="O746" s="57">
        <v>1897576</v>
      </c>
      <c r="P746" s="57">
        <v>0</v>
      </c>
      <c r="Q746" s="56">
        <v>23820</v>
      </c>
      <c r="R746" s="57">
        <f t="shared" si="11"/>
        <v>3243585</v>
      </c>
      <c r="S746" s="56"/>
      <c r="T746" s="57">
        <v>1568102</v>
      </c>
      <c r="U746" s="58">
        <v>17983</v>
      </c>
      <c r="V746" s="58">
        <v>1586085</v>
      </c>
    </row>
    <row r="747" spans="1:22">
      <c r="A747" s="54">
        <v>98102</v>
      </c>
      <c r="B747" s="55" t="s">
        <v>2123</v>
      </c>
      <c r="C747" s="106">
        <v>1.683E-4</v>
      </c>
      <c r="D747" s="106">
        <v>1.7259999999999999E-4</v>
      </c>
      <c r="E747" s="56">
        <v>69015.009999999995</v>
      </c>
      <c r="F747" s="56">
        <v>77462</v>
      </c>
      <c r="G747" s="56">
        <v>357189</v>
      </c>
      <c r="H747" s="56"/>
      <c r="I747" s="57">
        <v>6711</v>
      </c>
      <c r="J747" s="57">
        <v>313011</v>
      </c>
      <c r="K747" s="57">
        <v>24464</v>
      </c>
      <c r="L747" s="56">
        <v>0</v>
      </c>
      <c r="M747" s="56"/>
      <c r="N747" s="57">
        <v>12516</v>
      </c>
      <c r="O747" s="57">
        <v>115531</v>
      </c>
      <c r="P747" s="57">
        <v>0</v>
      </c>
      <c r="Q747" s="56">
        <v>10404</v>
      </c>
      <c r="R747" s="57">
        <f t="shared" si="11"/>
        <v>197480</v>
      </c>
      <c r="S747" s="56"/>
      <c r="T747" s="57">
        <v>95471</v>
      </c>
      <c r="U747" s="58">
        <v>-3682</v>
      </c>
      <c r="V747" s="58">
        <v>91789</v>
      </c>
    </row>
    <row r="748" spans="1:22">
      <c r="A748" s="54">
        <v>98103</v>
      </c>
      <c r="B748" s="55" t="s">
        <v>2124</v>
      </c>
      <c r="C748" s="106">
        <v>5.3600000000000002E-4</v>
      </c>
      <c r="D748" s="106">
        <v>5.7140000000000001E-4</v>
      </c>
      <c r="E748" s="56">
        <v>233081.03999999998</v>
      </c>
      <c r="F748" s="56">
        <v>256441</v>
      </c>
      <c r="G748" s="56">
        <v>1137571.56</v>
      </c>
      <c r="H748" s="56"/>
      <c r="I748" s="57">
        <v>21373</v>
      </c>
      <c r="J748" s="57">
        <v>996875</v>
      </c>
      <c r="K748" s="57">
        <v>77913</v>
      </c>
      <c r="L748" s="56">
        <v>0</v>
      </c>
      <c r="M748" s="56"/>
      <c r="N748" s="57">
        <v>39862</v>
      </c>
      <c r="O748" s="57">
        <v>367941</v>
      </c>
      <c r="P748" s="57">
        <v>0</v>
      </c>
      <c r="Q748" s="56">
        <v>46538</v>
      </c>
      <c r="R748" s="57">
        <f t="shared" si="11"/>
        <v>628934</v>
      </c>
      <c r="S748" s="56"/>
      <c r="T748" s="57">
        <v>304056</v>
      </c>
      <c r="U748" s="58">
        <v>-19483</v>
      </c>
      <c r="V748" s="58">
        <v>284573</v>
      </c>
    </row>
    <row r="749" spans="1:22">
      <c r="A749" s="54">
        <v>98107</v>
      </c>
      <c r="B749" s="55" t="s">
        <v>2125</v>
      </c>
      <c r="C749" s="106">
        <v>1.08E-5</v>
      </c>
      <c r="D749" s="106">
        <v>1.15E-5</v>
      </c>
      <c r="E749" s="56">
        <v>8651.6900000000023</v>
      </c>
      <c r="F749" s="56">
        <v>5161</v>
      </c>
      <c r="G749" s="56">
        <v>22921</v>
      </c>
      <c r="H749" s="56"/>
      <c r="I749" s="57">
        <v>430.65</v>
      </c>
      <c r="J749" s="57">
        <v>20086</v>
      </c>
      <c r="K749" s="57">
        <v>1570</v>
      </c>
      <c r="L749" s="56">
        <v>7420</v>
      </c>
      <c r="M749" s="56"/>
      <c r="N749" s="57">
        <v>803</v>
      </c>
      <c r="O749" s="57">
        <v>7414</v>
      </c>
      <c r="P749" s="57">
        <v>0</v>
      </c>
      <c r="Q749" s="56">
        <v>0</v>
      </c>
      <c r="R749" s="57">
        <f t="shared" si="11"/>
        <v>12672</v>
      </c>
      <c r="S749" s="56"/>
      <c r="T749" s="57">
        <v>6127</v>
      </c>
      <c r="U749" s="58">
        <v>2610</v>
      </c>
      <c r="V749" s="58">
        <v>8737</v>
      </c>
    </row>
    <row r="750" spans="1:22">
      <c r="A750" s="54">
        <v>98109</v>
      </c>
      <c r="B750" s="55" t="s">
        <v>2126</v>
      </c>
      <c r="C750" s="106">
        <v>1.4660000000000001E-4</v>
      </c>
      <c r="D750" s="106">
        <v>2.0680000000000001E-4</v>
      </c>
      <c r="E750" s="56">
        <v>66395.14</v>
      </c>
      <c r="F750" s="56">
        <v>92811</v>
      </c>
      <c r="G750" s="56">
        <v>311134</v>
      </c>
      <c r="H750" s="56"/>
      <c r="I750" s="57">
        <v>5846</v>
      </c>
      <c r="J750" s="57">
        <v>272653</v>
      </c>
      <c r="K750" s="57">
        <v>21310</v>
      </c>
      <c r="L750" s="56">
        <v>3018</v>
      </c>
      <c r="M750" s="56"/>
      <c r="N750" s="57">
        <v>10902</v>
      </c>
      <c r="O750" s="57">
        <v>100635</v>
      </c>
      <c r="P750" s="57">
        <v>0</v>
      </c>
      <c r="Q750" s="56">
        <v>35765</v>
      </c>
      <c r="R750" s="57">
        <f t="shared" si="11"/>
        <v>172018</v>
      </c>
      <c r="S750" s="56"/>
      <c r="T750" s="57">
        <v>83162</v>
      </c>
      <c r="U750" s="58">
        <v>-10144</v>
      </c>
      <c r="V750" s="58">
        <v>73018</v>
      </c>
    </row>
    <row r="751" spans="1:22">
      <c r="A751" s="54">
        <v>98111</v>
      </c>
      <c r="B751" s="55" t="s">
        <v>2127</v>
      </c>
      <c r="C751" s="106">
        <v>1.0191E-3</v>
      </c>
      <c r="D751" s="106">
        <v>1.0443E-3</v>
      </c>
      <c r="E751" s="56">
        <v>380230.60000000003</v>
      </c>
      <c r="F751" s="56">
        <v>468676</v>
      </c>
      <c r="G751" s="56">
        <v>2162872</v>
      </c>
      <c r="H751" s="56"/>
      <c r="I751" s="57">
        <v>40637</v>
      </c>
      <c r="J751" s="57">
        <v>1895365</v>
      </c>
      <c r="K751" s="57">
        <v>148137</v>
      </c>
      <c r="L751" s="56">
        <v>0</v>
      </c>
      <c r="M751" s="56"/>
      <c r="N751" s="57">
        <v>75789</v>
      </c>
      <c r="O751" s="57">
        <v>699569</v>
      </c>
      <c r="P751" s="57">
        <v>0</v>
      </c>
      <c r="Q751" s="56">
        <v>50975</v>
      </c>
      <c r="R751" s="57">
        <f t="shared" si="11"/>
        <v>1195796</v>
      </c>
      <c r="S751" s="56"/>
      <c r="T751" s="57">
        <v>578104</v>
      </c>
      <c r="U751" s="58">
        <v>-14078</v>
      </c>
      <c r="V751" s="58">
        <v>564026</v>
      </c>
    </row>
    <row r="752" spans="1:22">
      <c r="A752" s="54">
        <v>98113</v>
      </c>
      <c r="B752" s="55" t="s">
        <v>2128</v>
      </c>
      <c r="C752" s="106">
        <v>3.8999999999999999E-5</v>
      </c>
      <c r="D752" s="106">
        <v>4.1399999999999997E-5</v>
      </c>
      <c r="E752" s="56">
        <v>20070.23</v>
      </c>
      <c r="F752" s="56">
        <v>18580</v>
      </c>
      <c r="G752" s="56">
        <v>82771</v>
      </c>
      <c r="H752" s="56"/>
      <c r="I752" s="57">
        <v>1555.125</v>
      </c>
      <c r="J752" s="57">
        <v>72534</v>
      </c>
      <c r="K752" s="57">
        <v>5669</v>
      </c>
      <c r="L752" s="56">
        <v>8069</v>
      </c>
      <c r="M752" s="56"/>
      <c r="N752" s="57">
        <v>2900</v>
      </c>
      <c r="O752" s="57">
        <v>26772</v>
      </c>
      <c r="P752" s="57">
        <v>0</v>
      </c>
      <c r="Q752" s="56">
        <v>0</v>
      </c>
      <c r="R752" s="57">
        <f t="shared" si="11"/>
        <v>45762</v>
      </c>
      <c r="S752" s="56"/>
      <c r="T752" s="57">
        <v>22123</v>
      </c>
      <c r="U752" s="58">
        <v>2983</v>
      </c>
      <c r="V752" s="58">
        <v>25107</v>
      </c>
    </row>
    <row r="753" spans="1:22">
      <c r="A753" s="54">
        <v>98121</v>
      </c>
      <c r="B753" s="55" t="s">
        <v>2129</v>
      </c>
      <c r="C753" s="106">
        <v>2.2910000000000001E-4</v>
      </c>
      <c r="D753" s="106">
        <v>2.0689999999999999E-4</v>
      </c>
      <c r="E753" s="56">
        <v>79942.31</v>
      </c>
      <c r="F753" s="56">
        <v>92855</v>
      </c>
      <c r="G753" s="56">
        <v>486227</v>
      </c>
      <c r="H753" s="56"/>
      <c r="I753" s="57">
        <v>9135</v>
      </c>
      <c r="J753" s="57">
        <v>426090</v>
      </c>
      <c r="K753" s="57">
        <v>33302</v>
      </c>
      <c r="L753" s="56">
        <v>3951</v>
      </c>
      <c r="M753" s="56"/>
      <c r="N753" s="57">
        <v>17038</v>
      </c>
      <c r="O753" s="57">
        <v>157268</v>
      </c>
      <c r="P753" s="57">
        <v>0</v>
      </c>
      <c r="Q753" s="56">
        <v>6313</v>
      </c>
      <c r="R753" s="57">
        <f t="shared" si="11"/>
        <v>268822</v>
      </c>
      <c r="S753" s="56"/>
      <c r="T753" s="57">
        <v>129961</v>
      </c>
      <c r="U753" s="58">
        <v>-421</v>
      </c>
      <c r="V753" s="58">
        <v>129540</v>
      </c>
    </row>
    <row r="754" spans="1:22">
      <c r="A754" s="54">
        <v>98131</v>
      </c>
      <c r="B754" s="55" t="s">
        <v>2130</v>
      </c>
      <c r="C754" s="106">
        <v>2.9569999999999998E-4</v>
      </c>
      <c r="D754" s="106">
        <v>3.0610000000000001E-4</v>
      </c>
      <c r="E754" s="56">
        <v>112055.95999999999</v>
      </c>
      <c r="F754" s="56">
        <v>137376</v>
      </c>
      <c r="G754" s="56">
        <v>627574</v>
      </c>
      <c r="H754" s="56"/>
      <c r="I754" s="57">
        <v>11791</v>
      </c>
      <c r="J754" s="57">
        <v>549955</v>
      </c>
      <c r="K754" s="57">
        <v>42983</v>
      </c>
      <c r="L754" s="56">
        <v>0</v>
      </c>
      <c r="M754" s="56"/>
      <c r="N754" s="57">
        <v>21991</v>
      </c>
      <c r="O754" s="57">
        <v>202986</v>
      </c>
      <c r="P754" s="57">
        <v>0</v>
      </c>
      <c r="Q754" s="56">
        <v>44899</v>
      </c>
      <c r="R754" s="57">
        <f t="shared" si="11"/>
        <v>346969</v>
      </c>
      <c r="S754" s="56"/>
      <c r="T754" s="57">
        <v>167741</v>
      </c>
      <c r="U754" s="58">
        <v>-17153</v>
      </c>
      <c r="V754" s="58">
        <v>150589</v>
      </c>
    </row>
    <row r="755" spans="1:22">
      <c r="A755" s="54">
        <v>98141</v>
      </c>
      <c r="B755" s="55" t="s">
        <v>2131</v>
      </c>
      <c r="C755" s="106">
        <v>2.9030000000000001E-4</v>
      </c>
      <c r="D755" s="106">
        <v>3.033E-4</v>
      </c>
      <c r="E755" s="56">
        <v>104127.93999999997</v>
      </c>
      <c r="F755" s="56">
        <v>136119</v>
      </c>
      <c r="G755" s="56">
        <v>616114</v>
      </c>
      <c r="H755" s="56"/>
      <c r="I755" s="57">
        <v>11576</v>
      </c>
      <c r="J755" s="57">
        <v>539912</v>
      </c>
      <c r="K755" s="57">
        <v>42198</v>
      </c>
      <c r="L755" s="56">
        <v>1495</v>
      </c>
      <c r="M755" s="56"/>
      <c r="N755" s="57">
        <v>21589</v>
      </c>
      <c r="O755" s="57">
        <v>199279</v>
      </c>
      <c r="P755" s="57">
        <v>0</v>
      </c>
      <c r="Q755" s="56">
        <v>35601</v>
      </c>
      <c r="R755" s="57">
        <f t="shared" si="11"/>
        <v>340633</v>
      </c>
      <c r="S755" s="56"/>
      <c r="T755" s="57">
        <v>164678</v>
      </c>
      <c r="U755" s="58">
        <v>-12695</v>
      </c>
      <c r="V755" s="58">
        <v>151983</v>
      </c>
    </row>
    <row r="756" spans="1:22">
      <c r="A756" s="54">
        <v>98147</v>
      </c>
      <c r="B756" s="55" t="s">
        <v>2132</v>
      </c>
      <c r="C756" s="106">
        <v>1.29E-5</v>
      </c>
      <c r="D756" s="106">
        <v>1.03E-5</v>
      </c>
      <c r="E756" s="56">
        <v>8826.0300000000007</v>
      </c>
      <c r="F756" s="56">
        <v>4623</v>
      </c>
      <c r="G756" s="56">
        <v>27378</v>
      </c>
      <c r="H756" s="56"/>
      <c r="I756" s="57">
        <v>514</v>
      </c>
      <c r="J756" s="57">
        <v>23992</v>
      </c>
      <c r="K756" s="57">
        <v>1875</v>
      </c>
      <c r="L756" s="56">
        <v>7556</v>
      </c>
      <c r="M756" s="56"/>
      <c r="N756" s="57">
        <v>959</v>
      </c>
      <c r="O756" s="57">
        <v>8855</v>
      </c>
      <c r="P756" s="57">
        <v>0</v>
      </c>
      <c r="Q756" s="56">
        <v>0</v>
      </c>
      <c r="R756" s="57">
        <f t="shared" si="11"/>
        <v>15137</v>
      </c>
      <c r="S756" s="56"/>
      <c r="T756" s="57">
        <v>7318</v>
      </c>
      <c r="U756" s="58">
        <v>2501</v>
      </c>
      <c r="V756" s="58">
        <v>9819</v>
      </c>
    </row>
    <row r="757" spans="1:22">
      <c r="A757" s="54">
        <v>98161</v>
      </c>
      <c r="B757" s="55" t="s">
        <v>2133</v>
      </c>
      <c r="C757" s="106">
        <v>7.4000000000000003E-6</v>
      </c>
      <c r="D757" s="106">
        <v>7.6000000000000001E-6</v>
      </c>
      <c r="E757" s="56">
        <v>4425.3599999999988</v>
      </c>
      <c r="F757" s="56">
        <v>3411</v>
      </c>
      <c r="G757" s="56">
        <v>15705</v>
      </c>
      <c r="H757" s="56"/>
      <c r="I757" s="57">
        <v>295.07499999999999</v>
      </c>
      <c r="J757" s="57">
        <v>13763</v>
      </c>
      <c r="K757" s="57">
        <v>1076</v>
      </c>
      <c r="L757" s="56">
        <v>2152</v>
      </c>
      <c r="M757" s="56"/>
      <c r="N757" s="57">
        <v>550</v>
      </c>
      <c r="O757" s="57">
        <v>5080</v>
      </c>
      <c r="P757" s="57">
        <v>0</v>
      </c>
      <c r="Q757" s="56">
        <v>0</v>
      </c>
      <c r="R757" s="57">
        <f t="shared" si="11"/>
        <v>8683</v>
      </c>
      <c r="S757" s="56"/>
      <c r="T757" s="57">
        <v>4198</v>
      </c>
      <c r="U757" s="58">
        <v>752</v>
      </c>
      <c r="V757" s="58">
        <v>4950</v>
      </c>
    </row>
    <row r="758" spans="1:22">
      <c r="A758" s="54">
        <v>98201</v>
      </c>
      <c r="B758" s="55" t="s">
        <v>2134</v>
      </c>
      <c r="C758" s="106">
        <v>3.0368999999999999E-3</v>
      </c>
      <c r="D758" s="106">
        <v>3.0019999999999999E-3</v>
      </c>
      <c r="E758" s="56">
        <v>1202574.5</v>
      </c>
      <c r="F758" s="56">
        <v>1347280</v>
      </c>
      <c r="G758" s="56">
        <v>6445319</v>
      </c>
      <c r="H758" s="56"/>
      <c r="I758" s="57">
        <v>121096</v>
      </c>
      <c r="J758" s="57">
        <v>5648154</v>
      </c>
      <c r="K758" s="57">
        <v>441447</v>
      </c>
      <c r="L758" s="56">
        <v>0</v>
      </c>
      <c r="M758" s="56"/>
      <c r="N758" s="57">
        <v>225851</v>
      </c>
      <c r="O758" s="57">
        <v>2084704</v>
      </c>
      <c r="P758" s="57">
        <v>0</v>
      </c>
      <c r="Q758" s="56">
        <v>60876</v>
      </c>
      <c r="R758" s="57">
        <f t="shared" si="11"/>
        <v>3563450</v>
      </c>
      <c r="S758" s="56"/>
      <c r="T758" s="57">
        <v>1722739</v>
      </c>
      <c r="U758" s="58">
        <v>-21268</v>
      </c>
      <c r="V758" s="58">
        <v>1701471</v>
      </c>
    </row>
    <row r="759" spans="1:22">
      <c r="A759" s="54">
        <v>98205</v>
      </c>
      <c r="B759" s="55" t="s">
        <v>2135</v>
      </c>
      <c r="C759" s="106">
        <v>5.13E-5</v>
      </c>
      <c r="D759" s="106">
        <v>5.02E-5</v>
      </c>
      <c r="E759" s="56">
        <v>23399.709999999995</v>
      </c>
      <c r="F759" s="56">
        <v>22529</v>
      </c>
      <c r="G759" s="56">
        <v>108876</v>
      </c>
      <c r="H759" s="56"/>
      <c r="I759" s="57">
        <v>2046</v>
      </c>
      <c r="J759" s="57">
        <v>95410</v>
      </c>
      <c r="K759" s="57">
        <v>7457</v>
      </c>
      <c r="L759" s="56">
        <v>2803</v>
      </c>
      <c r="M759" s="56"/>
      <c r="N759" s="57">
        <v>3815</v>
      </c>
      <c r="O759" s="57">
        <v>35215</v>
      </c>
      <c r="P759" s="57">
        <v>0</v>
      </c>
      <c r="Q759" s="56">
        <v>1718</v>
      </c>
      <c r="R759" s="57">
        <f t="shared" si="11"/>
        <v>60195</v>
      </c>
      <c r="S759" s="56"/>
      <c r="T759" s="57">
        <v>29101</v>
      </c>
      <c r="U759" s="58">
        <v>209</v>
      </c>
      <c r="V759" s="58">
        <v>29310</v>
      </c>
    </row>
    <row r="760" spans="1:22">
      <c r="A760" s="54">
        <v>98211</v>
      </c>
      <c r="B760" s="55" t="s">
        <v>2136</v>
      </c>
      <c r="C760" s="106">
        <v>9.1609999999999999E-4</v>
      </c>
      <c r="D760" s="106">
        <v>9.4729999999999999E-4</v>
      </c>
      <c r="E760" s="56">
        <v>316266.55</v>
      </c>
      <c r="F760" s="56">
        <v>425143</v>
      </c>
      <c r="G760" s="56">
        <v>1944271</v>
      </c>
      <c r="H760" s="56"/>
      <c r="I760" s="57">
        <v>36529</v>
      </c>
      <c r="J760" s="57">
        <v>1703801</v>
      </c>
      <c r="K760" s="57">
        <v>133165</v>
      </c>
      <c r="L760" s="56">
        <v>0</v>
      </c>
      <c r="M760" s="56"/>
      <c r="N760" s="57">
        <v>68129</v>
      </c>
      <c r="O760" s="57">
        <v>628864</v>
      </c>
      <c r="P760" s="57">
        <v>0</v>
      </c>
      <c r="Q760" s="56">
        <v>112970</v>
      </c>
      <c r="R760" s="57">
        <f t="shared" si="11"/>
        <v>1074937</v>
      </c>
      <c r="S760" s="56"/>
      <c r="T760" s="57">
        <v>519675</v>
      </c>
      <c r="U760" s="58">
        <v>-35337</v>
      </c>
      <c r="V760" s="58">
        <v>484338</v>
      </c>
    </row>
    <row r="761" spans="1:22">
      <c r="A761" s="54">
        <v>98218</v>
      </c>
      <c r="B761" s="55" t="s">
        <v>2137</v>
      </c>
      <c r="C761" s="106">
        <v>1.0200000000000001E-5</v>
      </c>
      <c r="D761" s="106">
        <v>1.08E-5</v>
      </c>
      <c r="E761" s="56">
        <v>4407.67</v>
      </c>
      <c r="F761" s="56">
        <v>4847</v>
      </c>
      <c r="G761" s="56">
        <v>21648</v>
      </c>
      <c r="H761" s="56"/>
      <c r="I761" s="57">
        <v>406.72500000000002</v>
      </c>
      <c r="J761" s="57">
        <v>18970</v>
      </c>
      <c r="K761" s="57">
        <v>1483</v>
      </c>
      <c r="L761" s="56">
        <v>0</v>
      </c>
      <c r="M761" s="56"/>
      <c r="N761" s="57">
        <v>759</v>
      </c>
      <c r="O761" s="57">
        <v>7002</v>
      </c>
      <c r="P761" s="57">
        <v>0</v>
      </c>
      <c r="Q761" s="56">
        <v>1864</v>
      </c>
      <c r="R761" s="57">
        <f t="shared" si="11"/>
        <v>11968</v>
      </c>
      <c r="S761" s="56"/>
      <c r="T761" s="57">
        <v>5786</v>
      </c>
      <c r="U761" s="58">
        <v>-792</v>
      </c>
      <c r="V761" s="58">
        <v>4994</v>
      </c>
    </row>
    <row r="762" spans="1:22">
      <c r="A762" s="54">
        <v>98221</v>
      </c>
      <c r="B762" s="55" t="s">
        <v>2138</v>
      </c>
      <c r="C762" s="106">
        <v>1.6799999999999998E-5</v>
      </c>
      <c r="D762" s="106">
        <v>1.5999999999999999E-5</v>
      </c>
      <c r="E762" s="56">
        <v>9584.15</v>
      </c>
      <c r="F762" s="56">
        <v>7181</v>
      </c>
      <c r="G762" s="56">
        <v>35655</v>
      </c>
      <c r="H762" s="56"/>
      <c r="I762" s="57">
        <v>669.9</v>
      </c>
      <c r="J762" s="57">
        <v>31245</v>
      </c>
      <c r="K762" s="57">
        <v>2442</v>
      </c>
      <c r="L762" s="56">
        <v>3240</v>
      </c>
      <c r="M762" s="56"/>
      <c r="N762" s="57">
        <v>1249</v>
      </c>
      <c r="O762" s="57">
        <v>11532</v>
      </c>
      <c r="P762" s="57">
        <v>0</v>
      </c>
      <c r="Q762" s="56">
        <v>0</v>
      </c>
      <c r="R762" s="57">
        <f t="shared" si="11"/>
        <v>19713</v>
      </c>
      <c r="S762" s="56"/>
      <c r="T762" s="57">
        <v>9530</v>
      </c>
      <c r="U762" s="58">
        <v>905</v>
      </c>
      <c r="V762" s="58">
        <v>10435</v>
      </c>
    </row>
    <row r="763" spans="1:22">
      <c r="A763" s="54">
        <v>98231</v>
      </c>
      <c r="B763" s="55" t="s">
        <v>2139</v>
      </c>
      <c r="C763" s="106">
        <v>3.1999999999999999E-5</v>
      </c>
      <c r="D763" s="106">
        <v>3.7400000000000001E-5</v>
      </c>
      <c r="E763" s="56">
        <v>13931.16</v>
      </c>
      <c r="F763" s="56">
        <v>16785</v>
      </c>
      <c r="G763" s="56">
        <v>67914.720000000001</v>
      </c>
      <c r="H763" s="56"/>
      <c r="I763" s="57">
        <v>1276</v>
      </c>
      <c r="J763" s="57">
        <v>59515</v>
      </c>
      <c r="K763" s="57">
        <v>4652</v>
      </c>
      <c r="L763" s="56">
        <v>2641</v>
      </c>
      <c r="M763" s="56"/>
      <c r="N763" s="57">
        <v>2380</v>
      </c>
      <c r="O763" s="57">
        <v>21967</v>
      </c>
      <c r="P763" s="57">
        <v>0</v>
      </c>
      <c r="Q763" s="56">
        <v>7471</v>
      </c>
      <c r="R763" s="57">
        <f t="shared" si="11"/>
        <v>37548</v>
      </c>
      <c r="S763" s="56"/>
      <c r="T763" s="57">
        <v>18153</v>
      </c>
      <c r="U763" s="58">
        <v>-2254</v>
      </c>
      <c r="V763" s="58">
        <v>15898</v>
      </c>
    </row>
    <row r="764" spans="1:22">
      <c r="A764" s="54">
        <v>98237</v>
      </c>
      <c r="B764" s="55" t="s">
        <v>2140</v>
      </c>
      <c r="C764" s="106">
        <v>2.7E-6</v>
      </c>
      <c r="D764" s="106">
        <v>2.9000000000000002E-6</v>
      </c>
      <c r="E764" s="56">
        <v>2766.5699999999997</v>
      </c>
      <c r="F764" s="56">
        <v>1302</v>
      </c>
      <c r="G764" s="56">
        <v>5730</v>
      </c>
      <c r="H764" s="56"/>
      <c r="I764" s="57">
        <v>107.66249999999999</v>
      </c>
      <c r="J764" s="57">
        <v>5022</v>
      </c>
      <c r="K764" s="57">
        <v>392</v>
      </c>
      <c r="L764" s="56">
        <v>2342</v>
      </c>
      <c r="M764" s="56"/>
      <c r="N764" s="57">
        <v>201</v>
      </c>
      <c r="O764" s="57">
        <v>1853</v>
      </c>
      <c r="P764" s="57">
        <v>0</v>
      </c>
      <c r="Q764" s="56">
        <v>0</v>
      </c>
      <c r="R764" s="57">
        <f t="shared" si="11"/>
        <v>3169</v>
      </c>
      <c r="S764" s="56"/>
      <c r="T764" s="57">
        <v>1532</v>
      </c>
      <c r="U764" s="58">
        <v>795</v>
      </c>
      <c r="V764" s="58">
        <v>2326</v>
      </c>
    </row>
    <row r="765" spans="1:22">
      <c r="A765" s="54">
        <v>98241</v>
      </c>
      <c r="B765" s="55" t="s">
        <v>2141</v>
      </c>
      <c r="C765" s="106">
        <v>1.98E-5</v>
      </c>
      <c r="D765" s="106">
        <v>1.0200000000000001E-5</v>
      </c>
      <c r="E765" s="56">
        <v>7740.8499999999995</v>
      </c>
      <c r="F765" s="56">
        <v>4578</v>
      </c>
      <c r="G765" s="56">
        <v>42022</v>
      </c>
      <c r="H765" s="56"/>
      <c r="I765" s="57">
        <v>789.52499999999998</v>
      </c>
      <c r="J765" s="57">
        <v>36825</v>
      </c>
      <c r="K765" s="57">
        <v>2878</v>
      </c>
      <c r="L765" s="56">
        <v>8690</v>
      </c>
      <c r="M765" s="56"/>
      <c r="N765" s="57">
        <v>1473</v>
      </c>
      <c r="O765" s="57">
        <v>13592</v>
      </c>
      <c r="P765" s="57">
        <v>0</v>
      </c>
      <c r="Q765" s="56">
        <v>331</v>
      </c>
      <c r="R765" s="57">
        <f t="shared" si="11"/>
        <v>23233</v>
      </c>
      <c r="S765" s="56"/>
      <c r="T765" s="57">
        <v>11232</v>
      </c>
      <c r="U765" s="58">
        <v>3061</v>
      </c>
      <c r="V765" s="58">
        <v>14293</v>
      </c>
    </row>
    <row r="766" spans="1:22">
      <c r="A766" s="54">
        <v>98251</v>
      </c>
      <c r="B766" s="55" t="s">
        <v>2142</v>
      </c>
      <c r="C766" s="106">
        <v>3.1E-6</v>
      </c>
      <c r="D766" s="106">
        <v>3.1E-6</v>
      </c>
      <c r="E766" s="56">
        <v>1870.1600000000003</v>
      </c>
      <c r="F766" s="56">
        <v>1391</v>
      </c>
      <c r="G766" s="56">
        <v>6579</v>
      </c>
      <c r="H766" s="56"/>
      <c r="I766" s="57">
        <v>123.6125</v>
      </c>
      <c r="J766" s="57">
        <v>5766</v>
      </c>
      <c r="K766" s="57">
        <v>451</v>
      </c>
      <c r="L766" s="56">
        <v>1191</v>
      </c>
      <c r="M766" s="56"/>
      <c r="N766" s="57">
        <v>231</v>
      </c>
      <c r="O766" s="57">
        <v>2128</v>
      </c>
      <c r="P766" s="57">
        <v>0</v>
      </c>
      <c r="Q766" s="56">
        <v>0</v>
      </c>
      <c r="R766" s="57">
        <f t="shared" si="11"/>
        <v>3638</v>
      </c>
      <c r="S766" s="56"/>
      <c r="T766" s="57">
        <v>1759</v>
      </c>
      <c r="U766" s="58">
        <v>412</v>
      </c>
      <c r="V766" s="58">
        <v>2171</v>
      </c>
    </row>
    <row r="767" spans="1:22">
      <c r="A767" s="54">
        <v>98261</v>
      </c>
      <c r="B767" s="55" t="s">
        <v>2143</v>
      </c>
      <c r="C767" s="106">
        <v>2.97E-5</v>
      </c>
      <c r="D767" s="106">
        <v>4.3099999999999997E-5</v>
      </c>
      <c r="E767" s="56">
        <v>12989.23</v>
      </c>
      <c r="F767" s="56">
        <v>19343</v>
      </c>
      <c r="G767" s="56">
        <v>63033</v>
      </c>
      <c r="H767" s="56"/>
      <c r="I767" s="57">
        <v>1184</v>
      </c>
      <c r="J767" s="57">
        <v>55237</v>
      </c>
      <c r="K767" s="57">
        <v>4317</v>
      </c>
      <c r="L767" s="56">
        <v>4504</v>
      </c>
      <c r="M767" s="56"/>
      <c r="N767" s="57">
        <v>2209</v>
      </c>
      <c r="O767" s="57">
        <v>20388</v>
      </c>
      <c r="P767" s="57">
        <v>0</v>
      </c>
      <c r="Q767" s="56">
        <v>6643</v>
      </c>
      <c r="R767" s="57">
        <f t="shared" si="11"/>
        <v>34849</v>
      </c>
      <c r="S767" s="56"/>
      <c r="T767" s="57">
        <v>16848</v>
      </c>
      <c r="U767" s="58">
        <v>-118</v>
      </c>
      <c r="V767" s="58">
        <v>16730</v>
      </c>
    </row>
    <row r="768" spans="1:22">
      <c r="A768" s="54">
        <v>98271</v>
      </c>
      <c r="B768" s="55" t="s">
        <v>2144</v>
      </c>
      <c r="C768" s="106">
        <v>4.5000000000000001E-6</v>
      </c>
      <c r="D768" s="106">
        <v>3.4000000000000001E-6</v>
      </c>
      <c r="E768" s="56">
        <v>3055.2599999999998</v>
      </c>
      <c r="F768" s="56">
        <v>1526</v>
      </c>
      <c r="G768" s="56">
        <v>9551</v>
      </c>
      <c r="H768" s="56"/>
      <c r="I768" s="57">
        <v>179.4375</v>
      </c>
      <c r="J768" s="57">
        <v>8369</v>
      </c>
      <c r="K768" s="57">
        <v>654</v>
      </c>
      <c r="L768" s="56">
        <v>3951</v>
      </c>
      <c r="M768" s="56"/>
      <c r="N768" s="57">
        <v>335</v>
      </c>
      <c r="O768" s="57">
        <v>3089</v>
      </c>
      <c r="P768" s="57">
        <v>0</v>
      </c>
      <c r="Q768" s="56">
        <v>0</v>
      </c>
      <c r="R768" s="57">
        <f t="shared" si="11"/>
        <v>5280</v>
      </c>
      <c r="S768" s="56"/>
      <c r="T768" s="57">
        <v>2553</v>
      </c>
      <c r="U768" s="58">
        <v>1392</v>
      </c>
      <c r="V768" s="58">
        <v>3945</v>
      </c>
    </row>
    <row r="769" spans="1:22">
      <c r="A769" s="54">
        <v>98301</v>
      </c>
      <c r="B769" s="55" t="s">
        <v>2145</v>
      </c>
      <c r="C769" s="106">
        <v>1.7776999999999999E-3</v>
      </c>
      <c r="D769" s="106">
        <v>1.7478999999999999E-3</v>
      </c>
      <c r="E769" s="56">
        <v>735954.37000000011</v>
      </c>
      <c r="F769" s="56">
        <v>784447</v>
      </c>
      <c r="G769" s="56">
        <v>3772875</v>
      </c>
      <c r="H769" s="56"/>
      <c r="I769" s="57">
        <v>70886</v>
      </c>
      <c r="J769" s="57">
        <v>3306241</v>
      </c>
      <c r="K769" s="57">
        <v>258408</v>
      </c>
      <c r="L769" s="56">
        <v>76085</v>
      </c>
      <c r="M769" s="56"/>
      <c r="N769" s="57">
        <v>132206</v>
      </c>
      <c r="O769" s="57">
        <v>1220316</v>
      </c>
      <c r="P769" s="57">
        <v>0</v>
      </c>
      <c r="Q769" s="56">
        <v>15711</v>
      </c>
      <c r="R769" s="57">
        <f t="shared" si="11"/>
        <v>2085925</v>
      </c>
      <c r="S769" s="56"/>
      <c r="T769" s="57">
        <v>1008434</v>
      </c>
      <c r="U769" s="58">
        <v>17172</v>
      </c>
      <c r="V769" s="58">
        <v>1025606</v>
      </c>
    </row>
    <row r="770" spans="1:22">
      <c r="A770" s="54">
        <v>98304</v>
      </c>
      <c r="B770" s="55" t="s">
        <v>2146</v>
      </c>
      <c r="C770" s="106">
        <v>2.2900000000000001E-5</v>
      </c>
      <c r="D770" s="106">
        <v>2.4499999999999999E-5</v>
      </c>
      <c r="E770" s="56">
        <v>11385.829999999998</v>
      </c>
      <c r="F770" s="56">
        <v>10995</v>
      </c>
      <c r="G770" s="56">
        <v>48601</v>
      </c>
      <c r="H770" s="56"/>
      <c r="I770" s="57">
        <v>913.13750000000005</v>
      </c>
      <c r="J770" s="57">
        <v>42590</v>
      </c>
      <c r="K770" s="57">
        <v>3329</v>
      </c>
      <c r="L770" s="56">
        <v>1590</v>
      </c>
      <c r="M770" s="56"/>
      <c r="N770" s="57">
        <v>1703</v>
      </c>
      <c r="O770" s="57">
        <v>15720</v>
      </c>
      <c r="P770" s="57">
        <v>0</v>
      </c>
      <c r="Q770" s="56">
        <v>0</v>
      </c>
      <c r="R770" s="57">
        <f t="shared" si="11"/>
        <v>26870</v>
      </c>
      <c r="S770" s="56"/>
      <c r="T770" s="57">
        <v>12990</v>
      </c>
      <c r="U770" s="58">
        <v>514</v>
      </c>
      <c r="V770" s="58">
        <v>13504</v>
      </c>
    </row>
    <row r="771" spans="1:22">
      <c r="A771" s="54">
        <v>98308</v>
      </c>
      <c r="B771" s="55" t="s">
        <v>2147</v>
      </c>
      <c r="C771" s="106">
        <v>2.55E-5</v>
      </c>
      <c r="D771" s="106">
        <v>2.5000000000000001E-5</v>
      </c>
      <c r="E771" s="56">
        <v>13854.839999999998</v>
      </c>
      <c r="F771" s="56">
        <v>11219.85</v>
      </c>
      <c r="G771" s="56">
        <v>54120</v>
      </c>
      <c r="H771" s="56"/>
      <c r="I771" s="57">
        <v>1016.8125</v>
      </c>
      <c r="J771" s="57">
        <v>47426</v>
      </c>
      <c r="K771" s="57">
        <v>3707</v>
      </c>
      <c r="L771" s="56">
        <v>7689</v>
      </c>
      <c r="M771" s="56"/>
      <c r="N771" s="57">
        <v>1896</v>
      </c>
      <c r="O771" s="57">
        <v>17505</v>
      </c>
      <c r="P771" s="57">
        <v>0</v>
      </c>
      <c r="Q771" s="56">
        <v>0</v>
      </c>
      <c r="R771" s="57">
        <f t="shared" si="11"/>
        <v>29921</v>
      </c>
      <c r="S771" s="56"/>
      <c r="T771" s="57">
        <v>14465</v>
      </c>
      <c r="U771" s="58">
        <v>2796</v>
      </c>
      <c r="V771" s="58">
        <v>17261</v>
      </c>
    </row>
    <row r="772" spans="1:22">
      <c r="A772" s="54">
        <v>98311</v>
      </c>
      <c r="B772" s="55" t="s">
        <v>2148</v>
      </c>
      <c r="C772" s="106">
        <v>1.1441999999999999E-3</v>
      </c>
      <c r="D772" s="106">
        <v>1.1704E-3</v>
      </c>
      <c r="E772" s="56">
        <v>413994.32000000007</v>
      </c>
      <c r="F772" s="56">
        <v>525268</v>
      </c>
      <c r="G772" s="56">
        <v>2428376</v>
      </c>
      <c r="H772" s="56"/>
      <c r="I772" s="57">
        <v>45625</v>
      </c>
      <c r="J772" s="57">
        <v>2128031</v>
      </c>
      <c r="K772" s="57">
        <v>166322</v>
      </c>
      <c r="L772" s="56">
        <v>25434</v>
      </c>
      <c r="M772" s="56"/>
      <c r="N772" s="57">
        <v>85093</v>
      </c>
      <c r="O772" s="57">
        <v>785445</v>
      </c>
      <c r="P772" s="57">
        <v>0</v>
      </c>
      <c r="Q772" s="56">
        <v>70361</v>
      </c>
      <c r="R772" s="57">
        <f t="shared" si="11"/>
        <v>1342586</v>
      </c>
      <c r="S772" s="56"/>
      <c r="T772" s="57">
        <v>649069</v>
      </c>
      <c r="U772" s="58">
        <v>-6523</v>
      </c>
      <c r="V772" s="58">
        <v>642547</v>
      </c>
    </row>
    <row r="773" spans="1:22">
      <c r="A773" s="54">
        <v>98313</v>
      </c>
      <c r="B773" s="55" t="s">
        <v>2149</v>
      </c>
      <c r="C773" s="106">
        <v>2.4240000000000001E-4</v>
      </c>
      <c r="D773" s="106">
        <v>2.3589999999999999E-4</v>
      </c>
      <c r="E773" s="56">
        <v>227095.51</v>
      </c>
      <c r="F773" s="56">
        <v>105871</v>
      </c>
      <c r="G773" s="56">
        <v>514454</v>
      </c>
      <c r="H773" s="56"/>
      <c r="I773" s="57">
        <v>9666</v>
      </c>
      <c r="J773" s="57">
        <v>450826</v>
      </c>
      <c r="K773" s="57">
        <v>35236</v>
      </c>
      <c r="L773" s="56">
        <v>166298</v>
      </c>
      <c r="M773" s="56"/>
      <c r="N773" s="57">
        <v>18027</v>
      </c>
      <c r="O773" s="57">
        <v>166397</v>
      </c>
      <c r="P773" s="57">
        <v>0</v>
      </c>
      <c r="Q773" s="56">
        <v>119.4</v>
      </c>
      <c r="R773" s="57">
        <f t="shared" si="11"/>
        <v>284429</v>
      </c>
      <c r="S773" s="56"/>
      <c r="T773" s="57">
        <v>137506</v>
      </c>
      <c r="U773" s="58">
        <v>48906</v>
      </c>
      <c r="V773" s="58">
        <v>186412</v>
      </c>
    </row>
    <row r="774" spans="1:22">
      <c r="A774" s="54">
        <v>98321</v>
      </c>
      <c r="B774" s="55" t="s">
        <v>2150</v>
      </c>
      <c r="C774" s="106">
        <v>2.1399999999999998E-5</v>
      </c>
      <c r="D774" s="106">
        <v>2.9E-5</v>
      </c>
      <c r="E774" s="56">
        <v>9180.25</v>
      </c>
      <c r="F774" s="56">
        <v>13015</v>
      </c>
      <c r="G774" s="56">
        <v>45418</v>
      </c>
      <c r="H774" s="56"/>
      <c r="I774" s="57">
        <v>853</v>
      </c>
      <c r="J774" s="57">
        <v>39801</v>
      </c>
      <c r="K774" s="57">
        <v>3111</v>
      </c>
      <c r="L774" s="56">
        <v>3126</v>
      </c>
      <c r="M774" s="56"/>
      <c r="N774" s="57">
        <v>1591</v>
      </c>
      <c r="O774" s="57">
        <v>14690</v>
      </c>
      <c r="P774" s="57">
        <v>0</v>
      </c>
      <c r="Q774" s="56">
        <v>4186</v>
      </c>
      <c r="R774" s="57">
        <f t="shared" si="11"/>
        <v>25111</v>
      </c>
      <c r="S774" s="56"/>
      <c r="T774" s="57">
        <v>12140</v>
      </c>
      <c r="U774" s="58">
        <v>451</v>
      </c>
      <c r="V774" s="58">
        <v>12591</v>
      </c>
    </row>
    <row r="775" spans="1:22">
      <c r="A775" s="54">
        <v>98331</v>
      </c>
      <c r="B775" s="55" t="s">
        <v>2151</v>
      </c>
      <c r="C775" s="106">
        <v>1.03E-5</v>
      </c>
      <c r="D775" s="106">
        <v>9.7999999999999993E-6</v>
      </c>
      <c r="E775" s="56">
        <v>5903.22</v>
      </c>
      <c r="F775" s="56">
        <v>4398</v>
      </c>
      <c r="G775" s="56">
        <v>21860</v>
      </c>
      <c r="H775" s="56"/>
      <c r="I775" s="57">
        <v>410.71249999999998</v>
      </c>
      <c r="J775" s="57">
        <v>19156</v>
      </c>
      <c r="K775" s="57">
        <v>1497</v>
      </c>
      <c r="L775" s="56">
        <v>2778</v>
      </c>
      <c r="M775" s="56"/>
      <c r="N775" s="57">
        <v>766</v>
      </c>
      <c r="O775" s="57">
        <v>7071</v>
      </c>
      <c r="P775" s="57">
        <v>0</v>
      </c>
      <c r="Q775" s="56">
        <v>264.67</v>
      </c>
      <c r="R775" s="57">
        <f t="shared" ref="R775:R838" si="12">IF(J775&gt;O775,J775-O775,O775-J775)</f>
        <v>12085</v>
      </c>
      <c r="S775" s="56"/>
      <c r="T775" s="57">
        <v>5843</v>
      </c>
      <c r="U775" s="58">
        <v>700</v>
      </c>
      <c r="V775" s="58">
        <v>6542</v>
      </c>
    </row>
    <row r="776" spans="1:22">
      <c r="A776" s="54">
        <v>98401</v>
      </c>
      <c r="B776" s="55" t="s">
        <v>2152</v>
      </c>
      <c r="C776" s="106">
        <v>2.7567999999999998E-3</v>
      </c>
      <c r="D776" s="106">
        <v>2.8057999999999998E-3</v>
      </c>
      <c r="E776" s="56">
        <v>1156444.24</v>
      </c>
      <c r="F776" s="56">
        <v>1259226</v>
      </c>
      <c r="G776" s="56">
        <v>5850853</v>
      </c>
      <c r="H776" s="56"/>
      <c r="I776" s="57">
        <v>109927.4</v>
      </c>
      <c r="J776" s="57">
        <v>5127212</v>
      </c>
      <c r="K776" s="57">
        <v>400731</v>
      </c>
      <c r="L776" s="56">
        <v>92083</v>
      </c>
      <c r="M776" s="56"/>
      <c r="N776" s="57">
        <v>205020</v>
      </c>
      <c r="O776" s="57">
        <v>1892427</v>
      </c>
      <c r="P776" s="57">
        <v>0</v>
      </c>
      <c r="Q776" s="56">
        <v>8491</v>
      </c>
      <c r="R776" s="57">
        <f t="shared" si="12"/>
        <v>3234785</v>
      </c>
      <c r="S776" s="56"/>
      <c r="T776" s="57">
        <v>1563847</v>
      </c>
      <c r="U776" s="58">
        <v>31358</v>
      </c>
      <c r="V776" s="58">
        <v>1595205</v>
      </c>
    </row>
    <row r="777" spans="1:22">
      <c r="A777" s="54">
        <v>98411</v>
      </c>
      <c r="B777" s="55" t="s">
        <v>2154</v>
      </c>
      <c r="C777" s="106">
        <v>2.0076999999999998E-3</v>
      </c>
      <c r="D777" s="106">
        <v>1.9907000000000002E-3</v>
      </c>
      <c r="E777" s="56">
        <v>792048.89</v>
      </c>
      <c r="F777" s="56">
        <v>893414</v>
      </c>
      <c r="G777" s="56">
        <v>4261012</v>
      </c>
      <c r="H777" s="56"/>
      <c r="I777" s="57">
        <v>80057</v>
      </c>
      <c r="J777" s="57">
        <v>3734005</v>
      </c>
      <c r="K777" s="57">
        <v>291841</v>
      </c>
      <c r="L777" s="56">
        <v>8012</v>
      </c>
      <c r="M777" s="56"/>
      <c r="N777" s="57">
        <v>149311</v>
      </c>
      <c r="O777" s="57">
        <v>1378202</v>
      </c>
      <c r="P777" s="57">
        <v>0</v>
      </c>
      <c r="Q777" s="56">
        <v>35211</v>
      </c>
      <c r="R777" s="57">
        <f t="shared" si="12"/>
        <v>2355803</v>
      </c>
      <c r="S777" s="56"/>
      <c r="T777" s="57">
        <v>1138906</v>
      </c>
      <c r="U777" s="58">
        <v>-6790</v>
      </c>
      <c r="V777" s="58">
        <v>1132116</v>
      </c>
    </row>
    <row r="778" spans="1:22">
      <c r="A778" s="54">
        <v>98417</v>
      </c>
      <c r="B778" s="55" t="s">
        <v>2156</v>
      </c>
      <c r="C778" s="106">
        <v>2.4899999999999999E-5</v>
      </c>
      <c r="D778" s="106">
        <v>2.6400000000000001E-5</v>
      </c>
      <c r="E778" s="56">
        <v>12734.51</v>
      </c>
      <c r="F778" s="56">
        <v>11848</v>
      </c>
      <c r="G778" s="56">
        <v>52846</v>
      </c>
      <c r="H778" s="56"/>
      <c r="I778" s="57">
        <v>993</v>
      </c>
      <c r="J778" s="57">
        <v>46310</v>
      </c>
      <c r="K778" s="57">
        <v>3619</v>
      </c>
      <c r="L778" s="56">
        <v>1318</v>
      </c>
      <c r="M778" s="56"/>
      <c r="N778" s="57">
        <v>1852</v>
      </c>
      <c r="O778" s="57">
        <v>17093</v>
      </c>
      <c r="P778" s="57">
        <v>0</v>
      </c>
      <c r="Q778" s="56">
        <v>852</v>
      </c>
      <c r="R778" s="57">
        <f t="shared" si="12"/>
        <v>29217</v>
      </c>
      <c r="S778" s="56"/>
      <c r="T778" s="57">
        <v>14125</v>
      </c>
      <c r="U778" s="58">
        <v>-72</v>
      </c>
      <c r="V778" s="58">
        <v>14053</v>
      </c>
    </row>
    <row r="779" spans="1:22">
      <c r="A779" s="54">
        <v>98421</v>
      </c>
      <c r="B779" s="55" t="s">
        <v>2157</v>
      </c>
      <c r="C779" s="106">
        <v>1.0840000000000001E-4</v>
      </c>
      <c r="D779" s="106">
        <v>1.021E-4</v>
      </c>
      <c r="E779" s="56">
        <v>40835.009999999995</v>
      </c>
      <c r="F779" s="56">
        <v>45822</v>
      </c>
      <c r="G779" s="56">
        <v>230061</v>
      </c>
      <c r="H779" s="56"/>
      <c r="I779" s="57">
        <v>4322.45</v>
      </c>
      <c r="J779" s="57">
        <v>201607</v>
      </c>
      <c r="K779" s="57">
        <v>15757</v>
      </c>
      <c r="L779" s="56">
        <v>7887</v>
      </c>
      <c r="M779" s="56"/>
      <c r="N779" s="57">
        <v>8062</v>
      </c>
      <c r="O779" s="57">
        <v>74412</v>
      </c>
      <c r="P779" s="57">
        <v>0</v>
      </c>
      <c r="Q779" s="56">
        <v>1282</v>
      </c>
      <c r="R779" s="57">
        <f t="shared" si="12"/>
        <v>127195</v>
      </c>
      <c r="S779" s="56"/>
      <c r="T779" s="57">
        <v>61492</v>
      </c>
      <c r="U779" s="58">
        <v>2111</v>
      </c>
      <c r="V779" s="58">
        <v>63603</v>
      </c>
    </row>
    <row r="780" spans="1:22">
      <c r="A780" s="54">
        <v>98427</v>
      </c>
      <c r="B780" s="55" t="s">
        <v>2158</v>
      </c>
      <c r="C780" s="106">
        <v>4.6E-6</v>
      </c>
      <c r="D780" s="106">
        <v>5.2000000000000002E-6</v>
      </c>
      <c r="E780" s="56">
        <v>2927.04</v>
      </c>
      <c r="F780" s="56">
        <v>2334</v>
      </c>
      <c r="G780" s="56">
        <v>9763</v>
      </c>
      <c r="H780" s="56"/>
      <c r="I780" s="57">
        <v>183.42500000000001</v>
      </c>
      <c r="J780" s="57">
        <v>8555</v>
      </c>
      <c r="K780" s="57">
        <v>669</v>
      </c>
      <c r="L780" s="56">
        <v>946</v>
      </c>
      <c r="M780" s="56"/>
      <c r="N780" s="57">
        <v>342</v>
      </c>
      <c r="O780" s="57">
        <v>3158</v>
      </c>
      <c r="P780" s="57">
        <v>0</v>
      </c>
      <c r="Q780" s="56">
        <v>0</v>
      </c>
      <c r="R780" s="57">
        <f t="shared" si="12"/>
        <v>5397</v>
      </c>
      <c r="S780" s="56"/>
      <c r="T780" s="57">
        <v>2609</v>
      </c>
      <c r="U780" s="58">
        <v>309</v>
      </c>
      <c r="V780" s="58">
        <v>2918</v>
      </c>
    </row>
    <row r="781" spans="1:22">
      <c r="A781" s="54">
        <v>98431</v>
      </c>
      <c r="B781" s="55" t="s">
        <v>2159</v>
      </c>
      <c r="C781" s="106">
        <v>2.0010000000000001E-4</v>
      </c>
      <c r="D781" s="106">
        <v>2.0560000000000001E-4</v>
      </c>
      <c r="E781" s="56">
        <v>68368.560000000012</v>
      </c>
      <c r="F781" s="56">
        <v>92272</v>
      </c>
      <c r="G781" s="56">
        <v>424679</v>
      </c>
      <c r="H781" s="56"/>
      <c r="I781" s="57">
        <v>7979</v>
      </c>
      <c r="J781" s="57">
        <v>372154</v>
      </c>
      <c r="K781" s="57">
        <v>29087</v>
      </c>
      <c r="L781" s="56">
        <v>2505</v>
      </c>
      <c r="M781" s="56"/>
      <c r="N781" s="57">
        <v>14881</v>
      </c>
      <c r="O781" s="57">
        <v>137360</v>
      </c>
      <c r="P781" s="57">
        <v>0</v>
      </c>
      <c r="Q781" s="56">
        <v>22555</v>
      </c>
      <c r="R781" s="57">
        <f t="shared" si="12"/>
        <v>234794</v>
      </c>
      <c r="S781" s="56"/>
      <c r="T781" s="57">
        <v>113511</v>
      </c>
      <c r="U781" s="58">
        <v>-5398</v>
      </c>
      <c r="V781" s="58">
        <v>108113</v>
      </c>
    </row>
    <row r="782" spans="1:22">
      <c r="A782" s="54">
        <v>98441</v>
      </c>
      <c r="B782" s="55" t="s">
        <v>2160</v>
      </c>
      <c r="C782" s="106">
        <v>9.1000000000000003E-5</v>
      </c>
      <c r="D782" s="106">
        <v>1.039E-4</v>
      </c>
      <c r="E782" s="56">
        <v>33724.18</v>
      </c>
      <c r="F782" s="56">
        <v>46630</v>
      </c>
      <c r="G782" s="56">
        <v>193132</v>
      </c>
      <c r="H782" s="56"/>
      <c r="I782" s="57">
        <v>3628.625</v>
      </c>
      <c r="J782" s="57">
        <v>169246</v>
      </c>
      <c r="K782" s="57">
        <v>13228</v>
      </c>
      <c r="L782" s="56">
        <v>1146</v>
      </c>
      <c r="M782" s="56"/>
      <c r="N782" s="57">
        <v>6768</v>
      </c>
      <c r="O782" s="57">
        <v>62468</v>
      </c>
      <c r="P782" s="57">
        <v>0</v>
      </c>
      <c r="Q782" s="56">
        <v>21657</v>
      </c>
      <c r="R782" s="57">
        <f t="shared" si="12"/>
        <v>106778</v>
      </c>
      <c r="S782" s="56"/>
      <c r="T782" s="57">
        <v>51621</v>
      </c>
      <c r="U782" s="58">
        <v>-6156</v>
      </c>
      <c r="V782" s="58">
        <v>45466</v>
      </c>
    </row>
    <row r="783" spans="1:22">
      <c r="A783" s="54">
        <v>98451</v>
      </c>
      <c r="B783" s="55" t="s">
        <v>2161</v>
      </c>
      <c r="C783" s="106">
        <v>5.6199999999999997E-5</v>
      </c>
      <c r="D783" s="106">
        <v>6.0300000000000002E-5</v>
      </c>
      <c r="E783" s="56">
        <v>24172.809999999998</v>
      </c>
      <c r="F783" s="56">
        <v>27062</v>
      </c>
      <c r="G783" s="56">
        <v>119275</v>
      </c>
      <c r="H783" s="56"/>
      <c r="I783" s="57">
        <v>2240.9749999999999</v>
      </c>
      <c r="J783" s="57">
        <v>104523</v>
      </c>
      <c r="K783" s="57">
        <v>8169</v>
      </c>
      <c r="L783" s="56">
        <v>0</v>
      </c>
      <c r="M783" s="56"/>
      <c r="N783" s="57">
        <v>4180</v>
      </c>
      <c r="O783" s="57">
        <v>38579</v>
      </c>
      <c r="P783" s="57">
        <v>0</v>
      </c>
      <c r="Q783" s="56">
        <v>2135</v>
      </c>
      <c r="R783" s="57">
        <f t="shared" si="12"/>
        <v>65944</v>
      </c>
      <c r="S783" s="56"/>
      <c r="T783" s="57">
        <v>31881</v>
      </c>
      <c r="U783" s="58">
        <v>-657</v>
      </c>
      <c r="V783" s="58">
        <v>31223</v>
      </c>
    </row>
    <row r="784" spans="1:22">
      <c r="A784" s="54">
        <v>98481</v>
      </c>
      <c r="B784" s="55" t="s">
        <v>2162</v>
      </c>
      <c r="C784" s="106">
        <v>6.7700000000000006E-5</v>
      </c>
      <c r="D784" s="106">
        <v>6.2500000000000001E-5</v>
      </c>
      <c r="E784" s="56">
        <v>21741.83</v>
      </c>
      <c r="F784" s="56">
        <v>28049.625</v>
      </c>
      <c r="G784" s="56">
        <v>143682</v>
      </c>
      <c r="H784" s="56"/>
      <c r="I784" s="57">
        <v>2700</v>
      </c>
      <c r="J784" s="57">
        <v>125911</v>
      </c>
      <c r="K784" s="57">
        <v>9841</v>
      </c>
      <c r="L784" s="56">
        <v>3106</v>
      </c>
      <c r="M784" s="56"/>
      <c r="N784" s="57">
        <v>5035</v>
      </c>
      <c r="O784" s="57">
        <v>46473</v>
      </c>
      <c r="P784" s="57">
        <v>0</v>
      </c>
      <c r="Q784" s="56">
        <v>2045</v>
      </c>
      <c r="R784" s="57">
        <f t="shared" si="12"/>
        <v>79438</v>
      </c>
      <c r="S784" s="56"/>
      <c r="T784" s="57">
        <v>38404</v>
      </c>
      <c r="U784" s="58">
        <v>1029</v>
      </c>
      <c r="V784" s="58">
        <v>39434</v>
      </c>
    </row>
    <row r="785" spans="1:22">
      <c r="A785" s="54">
        <v>98501</v>
      </c>
      <c r="B785" s="55" t="s">
        <v>2163</v>
      </c>
      <c r="C785" s="106">
        <v>1.5690999999999999E-3</v>
      </c>
      <c r="D785" s="106">
        <v>1.5471E-3</v>
      </c>
      <c r="E785" s="56">
        <v>684836.9</v>
      </c>
      <c r="F785" s="56">
        <v>694329</v>
      </c>
      <c r="G785" s="56">
        <v>3330156</v>
      </c>
      <c r="H785" s="56"/>
      <c r="I785" s="57">
        <v>62568</v>
      </c>
      <c r="J785" s="57">
        <v>2918278</v>
      </c>
      <c r="K785" s="57">
        <v>228086</v>
      </c>
      <c r="L785" s="56">
        <v>44212</v>
      </c>
      <c r="M785" s="56"/>
      <c r="N785" s="57">
        <v>116692</v>
      </c>
      <c r="O785" s="57">
        <v>1077121</v>
      </c>
      <c r="P785" s="57">
        <v>0</v>
      </c>
      <c r="Q785" s="56">
        <v>5894</v>
      </c>
      <c r="R785" s="57">
        <f t="shared" si="12"/>
        <v>1841157</v>
      </c>
      <c r="S785" s="56"/>
      <c r="T785" s="57">
        <v>890102</v>
      </c>
      <c r="U785" s="58">
        <v>8576</v>
      </c>
      <c r="V785" s="58">
        <v>898678</v>
      </c>
    </row>
    <row r="786" spans="1:22">
      <c r="A786" s="54">
        <v>98511</v>
      </c>
      <c r="B786" s="55" t="s">
        <v>2164</v>
      </c>
      <c r="C786" s="106">
        <v>4.5800000000000002E-5</v>
      </c>
      <c r="D786" s="106">
        <v>3.96E-5</v>
      </c>
      <c r="E786" s="56">
        <v>20253.45</v>
      </c>
      <c r="F786" s="56">
        <v>17772</v>
      </c>
      <c r="G786" s="56">
        <v>97203</v>
      </c>
      <c r="H786" s="56"/>
      <c r="I786" s="57">
        <v>1826.2750000000001</v>
      </c>
      <c r="J786" s="57">
        <v>85181</v>
      </c>
      <c r="K786" s="57">
        <v>6658</v>
      </c>
      <c r="L786" s="56">
        <v>4485</v>
      </c>
      <c r="M786" s="56"/>
      <c r="N786" s="57">
        <v>3406</v>
      </c>
      <c r="O786" s="57">
        <v>31440</v>
      </c>
      <c r="P786" s="57">
        <v>0</v>
      </c>
      <c r="Q786" s="56">
        <v>23108</v>
      </c>
      <c r="R786" s="57">
        <f t="shared" si="12"/>
        <v>53741</v>
      </c>
      <c r="S786" s="56"/>
      <c r="T786" s="57">
        <v>25981</v>
      </c>
      <c r="U786" s="58">
        <v>-10027</v>
      </c>
      <c r="V786" s="58">
        <v>15954</v>
      </c>
    </row>
    <row r="787" spans="1:22">
      <c r="A787" s="54">
        <v>98517</v>
      </c>
      <c r="B787" s="55" t="s">
        <v>2165</v>
      </c>
      <c r="C787" s="106">
        <v>2.6000000000000001E-6</v>
      </c>
      <c r="D787" s="106">
        <v>3.3000000000000002E-6</v>
      </c>
      <c r="E787" s="56">
        <v>2175.1200000000003</v>
      </c>
      <c r="F787" s="56">
        <v>1481</v>
      </c>
      <c r="G787" s="56">
        <v>5518</v>
      </c>
      <c r="H787" s="56"/>
      <c r="I787" s="57">
        <v>103.675</v>
      </c>
      <c r="J787" s="57">
        <v>4836</v>
      </c>
      <c r="K787" s="57">
        <v>378</v>
      </c>
      <c r="L787" s="56">
        <v>1036</v>
      </c>
      <c r="M787" s="56"/>
      <c r="N787" s="57">
        <v>193</v>
      </c>
      <c r="O787" s="57">
        <v>1785</v>
      </c>
      <c r="P787" s="57">
        <v>0</v>
      </c>
      <c r="Q787" s="56">
        <v>0</v>
      </c>
      <c r="R787" s="57">
        <f t="shared" si="12"/>
        <v>3051</v>
      </c>
      <c r="S787" s="56"/>
      <c r="T787" s="57">
        <v>1475</v>
      </c>
      <c r="U787" s="58">
        <v>354</v>
      </c>
      <c r="V787" s="58">
        <v>1829</v>
      </c>
    </row>
    <row r="788" spans="1:22">
      <c r="A788" s="54">
        <v>98521</v>
      </c>
      <c r="B788" s="55" t="s">
        <v>2166</v>
      </c>
      <c r="C788" s="106">
        <v>5.7059999999999999E-4</v>
      </c>
      <c r="D788" s="106">
        <v>6.3980000000000005E-4</v>
      </c>
      <c r="E788" s="56">
        <v>223041.65999999997</v>
      </c>
      <c r="F788" s="56">
        <v>287138</v>
      </c>
      <c r="G788" s="56">
        <v>1211004</v>
      </c>
      <c r="H788" s="56"/>
      <c r="I788" s="57">
        <v>22753</v>
      </c>
      <c r="J788" s="57">
        <v>1061226</v>
      </c>
      <c r="K788" s="57">
        <v>82943</v>
      </c>
      <c r="L788" s="56">
        <v>0</v>
      </c>
      <c r="M788" s="56"/>
      <c r="N788" s="57">
        <v>42435</v>
      </c>
      <c r="O788" s="57">
        <v>391693</v>
      </c>
      <c r="P788" s="57">
        <v>0</v>
      </c>
      <c r="Q788" s="56">
        <v>62867</v>
      </c>
      <c r="R788" s="57">
        <f t="shared" si="12"/>
        <v>669533</v>
      </c>
      <c r="S788" s="56"/>
      <c r="T788" s="57">
        <v>323684</v>
      </c>
      <c r="U788" s="58">
        <v>-18900</v>
      </c>
      <c r="V788" s="58">
        <v>304784</v>
      </c>
    </row>
    <row r="789" spans="1:22">
      <c r="A789" s="54">
        <v>98601</v>
      </c>
      <c r="B789" s="55" t="s">
        <v>2167</v>
      </c>
      <c r="C789" s="106">
        <v>3.5065999999999999E-3</v>
      </c>
      <c r="D789" s="106">
        <v>3.3880999999999998E-3</v>
      </c>
      <c r="E789" s="56">
        <v>1331350.3999999999</v>
      </c>
      <c r="F789" s="56">
        <v>1520559</v>
      </c>
      <c r="G789" s="56">
        <v>7442180</v>
      </c>
      <c r="H789" s="56"/>
      <c r="I789" s="57">
        <v>139826</v>
      </c>
      <c r="J789" s="57">
        <v>6521722</v>
      </c>
      <c r="K789" s="57">
        <v>509723</v>
      </c>
      <c r="L789" s="56">
        <v>0</v>
      </c>
      <c r="M789" s="56"/>
      <c r="N789" s="57">
        <v>260782</v>
      </c>
      <c r="O789" s="57">
        <v>2407134</v>
      </c>
      <c r="P789" s="57">
        <v>0</v>
      </c>
      <c r="Q789" s="56">
        <v>160211</v>
      </c>
      <c r="R789" s="57">
        <f t="shared" si="12"/>
        <v>4114588</v>
      </c>
      <c r="S789" s="56"/>
      <c r="T789" s="57">
        <v>1989185</v>
      </c>
      <c r="U789" s="58">
        <v>-63543</v>
      </c>
      <c r="V789" s="58">
        <v>1925643</v>
      </c>
    </row>
    <row r="790" spans="1:22">
      <c r="A790" s="54">
        <v>98604</v>
      </c>
      <c r="B790" s="55" t="s">
        <v>2168</v>
      </c>
      <c r="C790" s="106">
        <v>1.59E-5</v>
      </c>
      <c r="D790" s="106">
        <v>0</v>
      </c>
      <c r="E790" s="56">
        <v>5853.5399999999991</v>
      </c>
      <c r="F790" s="56">
        <v>0</v>
      </c>
      <c r="G790" s="56">
        <v>33745</v>
      </c>
      <c r="H790" s="56"/>
      <c r="I790" s="57">
        <v>634</v>
      </c>
      <c r="J790" s="57">
        <v>29571</v>
      </c>
      <c r="K790" s="57">
        <v>2311</v>
      </c>
      <c r="L790" s="56">
        <v>8069</v>
      </c>
      <c r="M790" s="56"/>
      <c r="N790" s="57">
        <v>1182</v>
      </c>
      <c r="O790" s="57">
        <v>10915</v>
      </c>
      <c r="P790" s="57">
        <v>0</v>
      </c>
      <c r="Q790" s="56">
        <v>0</v>
      </c>
      <c r="R790" s="57">
        <f t="shared" si="12"/>
        <v>18656</v>
      </c>
      <c r="S790" s="56"/>
      <c r="T790" s="57">
        <v>9020</v>
      </c>
      <c r="U790" s="58">
        <v>2090</v>
      </c>
      <c r="V790" s="58">
        <v>11110</v>
      </c>
    </row>
    <row r="791" spans="1:22">
      <c r="A791" s="54">
        <v>98607</v>
      </c>
      <c r="B791" s="55" t="s">
        <v>2169</v>
      </c>
      <c r="C791" s="106">
        <v>5.9000000000000003E-6</v>
      </c>
      <c r="D791" s="106">
        <v>6.0000000000000002E-6</v>
      </c>
      <c r="E791" s="56">
        <v>2399.5499999999997</v>
      </c>
      <c r="F791" s="56">
        <v>2693</v>
      </c>
      <c r="G791" s="56">
        <v>12522</v>
      </c>
      <c r="H791" s="56"/>
      <c r="I791" s="57">
        <v>235</v>
      </c>
      <c r="J791" s="57">
        <v>10973</v>
      </c>
      <c r="K791" s="57">
        <v>858</v>
      </c>
      <c r="L791" s="56">
        <v>0</v>
      </c>
      <c r="M791" s="56"/>
      <c r="N791" s="57">
        <v>439</v>
      </c>
      <c r="O791" s="57">
        <v>4050</v>
      </c>
      <c r="P791" s="57">
        <v>0</v>
      </c>
      <c r="Q791" s="56">
        <v>2348</v>
      </c>
      <c r="R791" s="57">
        <f t="shared" si="12"/>
        <v>6923</v>
      </c>
      <c r="S791" s="56"/>
      <c r="T791" s="57">
        <v>3347</v>
      </c>
      <c r="U791" s="58">
        <v>-874</v>
      </c>
      <c r="V791" s="58">
        <v>2473</v>
      </c>
    </row>
    <row r="792" spans="1:22">
      <c r="A792" s="54">
        <v>98608</v>
      </c>
      <c r="B792" s="55" t="s">
        <v>2170</v>
      </c>
      <c r="C792" s="106">
        <v>4.2299999999999998E-5</v>
      </c>
      <c r="D792" s="106">
        <v>5.4500000000000003E-5</v>
      </c>
      <c r="E792" s="56">
        <v>16592.650000000001</v>
      </c>
      <c r="F792" s="56">
        <v>24459</v>
      </c>
      <c r="G792" s="56">
        <v>89775</v>
      </c>
      <c r="H792" s="56"/>
      <c r="I792" s="57">
        <v>1687</v>
      </c>
      <c r="J792" s="57">
        <v>78671</v>
      </c>
      <c r="K792" s="57">
        <v>6149</v>
      </c>
      <c r="L792" s="56">
        <v>6369</v>
      </c>
      <c r="M792" s="56"/>
      <c r="N792" s="57">
        <v>3146</v>
      </c>
      <c r="O792" s="57">
        <v>29037</v>
      </c>
      <c r="P792" s="57">
        <v>0</v>
      </c>
      <c r="Q792" s="56">
        <v>7247</v>
      </c>
      <c r="R792" s="57">
        <f t="shared" si="12"/>
        <v>49634</v>
      </c>
      <c r="S792" s="56"/>
      <c r="T792" s="57">
        <v>23995</v>
      </c>
      <c r="U792" s="58">
        <v>566</v>
      </c>
      <c r="V792" s="58">
        <v>24562</v>
      </c>
    </row>
    <row r="793" spans="1:22">
      <c r="A793" s="54">
        <v>98611</v>
      </c>
      <c r="B793" s="55" t="s">
        <v>2171</v>
      </c>
      <c r="C793" s="106">
        <v>8.6700000000000007E-5</v>
      </c>
      <c r="D793" s="106">
        <v>1.2129999999999999E-4</v>
      </c>
      <c r="E793" s="56">
        <v>43078.049999999996</v>
      </c>
      <c r="F793" s="56">
        <v>54439</v>
      </c>
      <c r="G793" s="56">
        <v>184006</v>
      </c>
      <c r="H793" s="56"/>
      <c r="I793" s="57">
        <v>3457</v>
      </c>
      <c r="J793" s="57">
        <v>161248</v>
      </c>
      <c r="K793" s="57">
        <v>12603</v>
      </c>
      <c r="L793" s="56">
        <v>4723</v>
      </c>
      <c r="M793" s="56"/>
      <c r="N793" s="57">
        <v>6448</v>
      </c>
      <c r="O793" s="57">
        <v>59516</v>
      </c>
      <c r="P793" s="57">
        <v>0</v>
      </c>
      <c r="Q793" s="56">
        <v>12848</v>
      </c>
      <c r="R793" s="57">
        <f t="shared" si="12"/>
        <v>101732</v>
      </c>
      <c r="S793" s="56"/>
      <c r="T793" s="57">
        <v>49182</v>
      </c>
      <c r="U793" s="58">
        <v>-1131</v>
      </c>
      <c r="V793" s="58">
        <v>48051</v>
      </c>
    </row>
    <row r="794" spans="1:22">
      <c r="A794" s="54">
        <v>98621</v>
      </c>
      <c r="B794" s="55" t="s">
        <v>2172</v>
      </c>
      <c r="C794" s="106">
        <v>1.3239999999999999E-4</v>
      </c>
      <c r="D794" s="106">
        <v>1.2740000000000001E-4</v>
      </c>
      <c r="E794" s="56">
        <v>45779.06</v>
      </c>
      <c r="F794" s="56">
        <v>57176</v>
      </c>
      <c r="G794" s="56">
        <v>280997</v>
      </c>
      <c r="H794" s="56"/>
      <c r="I794" s="57">
        <v>5279.45</v>
      </c>
      <c r="J794" s="57">
        <v>246243</v>
      </c>
      <c r="K794" s="57">
        <v>19246</v>
      </c>
      <c r="L794" s="56">
        <v>951</v>
      </c>
      <c r="M794" s="56"/>
      <c r="N794" s="57">
        <v>9846</v>
      </c>
      <c r="O794" s="57">
        <v>90887</v>
      </c>
      <c r="P794" s="57">
        <v>0</v>
      </c>
      <c r="Q794" s="56">
        <v>9470</v>
      </c>
      <c r="R794" s="57">
        <f t="shared" si="12"/>
        <v>155356</v>
      </c>
      <c r="S794" s="56"/>
      <c r="T794" s="57">
        <v>75106</v>
      </c>
      <c r="U794" s="58">
        <v>-2481</v>
      </c>
      <c r="V794" s="58">
        <v>72625</v>
      </c>
    </row>
    <row r="795" spans="1:22">
      <c r="A795" s="54">
        <v>98627</v>
      </c>
      <c r="B795" s="55" t="s">
        <v>2173</v>
      </c>
      <c r="C795" s="106">
        <v>9.3999999999999998E-6</v>
      </c>
      <c r="D795" s="106">
        <v>7.4000000000000003E-6</v>
      </c>
      <c r="E795" s="56">
        <v>3038.5200000000004</v>
      </c>
      <c r="F795" s="56">
        <v>3321</v>
      </c>
      <c r="G795" s="56">
        <v>19950</v>
      </c>
      <c r="H795" s="56"/>
      <c r="I795" s="57">
        <v>374.82499999999999</v>
      </c>
      <c r="J795" s="57">
        <v>17483</v>
      </c>
      <c r="K795" s="57">
        <v>1366</v>
      </c>
      <c r="L795" s="56">
        <v>426</v>
      </c>
      <c r="M795" s="56"/>
      <c r="N795" s="57">
        <v>699</v>
      </c>
      <c r="O795" s="57">
        <v>6453</v>
      </c>
      <c r="P795" s="57">
        <v>0</v>
      </c>
      <c r="Q795" s="56">
        <v>202</v>
      </c>
      <c r="R795" s="57">
        <f t="shared" si="12"/>
        <v>11030</v>
      </c>
      <c r="S795" s="56"/>
      <c r="T795" s="57">
        <v>5332</v>
      </c>
      <c r="U795" s="58">
        <v>25</v>
      </c>
      <c r="V795" s="58">
        <v>5357</v>
      </c>
    </row>
    <row r="796" spans="1:22">
      <c r="A796" s="54">
        <v>98631</v>
      </c>
      <c r="B796" s="55" t="s">
        <v>2174</v>
      </c>
      <c r="C796" s="106">
        <v>1.0415000000000001E-3</v>
      </c>
      <c r="D796" s="106">
        <v>1.1375000000000001E-3</v>
      </c>
      <c r="E796" s="56">
        <v>412487.07000000007</v>
      </c>
      <c r="F796" s="56">
        <v>510503</v>
      </c>
      <c r="G796" s="56">
        <v>2210412</v>
      </c>
      <c r="H796" s="56"/>
      <c r="I796" s="57">
        <v>41530</v>
      </c>
      <c r="J796" s="57">
        <v>1937025</v>
      </c>
      <c r="K796" s="57">
        <v>151393</v>
      </c>
      <c r="L796" s="56">
        <v>0</v>
      </c>
      <c r="M796" s="56"/>
      <c r="N796" s="57">
        <v>77455</v>
      </c>
      <c r="O796" s="57">
        <v>714946</v>
      </c>
      <c r="P796" s="57">
        <v>0</v>
      </c>
      <c r="Q796" s="56">
        <v>118586</v>
      </c>
      <c r="R796" s="57">
        <f t="shared" si="12"/>
        <v>1222079</v>
      </c>
      <c r="S796" s="56"/>
      <c r="T796" s="57">
        <v>590811</v>
      </c>
      <c r="U796" s="58">
        <v>-36690</v>
      </c>
      <c r="V796" s="58">
        <v>554121</v>
      </c>
    </row>
    <row r="797" spans="1:22">
      <c r="A797" s="54">
        <v>98637</v>
      </c>
      <c r="B797" s="55" t="s">
        <v>2175</v>
      </c>
      <c r="C797" s="106">
        <v>2.2200000000000001E-5</v>
      </c>
      <c r="D797" s="106">
        <v>2.3499999999999999E-5</v>
      </c>
      <c r="E797" s="56">
        <v>14029.520000000002</v>
      </c>
      <c r="F797" s="56">
        <v>10547</v>
      </c>
      <c r="G797" s="56">
        <v>47116</v>
      </c>
      <c r="H797" s="56"/>
      <c r="I797" s="57">
        <v>885.22500000000002</v>
      </c>
      <c r="J797" s="57">
        <v>41288</v>
      </c>
      <c r="K797" s="57">
        <v>3227</v>
      </c>
      <c r="L797" s="56">
        <v>6585</v>
      </c>
      <c r="M797" s="56"/>
      <c r="N797" s="57">
        <v>1651</v>
      </c>
      <c r="O797" s="57">
        <v>15239</v>
      </c>
      <c r="P797" s="57">
        <v>0</v>
      </c>
      <c r="Q797" s="56">
        <v>0</v>
      </c>
      <c r="R797" s="57">
        <f t="shared" si="12"/>
        <v>26049</v>
      </c>
      <c r="S797" s="56"/>
      <c r="T797" s="57">
        <v>12593</v>
      </c>
      <c r="U797" s="58">
        <v>2204</v>
      </c>
      <c r="V797" s="58">
        <v>14798</v>
      </c>
    </row>
    <row r="798" spans="1:22">
      <c r="A798" s="54">
        <v>98641</v>
      </c>
      <c r="B798" s="55" t="s">
        <v>2176</v>
      </c>
      <c r="C798" s="106">
        <v>3.0019999999999998E-4</v>
      </c>
      <c r="D798" s="106">
        <v>3.1819999999999998E-4</v>
      </c>
      <c r="E798" s="56">
        <v>122409.70999999999</v>
      </c>
      <c r="F798" s="56">
        <v>142806</v>
      </c>
      <c r="G798" s="56">
        <v>637125</v>
      </c>
      <c r="H798" s="56"/>
      <c r="I798" s="57">
        <v>11970</v>
      </c>
      <c r="J798" s="57">
        <v>558325</v>
      </c>
      <c r="K798" s="57">
        <v>43637</v>
      </c>
      <c r="L798" s="56">
        <v>4514</v>
      </c>
      <c r="M798" s="56"/>
      <c r="N798" s="57">
        <v>22326</v>
      </c>
      <c r="O798" s="57">
        <v>206075</v>
      </c>
      <c r="P798" s="57">
        <v>0</v>
      </c>
      <c r="Q798" s="56">
        <v>10581</v>
      </c>
      <c r="R798" s="57">
        <f t="shared" si="12"/>
        <v>352250</v>
      </c>
      <c r="S798" s="56"/>
      <c r="T798" s="57">
        <v>170294</v>
      </c>
      <c r="U798" s="58">
        <v>-473</v>
      </c>
      <c r="V798" s="58">
        <v>169821</v>
      </c>
    </row>
    <row r="799" spans="1:22">
      <c r="A799" s="54">
        <v>98647</v>
      </c>
      <c r="B799" s="55" t="s">
        <v>2298</v>
      </c>
      <c r="C799" s="106">
        <v>0</v>
      </c>
      <c r="D799" s="106">
        <v>1.24E-5</v>
      </c>
      <c r="E799" s="56">
        <v>0</v>
      </c>
      <c r="F799" s="56">
        <v>5565</v>
      </c>
      <c r="G799" s="56">
        <v>0</v>
      </c>
      <c r="H799" s="56"/>
      <c r="I799" s="57">
        <v>0</v>
      </c>
      <c r="J799" s="57">
        <v>0</v>
      </c>
      <c r="K799" s="57">
        <v>0</v>
      </c>
      <c r="L799" s="56">
        <v>4884</v>
      </c>
      <c r="M799" s="56"/>
      <c r="N799" s="57">
        <v>0</v>
      </c>
      <c r="O799" s="57">
        <v>0</v>
      </c>
      <c r="P799" s="57">
        <v>0</v>
      </c>
      <c r="Q799" s="56">
        <v>6717</v>
      </c>
      <c r="R799" s="57">
        <f t="shared" si="12"/>
        <v>0</v>
      </c>
      <c r="S799" s="56"/>
      <c r="T799" s="57">
        <v>0</v>
      </c>
      <c r="U799" s="58">
        <v>178</v>
      </c>
      <c r="V799" s="58">
        <v>178</v>
      </c>
    </row>
    <row r="800" spans="1:22">
      <c r="A800" s="54">
        <v>98701</v>
      </c>
      <c r="B800" s="55" t="s">
        <v>2177</v>
      </c>
      <c r="C800" s="106">
        <v>1.1793000000000001E-3</v>
      </c>
      <c r="D800" s="106">
        <v>1.0842E-3</v>
      </c>
      <c r="E800" s="56">
        <v>425946.13</v>
      </c>
      <c r="F800" s="56">
        <v>486582</v>
      </c>
      <c r="G800" s="56">
        <v>2502870</v>
      </c>
      <c r="H800" s="56"/>
      <c r="I800" s="57">
        <v>47025</v>
      </c>
      <c r="J800" s="57">
        <v>2193312</v>
      </c>
      <c r="K800" s="57">
        <v>171424</v>
      </c>
      <c r="L800" s="56">
        <v>4631</v>
      </c>
      <c r="M800" s="56"/>
      <c r="N800" s="57">
        <v>87703</v>
      </c>
      <c r="O800" s="57">
        <v>809540</v>
      </c>
      <c r="P800" s="57">
        <v>0</v>
      </c>
      <c r="Q800" s="56">
        <v>48875</v>
      </c>
      <c r="R800" s="57">
        <f t="shared" si="12"/>
        <v>1383772</v>
      </c>
      <c r="S800" s="56"/>
      <c r="T800" s="57">
        <v>668980</v>
      </c>
      <c r="U800" s="58">
        <v>-17040</v>
      </c>
      <c r="V800" s="58">
        <v>651940</v>
      </c>
    </row>
    <row r="801" spans="1:22">
      <c r="A801" s="54">
        <v>98711</v>
      </c>
      <c r="B801" s="55" t="s">
        <v>2178</v>
      </c>
      <c r="C801" s="106">
        <v>1.8039999999999999E-4</v>
      </c>
      <c r="D801" s="106">
        <v>1.7589999999999999E-4</v>
      </c>
      <c r="E801" s="56">
        <v>62579.819999999992</v>
      </c>
      <c r="F801" s="56">
        <v>78943</v>
      </c>
      <c r="G801" s="56">
        <v>382869</v>
      </c>
      <c r="H801" s="56"/>
      <c r="I801" s="57">
        <v>7193.45</v>
      </c>
      <c r="J801" s="57">
        <v>335515</v>
      </c>
      <c r="K801" s="57">
        <v>26223</v>
      </c>
      <c r="L801" s="56">
        <v>2488</v>
      </c>
      <c r="M801" s="56"/>
      <c r="N801" s="57">
        <v>13416</v>
      </c>
      <c r="O801" s="57">
        <v>123837</v>
      </c>
      <c r="P801" s="57">
        <v>0</v>
      </c>
      <c r="Q801" s="56">
        <v>10451</v>
      </c>
      <c r="R801" s="57">
        <f t="shared" si="12"/>
        <v>211678</v>
      </c>
      <c r="S801" s="56"/>
      <c r="T801" s="57">
        <v>102335</v>
      </c>
      <c r="U801" s="58">
        <v>-1808</v>
      </c>
      <c r="V801" s="58">
        <v>100527</v>
      </c>
    </row>
    <row r="802" spans="1:22">
      <c r="A802" s="54">
        <v>98717</v>
      </c>
      <c r="B802" s="55" t="s">
        <v>2179</v>
      </c>
      <c r="C802" s="106">
        <v>1.8600000000000001E-5</v>
      </c>
      <c r="D802" s="106">
        <v>1.98E-5</v>
      </c>
      <c r="E802" s="56">
        <v>7760.9400000000005</v>
      </c>
      <c r="F802" s="56">
        <v>8886</v>
      </c>
      <c r="G802" s="56">
        <v>39475</v>
      </c>
      <c r="H802" s="56"/>
      <c r="I802" s="57">
        <v>742</v>
      </c>
      <c r="J802" s="57">
        <v>34593</v>
      </c>
      <c r="K802" s="57">
        <v>2704</v>
      </c>
      <c r="L802" s="56">
        <v>783</v>
      </c>
      <c r="M802" s="56"/>
      <c r="N802" s="57">
        <v>1383</v>
      </c>
      <c r="O802" s="57">
        <v>12768</v>
      </c>
      <c r="P802" s="57">
        <v>0</v>
      </c>
      <c r="Q802" s="56">
        <v>798</v>
      </c>
      <c r="R802" s="57">
        <f t="shared" si="12"/>
        <v>21825</v>
      </c>
      <c r="S802" s="56"/>
      <c r="T802" s="57">
        <v>10551</v>
      </c>
      <c r="U802" s="58">
        <v>13</v>
      </c>
      <c r="V802" s="58">
        <v>10565</v>
      </c>
    </row>
    <row r="803" spans="1:22">
      <c r="A803" s="54">
        <v>98801</v>
      </c>
      <c r="B803" s="55" t="s">
        <v>2180</v>
      </c>
      <c r="C803" s="106">
        <v>2.1771999999999998E-3</v>
      </c>
      <c r="D803" s="106">
        <v>2.1686000000000001E-3</v>
      </c>
      <c r="E803" s="56">
        <v>916501.02000000014</v>
      </c>
      <c r="F803" s="56">
        <v>973255</v>
      </c>
      <c r="G803" s="56">
        <v>4620748</v>
      </c>
      <c r="H803" s="56"/>
      <c r="I803" s="57">
        <v>86816</v>
      </c>
      <c r="J803" s="57">
        <v>4049248</v>
      </c>
      <c r="K803" s="57">
        <v>316480</v>
      </c>
      <c r="L803" s="56">
        <v>92904</v>
      </c>
      <c r="M803" s="56"/>
      <c r="N803" s="57">
        <v>161916</v>
      </c>
      <c r="O803" s="57">
        <v>1494556</v>
      </c>
      <c r="P803" s="57">
        <v>0</v>
      </c>
      <c r="Q803" s="56">
        <v>0</v>
      </c>
      <c r="R803" s="57">
        <f t="shared" si="12"/>
        <v>2554692</v>
      </c>
      <c r="S803" s="56"/>
      <c r="T803" s="57">
        <v>1235058</v>
      </c>
      <c r="U803" s="58">
        <v>33821</v>
      </c>
      <c r="V803" s="58">
        <v>1268879</v>
      </c>
    </row>
    <row r="804" spans="1:22">
      <c r="A804" s="54">
        <v>98811</v>
      </c>
      <c r="B804" s="55" t="s">
        <v>2181</v>
      </c>
      <c r="C804" s="106">
        <v>7.1120000000000005E-4</v>
      </c>
      <c r="D804" s="106">
        <v>7.737E-4</v>
      </c>
      <c r="E804" s="56">
        <v>290528.34999999998</v>
      </c>
      <c r="F804" s="56">
        <v>347232</v>
      </c>
      <c r="G804" s="56">
        <v>1509405</v>
      </c>
      <c r="H804" s="56"/>
      <c r="I804" s="57">
        <v>28359</v>
      </c>
      <c r="J804" s="57">
        <v>1322720</v>
      </c>
      <c r="K804" s="57">
        <v>103381</v>
      </c>
      <c r="L804" s="56">
        <v>31001</v>
      </c>
      <c r="M804" s="56"/>
      <c r="N804" s="57">
        <v>52891</v>
      </c>
      <c r="O804" s="57">
        <v>488209</v>
      </c>
      <c r="P804" s="57">
        <v>0</v>
      </c>
      <c r="Q804" s="56">
        <v>35404</v>
      </c>
      <c r="R804" s="57">
        <f t="shared" si="12"/>
        <v>834511</v>
      </c>
      <c r="S804" s="56"/>
      <c r="T804" s="57">
        <v>403442</v>
      </c>
      <c r="U804" s="58">
        <v>4854</v>
      </c>
      <c r="V804" s="58">
        <v>408295</v>
      </c>
    </row>
    <row r="805" spans="1:22">
      <c r="A805" s="54">
        <v>98817</v>
      </c>
      <c r="B805" s="55" t="s">
        <v>2182</v>
      </c>
      <c r="C805" s="106">
        <v>2.34E-5</v>
      </c>
      <c r="D805" s="106">
        <v>2.6400000000000001E-5</v>
      </c>
      <c r="E805" s="56">
        <v>11958.25</v>
      </c>
      <c r="F805" s="56">
        <v>11848</v>
      </c>
      <c r="G805" s="56">
        <v>49663</v>
      </c>
      <c r="H805" s="56"/>
      <c r="I805" s="57">
        <v>933</v>
      </c>
      <c r="J805" s="57">
        <v>43520</v>
      </c>
      <c r="K805" s="57">
        <v>3401</v>
      </c>
      <c r="L805" s="56">
        <v>244</v>
      </c>
      <c r="M805" s="56"/>
      <c r="N805" s="57">
        <v>1740</v>
      </c>
      <c r="O805" s="57">
        <v>16063</v>
      </c>
      <c r="P805" s="57">
        <v>0</v>
      </c>
      <c r="Q805" s="56">
        <v>4380</v>
      </c>
      <c r="R805" s="57">
        <f t="shared" si="12"/>
        <v>27457</v>
      </c>
      <c r="S805" s="56"/>
      <c r="T805" s="57">
        <v>13274</v>
      </c>
      <c r="U805" s="58">
        <v>-2136</v>
      </c>
      <c r="V805" s="58">
        <v>11138</v>
      </c>
    </row>
    <row r="806" spans="1:22">
      <c r="A806" s="54">
        <v>98901</v>
      </c>
      <c r="B806" s="55" t="s">
        <v>2183</v>
      </c>
      <c r="C806" s="106">
        <v>3.392E-4</v>
      </c>
      <c r="D806" s="106">
        <v>3.4190000000000002E-4</v>
      </c>
      <c r="E806" s="56">
        <v>138120.55999999997</v>
      </c>
      <c r="F806" s="56">
        <v>153443</v>
      </c>
      <c r="G806" s="56">
        <v>719896</v>
      </c>
      <c r="H806" s="56"/>
      <c r="I806" s="57">
        <v>13525.6</v>
      </c>
      <c r="J806" s="57">
        <v>630858</v>
      </c>
      <c r="K806" s="57">
        <v>49306</v>
      </c>
      <c r="L806" s="56">
        <v>2099</v>
      </c>
      <c r="M806" s="56"/>
      <c r="N806" s="57">
        <v>25226</v>
      </c>
      <c r="O806" s="57">
        <v>232847</v>
      </c>
      <c r="P806" s="57">
        <v>0</v>
      </c>
      <c r="Q806" s="56">
        <v>3837</v>
      </c>
      <c r="R806" s="57">
        <f t="shared" si="12"/>
        <v>398011</v>
      </c>
      <c r="S806" s="56"/>
      <c r="T806" s="57">
        <v>192418</v>
      </c>
      <c r="U806" s="58">
        <v>-562</v>
      </c>
      <c r="V806" s="58">
        <v>191855</v>
      </c>
    </row>
    <row r="807" spans="1:22">
      <c r="A807" s="54">
        <v>98904</v>
      </c>
      <c r="B807" s="55" t="s">
        <v>2184</v>
      </c>
      <c r="C807" s="106">
        <v>5.2000000000000002E-6</v>
      </c>
      <c r="D807" s="106">
        <v>3.4000000000000001E-6</v>
      </c>
      <c r="E807" s="56">
        <v>0</v>
      </c>
      <c r="F807" s="56">
        <v>1526</v>
      </c>
      <c r="G807" s="56">
        <v>11036</v>
      </c>
      <c r="H807" s="56"/>
      <c r="I807" s="57">
        <v>207.35</v>
      </c>
      <c r="J807" s="57">
        <v>9671</v>
      </c>
      <c r="K807" s="57">
        <v>756</v>
      </c>
      <c r="L807" s="56">
        <v>575</v>
      </c>
      <c r="M807" s="56"/>
      <c r="N807" s="57">
        <v>387</v>
      </c>
      <c r="O807" s="57">
        <v>3570</v>
      </c>
      <c r="P807" s="57">
        <v>0</v>
      </c>
      <c r="Q807" s="56">
        <v>723</v>
      </c>
      <c r="R807" s="57">
        <f t="shared" si="12"/>
        <v>6101</v>
      </c>
      <c r="S807" s="56"/>
      <c r="T807" s="57">
        <v>2950</v>
      </c>
      <c r="U807" s="58">
        <v>22</v>
      </c>
      <c r="V807" s="58">
        <v>2972</v>
      </c>
    </row>
    <row r="808" spans="1:22">
      <c r="A808" s="54">
        <v>98911</v>
      </c>
      <c r="B808" s="55" t="s">
        <v>2185</v>
      </c>
      <c r="C808" s="106">
        <v>2.8600000000000001E-5</v>
      </c>
      <c r="D808" s="106">
        <v>2.5899999999999999E-5</v>
      </c>
      <c r="E808" s="56">
        <v>16745.140000000003</v>
      </c>
      <c r="F808" s="56">
        <v>11624</v>
      </c>
      <c r="G808" s="56">
        <v>60699</v>
      </c>
      <c r="H808" s="56"/>
      <c r="I808" s="57">
        <v>1140.425</v>
      </c>
      <c r="J808" s="57">
        <v>53191</v>
      </c>
      <c r="K808" s="57">
        <v>4157</v>
      </c>
      <c r="L808" s="56">
        <v>13795</v>
      </c>
      <c r="M808" s="56"/>
      <c r="N808" s="57">
        <v>2127</v>
      </c>
      <c r="O808" s="57">
        <v>19633</v>
      </c>
      <c r="P808" s="57">
        <v>0</v>
      </c>
      <c r="Q808" s="56">
        <v>0</v>
      </c>
      <c r="R808" s="57">
        <f t="shared" si="12"/>
        <v>33558</v>
      </c>
      <c r="S808" s="56"/>
      <c r="T808" s="57">
        <v>16224</v>
      </c>
      <c r="U808" s="58">
        <v>4655</v>
      </c>
      <c r="V808" s="58">
        <v>20879</v>
      </c>
    </row>
    <row r="809" spans="1:22">
      <c r="A809" s="54">
        <v>99001</v>
      </c>
      <c r="B809" s="55" t="s">
        <v>2186</v>
      </c>
      <c r="C809" s="106">
        <v>7.8098999999999998E-3</v>
      </c>
      <c r="D809" s="106">
        <v>7.5116999999999996E-3</v>
      </c>
      <c r="E809" s="56">
        <v>3132307.8499999996</v>
      </c>
      <c r="F809" s="56">
        <v>3371206</v>
      </c>
      <c r="G809" s="56">
        <v>16575224</v>
      </c>
      <c r="H809" s="56"/>
      <c r="I809" s="57">
        <v>311420</v>
      </c>
      <c r="J809" s="57">
        <v>14525180</v>
      </c>
      <c r="K809" s="57">
        <v>1135255</v>
      </c>
      <c r="L809" s="56">
        <v>444444</v>
      </c>
      <c r="M809" s="56"/>
      <c r="N809" s="57">
        <v>580814</v>
      </c>
      <c r="O809" s="57">
        <v>5361168</v>
      </c>
      <c r="P809" s="57">
        <v>0</v>
      </c>
      <c r="Q809" s="56">
        <v>0</v>
      </c>
      <c r="R809" s="57">
        <f t="shared" si="12"/>
        <v>9164012</v>
      </c>
      <c r="S809" s="56"/>
      <c r="T809" s="57">
        <v>4430314</v>
      </c>
      <c r="U809" s="58">
        <v>166582</v>
      </c>
      <c r="V809" s="58">
        <v>4596896</v>
      </c>
    </row>
    <row r="810" spans="1:22">
      <c r="A810" s="54">
        <v>99011</v>
      </c>
      <c r="B810" s="55" t="s">
        <v>2187</v>
      </c>
      <c r="C810" s="106">
        <v>3.9039000000000001E-3</v>
      </c>
      <c r="D810" s="106">
        <v>4.3128999999999997E-3</v>
      </c>
      <c r="E810" s="56">
        <v>1564249.0799999998</v>
      </c>
      <c r="F810" s="56">
        <v>1935604</v>
      </c>
      <c r="G810" s="56">
        <v>8285384</v>
      </c>
      <c r="H810" s="56"/>
      <c r="I810" s="57">
        <v>155668</v>
      </c>
      <c r="J810" s="57">
        <v>7260637</v>
      </c>
      <c r="K810" s="57">
        <v>567475</v>
      </c>
      <c r="L810" s="56">
        <v>0</v>
      </c>
      <c r="M810" s="56"/>
      <c r="N810" s="57">
        <v>290329</v>
      </c>
      <c r="O810" s="57">
        <v>2679863</v>
      </c>
      <c r="P810" s="57">
        <v>0</v>
      </c>
      <c r="Q810" s="56">
        <v>573396</v>
      </c>
      <c r="R810" s="57">
        <f t="shared" si="12"/>
        <v>4580774</v>
      </c>
      <c r="S810" s="56"/>
      <c r="T810" s="57">
        <v>2214561</v>
      </c>
      <c r="U810" s="58">
        <v>-205801</v>
      </c>
      <c r="V810" s="58">
        <v>2008761</v>
      </c>
    </row>
    <row r="811" spans="1:22">
      <c r="A811" s="54">
        <v>99013</v>
      </c>
      <c r="B811" s="55" t="s">
        <v>2188</v>
      </c>
      <c r="C811" s="106">
        <v>6.02E-5</v>
      </c>
      <c r="D811" s="106">
        <v>7.2299999999999996E-5</v>
      </c>
      <c r="E811" s="56">
        <v>23490.16</v>
      </c>
      <c r="F811" s="56">
        <v>32448</v>
      </c>
      <c r="G811" s="56">
        <v>127765</v>
      </c>
      <c r="H811" s="56"/>
      <c r="I811" s="57">
        <v>2400.4749999999999</v>
      </c>
      <c r="J811" s="57">
        <v>111962</v>
      </c>
      <c r="K811" s="57">
        <v>8751</v>
      </c>
      <c r="L811" s="56">
        <v>20</v>
      </c>
      <c r="M811" s="56"/>
      <c r="N811" s="57">
        <v>4477</v>
      </c>
      <c r="O811" s="57">
        <v>41325</v>
      </c>
      <c r="P811" s="57">
        <v>0</v>
      </c>
      <c r="Q811" s="56">
        <v>8750</v>
      </c>
      <c r="R811" s="57">
        <f t="shared" si="12"/>
        <v>70637</v>
      </c>
      <c r="S811" s="56"/>
      <c r="T811" s="57">
        <v>34150</v>
      </c>
      <c r="U811" s="58">
        <v>-2370</v>
      </c>
      <c r="V811" s="58">
        <v>31779</v>
      </c>
    </row>
    <row r="812" spans="1:22">
      <c r="A812" s="54">
        <v>99014</v>
      </c>
      <c r="B812" s="55" t="s">
        <v>2189</v>
      </c>
      <c r="C812" s="106">
        <v>2.4199999999999999E-5</v>
      </c>
      <c r="D812" s="106">
        <v>0</v>
      </c>
      <c r="E812" s="56">
        <v>13216.55</v>
      </c>
      <c r="F812" s="56">
        <v>0</v>
      </c>
      <c r="G812" s="56">
        <v>51361</v>
      </c>
      <c r="H812" s="56"/>
      <c r="I812" s="57">
        <v>965</v>
      </c>
      <c r="J812" s="57">
        <v>45008</v>
      </c>
      <c r="K812" s="57">
        <v>3518</v>
      </c>
      <c r="L812" s="56">
        <v>15702</v>
      </c>
      <c r="M812" s="56"/>
      <c r="N812" s="57">
        <v>1800</v>
      </c>
      <c r="O812" s="57">
        <v>16612</v>
      </c>
      <c r="P812" s="57">
        <v>0</v>
      </c>
      <c r="Q812" s="56">
        <v>0</v>
      </c>
      <c r="R812" s="57">
        <f t="shared" si="12"/>
        <v>28396</v>
      </c>
      <c r="S812" s="56"/>
      <c r="T812" s="57">
        <v>13728</v>
      </c>
      <c r="U812" s="58">
        <v>4068</v>
      </c>
      <c r="V812" s="58">
        <v>17796</v>
      </c>
    </row>
    <row r="813" spans="1:22">
      <c r="A813" s="54">
        <v>99017</v>
      </c>
      <c r="B813" s="55" t="s">
        <v>2190</v>
      </c>
      <c r="C813" s="106">
        <v>4.6999999999999997E-5</v>
      </c>
      <c r="D813" s="106">
        <v>4.1199999999999999E-5</v>
      </c>
      <c r="E813" s="56">
        <v>19640.829999999998</v>
      </c>
      <c r="F813" s="56">
        <v>18490</v>
      </c>
      <c r="G813" s="56">
        <v>99750</v>
      </c>
      <c r="H813" s="56"/>
      <c r="I813" s="57">
        <v>1874.125</v>
      </c>
      <c r="J813" s="57">
        <v>87413</v>
      </c>
      <c r="K813" s="57">
        <v>6832</v>
      </c>
      <c r="L813" s="56">
        <v>5674</v>
      </c>
      <c r="M813" s="56"/>
      <c r="N813" s="57">
        <v>3495</v>
      </c>
      <c r="O813" s="57">
        <v>32264</v>
      </c>
      <c r="P813" s="57">
        <v>0</v>
      </c>
      <c r="Q813" s="56">
        <v>6645</v>
      </c>
      <c r="R813" s="57">
        <f t="shared" si="12"/>
        <v>55149</v>
      </c>
      <c r="S813" s="56"/>
      <c r="T813" s="57">
        <v>26662</v>
      </c>
      <c r="U813" s="58">
        <v>-1651</v>
      </c>
      <c r="V813" s="58">
        <v>25011</v>
      </c>
    </row>
    <row r="814" spans="1:22">
      <c r="A814" s="54">
        <v>99021</v>
      </c>
      <c r="B814" s="55" t="s">
        <v>2191</v>
      </c>
      <c r="C814" s="106">
        <v>1.3420000000000001E-4</v>
      </c>
      <c r="D814" s="106">
        <v>1.3990000000000001E-4</v>
      </c>
      <c r="E814" s="56">
        <v>57840.069999999992</v>
      </c>
      <c r="F814" s="56">
        <v>62786</v>
      </c>
      <c r="G814" s="56">
        <v>284817</v>
      </c>
      <c r="H814" s="56"/>
      <c r="I814" s="57">
        <v>5351</v>
      </c>
      <c r="J814" s="57">
        <v>249591</v>
      </c>
      <c r="K814" s="57">
        <v>19507</v>
      </c>
      <c r="L814" s="56">
        <v>5869</v>
      </c>
      <c r="M814" s="56"/>
      <c r="N814" s="57">
        <v>9980</v>
      </c>
      <c r="O814" s="57">
        <v>92123</v>
      </c>
      <c r="P814" s="57">
        <v>0</v>
      </c>
      <c r="Q814" s="56">
        <v>982</v>
      </c>
      <c r="R814" s="57">
        <f t="shared" si="12"/>
        <v>157468</v>
      </c>
      <c r="S814" s="56"/>
      <c r="T814" s="57">
        <v>76127</v>
      </c>
      <c r="U814" s="58">
        <v>1992</v>
      </c>
      <c r="V814" s="58">
        <v>78120</v>
      </c>
    </row>
    <row r="815" spans="1:22">
      <c r="A815" s="54">
        <v>99022</v>
      </c>
      <c r="B815" s="55" t="s">
        <v>804</v>
      </c>
      <c r="C815" s="106">
        <v>1.1800000000000001E-5</v>
      </c>
      <c r="D815" s="106">
        <v>1.33E-5</v>
      </c>
      <c r="E815" s="56">
        <v>10517.039999999999</v>
      </c>
      <c r="F815" s="56">
        <v>5969</v>
      </c>
      <c r="G815" s="56">
        <v>25044</v>
      </c>
      <c r="H815" s="56"/>
      <c r="I815" s="57">
        <v>471</v>
      </c>
      <c r="J815" s="57">
        <v>21946</v>
      </c>
      <c r="K815" s="57">
        <v>1715</v>
      </c>
      <c r="L815" s="56">
        <v>6383</v>
      </c>
      <c r="M815" s="56"/>
      <c r="N815" s="57">
        <v>878</v>
      </c>
      <c r="O815" s="57">
        <v>8100</v>
      </c>
      <c r="P815" s="57">
        <v>0</v>
      </c>
      <c r="Q815" s="56">
        <v>264.67</v>
      </c>
      <c r="R815" s="57">
        <f t="shared" si="12"/>
        <v>13846</v>
      </c>
      <c r="S815" s="56"/>
      <c r="T815" s="57">
        <v>6694</v>
      </c>
      <c r="U815" s="58">
        <v>1778</v>
      </c>
      <c r="V815" s="58">
        <v>8472</v>
      </c>
    </row>
    <row r="816" spans="1:22">
      <c r="A816" s="54">
        <v>99031</v>
      </c>
      <c r="B816" s="55" t="s">
        <v>2192</v>
      </c>
      <c r="C816" s="106">
        <v>1.5970000000000001E-4</v>
      </c>
      <c r="D816" s="106">
        <v>1.2860000000000001E-4</v>
      </c>
      <c r="E816" s="56">
        <v>49298.680000000008</v>
      </c>
      <c r="F816" s="56">
        <v>57715</v>
      </c>
      <c r="G816" s="56">
        <v>338937</v>
      </c>
      <c r="H816" s="56"/>
      <c r="I816" s="57">
        <v>6368</v>
      </c>
      <c r="J816" s="57">
        <v>297017</v>
      </c>
      <c r="K816" s="57">
        <v>23214</v>
      </c>
      <c r="L816" s="56">
        <v>3840</v>
      </c>
      <c r="M816" s="56"/>
      <c r="N816" s="57">
        <v>11877</v>
      </c>
      <c r="O816" s="57">
        <v>109627</v>
      </c>
      <c r="P816" s="57">
        <v>0</v>
      </c>
      <c r="Q816" s="56">
        <v>20151</v>
      </c>
      <c r="R816" s="57">
        <f t="shared" si="12"/>
        <v>187390</v>
      </c>
      <c r="S816" s="56"/>
      <c r="T816" s="57">
        <v>90593</v>
      </c>
      <c r="U816" s="58">
        <v>-8432</v>
      </c>
      <c r="V816" s="58">
        <v>82161</v>
      </c>
    </row>
    <row r="817" spans="1:22">
      <c r="A817" s="54">
        <v>99041</v>
      </c>
      <c r="B817" s="55" t="s">
        <v>2193</v>
      </c>
      <c r="C817" s="106">
        <v>5.6289999999999997E-4</v>
      </c>
      <c r="D817" s="106">
        <v>5.0670000000000001E-4</v>
      </c>
      <c r="E817" s="56">
        <v>202619.00999999998</v>
      </c>
      <c r="F817" s="56">
        <v>227404</v>
      </c>
      <c r="G817" s="56">
        <v>1194662</v>
      </c>
      <c r="H817" s="56"/>
      <c r="I817" s="57">
        <v>22446</v>
      </c>
      <c r="J817" s="57">
        <v>1046905</v>
      </c>
      <c r="K817" s="57">
        <v>81824</v>
      </c>
      <c r="L817" s="56">
        <v>59009</v>
      </c>
      <c r="M817" s="56"/>
      <c r="N817" s="57">
        <v>41862</v>
      </c>
      <c r="O817" s="57">
        <v>386407</v>
      </c>
      <c r="P817" s="57">
        <v>0</v>
      </c>
      <c r="Q817" s="56">
        <v>0</v>
      </c>
      <c r="R817" s="57">
        <f t="shared" si="12"/>
        <v>660498</v>
      </c>
      <c r="S817" s="56"/>
      <c r="T817" s="57">
        <v>319316</v>
      </c>
      <c r="U817" s="58">
        <v>24415</v>
      </c>
      <c r="V817" s="58">
        <v>343731</v>
      </c>
    </row>
    <row r="818" spans="1:22">
      <c r="A818" s="54">
        <v>99047</v>
      </c>
      <c r="B818" s="55" t="s">
        <v>2194</v>
      </c>
      <c r="C818" s="106">
        <v>9.2E-6</v>
      </c>
      <c r="D818" s="106">
        <v>1.19E-5</v>
      </c>
      <c r="E818" s="56">
        <v>6482.9800000000005</v>
      </c>
      <c r="F818" s="56">
        <v>5341</v>
      </c>
      <c r="G818" s="56">
        <v>19525</v>
      </c>
      <c r="H818" s="56"/>
      <c r="I818" s="57">
        <v>366.85</v>
      </c>
      <c r="J818" s="57">
        <v>17111</v>
      </c>
      <c r="K818" s="57">
        <v>1337</v>
      </c>
      <c r="L818" s="56">
        <v>3322</v>
      </c>
      <c r="M818" s="56"/>
      <c r="N818" s="57">
        <v>684</v>
      </c>
      <c r="O818" s="57">
        <v>6315</v>
      </c>
      <c r="P818" s="57">
        <v>0</v>
      </c>
      <c r="Q818" s="56">
        <v>0</v>
      </c>
      <c r="R818" s="57">
        <f t="shared" si="12"/>
        <v>10796</v>
      </c>
      <c r="S818" s="56"/>
      <c r="T818" s="57">
        <v>5219</v>
      </c>
      <c r="U818" s="58">
        <v>1258</v>
      </c>
      <c r="V818" s="58">
        <v>6477</v>
      </c>
    </row>
    <row r="819" spans="1:22">
      <c r="A819" s="54">
        <v>99051</v>
      </c>
      <c r="B819" s="55" t="s">
        <v>2195</v>
      </c>
      <c r="C819" s="106">
        <v>3.3349999999999997E-4</v>
      </c>
      <c r="D819" s="106">
        <v>2.8449999999999998E-4</v>
      </c>
      <c r="E819" s="56">
        <v>116232.29000000001</v>
      </c>
      <c r="F819" s="56">
        <v>127682</v>
      </c>
      <c r="G819" s="56">
        <v>707799</v>
      </c>
      <c r="H819" s="56"/>
      <c r="I819" s="57">
        <v>13298</v>
      </c>
      <c r="J819" s="57">
        <v>620257</v>
      </c>
      <c r="K819" s="57">
        <v>48478</v>
      </c>
      <c r="L819" s="56">
        <v>16843</v>
      </c>
      <c r="M819" s="56"/>
      <c r="N819" s="57">
        <v>24802</v>
      </c>
      <c r="O819" s="57">
        <v>228934</v>
      </c>
      <c r="P819" s="57">
        <v>0</v>
      </c>
      <c r="Q819" s="56">
        <v>0</v>
      </c>
      <c r="R819" s="57">
        <f t="shared" si="12"/>
        <v>391323</v>
      </c>
      <c r="S819" s="56"/>
      <c r="T819" s="57">
        <v>189184</v>
      </c>
      <c r="U819" s="58">
        <v>5410</v>
      </c>
      <c r="V819" s="58">
        <v>194594</v>
      </c>
    </row>
    <row r="820" spans="1:22">
      <c r="A820" s="54">
        <v>99061</v>
      </c>
      <c r="B820" s="55" t="s">
        <v>2196</v>
      </c>
      <c r="C820" s="106">
        <v>8.3999999999999992E-6</v>
      </c>
      <c r="D820" s="106">
        <v>8.8000000000000004E-6</v>
      </c>
      <c r="E820" s="56">
        <v>7400.82</v>
      </c>
      <c r="F820" s="56">
        <v>3949</v>
      </c>
      <c r="G820" s="56">
        <v>17828</v>
      </c>
      <c r="H820" s="56"/>
      <c r="I820" s="57">
        <v>334.95</v>
      </c>
      <c r="J820" s="57">
        <v>15623</v>
      </c>
      <c r="K820" s="57">
        <v>1221</v>
      </c>
      <c r="L820" s="56">
        <v>6023</v>
      </c>
      <c r="M820" s="56"/>
      <c r="N820" s="57">
        <v>625</v>
      </c>
      <c r="O820" s="57">
        <v>5766</v>
      </c>
      <c r="P820" s="57">
        <v>0</v>
      </c>
      <c r="Q820" s="56">
        <v>0</v>
      </c>
      <c r="R820" s="57">
        <f t="shared" si="12"/>
        <v>9857</v>
      </c>
      <c r="S820" s="56"/>
      <c r="T820" s="57">
        <v>4765</v>
      </c>
      <c r="U820" s="58">
        <v>1888</v>
      </c>
      <c r="V820" s="58">
        <v>6653</v>
      </c>
    </row>
    <row r="821" spans="1:22">
      <c r="A821" s="54">
        <v>99071</v>
      </c>
      <c r="B821" s="55" t="s">
        <v>2197</v>
      </c>
      <c r="C821" s="106">
        <v>3.0499999999999999E-5</v>
      </c>
      <c r="D821" s="106">
        <v>3.9799999999999998E-5</v>
      </c>
      <c r="E821" s="56">
        <v>18014.939999999995</v>
      </c>
      <c r="F821" s="56">
        <v>17862</v>
      </c>
      <c r="G821" s="56">
        <v>64731</v>
      </c>
      <c r="H821" s="56"/>
      <c r="I821" s="57">
        <v>1216.1875</v>
      </c>
      <c r="J821" s="57">
        <v>56725</v>
      </c>
      <c r="K821" s="57">
        <v>4434</v>
      </c>
      <c r="L821" s="56">
        <v>0</v>
      </c>
      <c r="M821" s="56"/>
      <c r="N821" s="57">
        <v>2268</v>
      </c>
      <c r="O821" s="57">
        <v>20937</v>
      </c>
      <c r="P821" s="57">
        <v>0</v>
      </c>
      <c r="Q821" s="56">
        <v>3405</v>
      </c>
      <c r="R821" s="57">
        <f t="shared" si="12"/>
        <v>35788</v>
      </c>
      <c r="S821" s="56"/>
      <c r="T821" s="57">
        <v>17302</v>
      </c>
      <c r="U821" s="58">
        <v>-1312</v>
      </c>
      <c r="V821" s="58">
        <v>15990</v>
      </c>
    </row>
    <row r="822" spans="1:22">
      <c r="A822" s="54">
        <v>99081</v>
      </c>
      <c r="B822" s="55" t="s">
        <v>2198</v>
      </c>
      <c r="C822" s="106">
        <v>2.9600000000000001E-5</v>
      </c>
      <c r="D822" s="106">
        <v>3.6999999999999998E-5</v>
      </c>
      <c r="E822" s="56">
        <v>11739.53</v>
      </c>
      <c r="F822" s="56">
        <v>16605</v>
      </c>
      <c r="G822" s="56">
        <v>62821</v>
      </c>
      <c r="H822" s="56"/>
      <c r="I822" s="57">
        <v>1180.3</v>
      </c>
      <c r="J822" s="57">
        <v>55051</v>
      </c>
      <c r="K822" s="57">
        <v>4303</v>
      </c>
      <c r="L822" s="56">
        <v>5558</v>
      </c>
      <c r="M822" s="56"/>
      <c r="N822" s="57">
        <v>2201</v>
      </c>
      <c r="O822" s="57">
        <v>20319</v>
      </c>
      <c r="P822" s="57">
        <v>0</v>
      </c>
      <c r="Q822" s="56">
        <v>7640</v>
      </c>
      <c r="R822" s="57">
        <f t="shared" si="12"/>
        <v>34732</v>
      </c>
      <c r="S822" s="56"/>
      <c r="T822" s="57">
        <v>16791</v>
      </c>
      <c r="U822" s="58">
        <v>-809</v>
      </c>
      <c r="V822" s="58">
        <v>15982</v>
      </c>
    </row>
    <row r="823" spans="1:22">
      <c r="A823" s="54">
        <v>99091</v>
      </c>
      <c r="B823" s="55" t="s">
        <v>2199</v>
      </c>
      <c r="C823" s="106">
        <v>4.1999999999999996E-6</v>
      </c>
      <c r="D823" s="106">
        <v>4.7999999999999998E-6</v>
      </c>
      <c r="E823" s="56">
        <v>4170.01</v>
      </c>
      <c r="F823" s="56">
        <v>2154</v>
      </c>
      <c r="G823" s="56">
        <v>8914</v>
      </c>
      <c r="H823" s="56"/>
      <c r="I823" s="57">
        <v>167.47499999999999</v>
      </c>
      <c r="J823" s="57">
        <v>7811</v>
      </c>
      <c r="K823" s="57">
        <v>611</v>
      </c>
      <c r="L823" s="56">
        <v>2618</v>
      </c>
      <c r="M823" s="56"/>
      <c r="N823" s="57">
        <v>312</v>
      </c>
      <c r="O823" s="57">
        <v>2883</v>
      </c>
      <c r="P823" s="57">
        <v>0</v>
      </c>
      <c r="Q823" s="56">
        <v>6497.35</v>
      </c>
      <c r="R823" s="57">
        <f t="shared" si="12"/>
        <v>4928</v>
      </c>
      <c r="S823" s="56"/>
      <c r="T823" s="57">
        <v>2383</v>
      </c>
      <c r="U823" s="58">
        <v>-2491</v>
      </c>
      <c r="V823" s="58">
        <v>-108</v>
      </c>
    </row>
    <row r="824" spans="1:22">
      <c r="A824" s="54">
        <v>99101</v>
      </c>
      <c r="B824" s="55" t="s">
        <v>2200</v>
      </c>
      <c r="C824" s="106">
        <v>2.0087999999999998E-3</v>
      </c>
      <c r="D824" s="106">
        <v>2.026E-3</v>
      </c>
      <c r="E824" s="56">
        <v>792557.39</v>
      </c>
      <c r="F824" s="56">
        <v>909257</v>
      </c>
      <c r="G824" s="56">
        <v>4263347</v>
      </c>
      <c r="H824" s="56"/>
      <c r="I824" s="57">
        <v>80101</v>
      </c>
      <c r="J824" s="57">
        <v>3736051</v>
      </c>
      <c r="K824" s="57">
        <v>292001</v>
      </c>
      <c r="L824" s="56">
        <v>7868</v>
      </c>
      <c r="M824" s="56"/>
      <c r="N824" s="57">
        <v>149392</v>
      </c>
      <c r="O824" s="57">
        <v>1378957</v>
      </c>
      <c r="P824" s="57">
        <v>0</v>
      </c>
      <c r="Q824" s="56">
        <v>72656</v>
      </c>
      <c r="R824" s="57">
        <f t="shared" si="12"/>
        <v>2357094</v>
      </c>
      <c r="S824" s="56"/>
      <c r="T824" s="57">
        <v>1139530</v>
      </c>
      <c r="U824" s="58">
        <v>-24965</v>
      </c>
      <c r="V824" s="58">
        <v>1114565</v>
      </c>
    </row>
    <row r="825" spans="1:22">
      <c r="A825" s="54">
        <v>99104</v>
      </c>
      <c r="B825" s="55" t="s">
        <v>2201</v>
      </c>
      <c r="C825" s="106">
        <v>3.4799999999999999E-5</v>
      </c>
      <c r="D825" s="106">
        <v>2.55E-5</v>
      </c>
      <c r="E825" s="56">
        <v>18414.219999999998</v>
      </c>
      <c r="F825" s="56">
        <v>11444</v>
      </c>
      <c r="G825" s="56">
        <v>73857</v>
      </c>
      <c r="H825" s="56"/>
      <c r="I825" s="57">
        <v>1388</v>
      </c>
      <c r="J825" s="57">
        <v>64723</v>
      </c>
      <c r="K825" s="57">
        <v>5059</v>
      </c>
      <c r="L825" s="56">
        <v>14979</v>
      </c>
      <c r="M825" s="56"/>
      <c r="N825" s="57">
        <v>2588</v>
      </c>
      <c r="O825" s="57">
        <v>23889</v>
      </c>
      <c r="P825" s="57">
        <v>0</v>
      </c>
      <c r="Q825" s="56">
        <v>0</v>
      </c>
      <c r="R825" s="57">
        <f t="shared" si="12"/>
        <v>40834</v>
      </c>
      <c r="S825" s="56"/>
      <c r="T825" s="57">
        <v>19741</v>
      </c>
      <c r="U825" s="58">
        <v>4886</v>
      </c>
      <c r="V825" s="58">
        <v>24627</v>
      </c>
    </row>
    <row r="826" spans="1:22">
      <c r="A826" s="54">
        <v>99109</v>
      </c>
      <c r="B826" s="55" t="s">
        <v>2202</v>
      </c>
      <c r="C826" s="106">
        <v>1.1849999999999999E-4</v>
      </c>
      <c r="D826" s="106">
        <v>1.4129999999999999E-4</v>
      </c>
      <c r="E826" s="56">
        <v>48014.54</v>
      </c>
      <c r="F826" s="56">
        <v>63415</v>
      </c>
      <c r="G826" s="56">
        <v>251497</v>
      </c>
      <c r="H826" s="56"/>
      <c r="I826" s="57">
        <v>4725.1875</v>
      </c>
      <c r="J826" s="57">
        <v>220391</v>
      </c>
      <c r="K826" s="57">
        <v>17225</v>
      </c>
      <c r="L826" s="56">
        <v>5297</v>
      </c>
      <c r="M826" s="56"/>
      <c r="N826" s="57">
        <v>8813</v>
      </c>
      <c r="O826" s="57">
        <v>81345</v>
      </c>
      <c r="P826" s="57">
        <v>0</v>
      </c>
      <c r="Q826" s="56">
        <v>22236</v>
      </c>
      <c r="R826" s="57">
        <f t="shared" si="12"/>
        <v>139046</v>
      </c>
      <c r="S826" s="56"/>
      <c r="T826" s="57">
        <v>67221</v>
      </c>
      <c r="U826" s="58">
        <v>-6150</v>
      </c>
      <c r="V826" s="58">
        <v>61071</v>
      </c>
    </row>
    <row r="827" spans="1:22">
      <c r="A827" s="54">
        <v>99110</v>
      </c>
      <c r="B827" s="55" t="s">
        <v>2203</v>
      </c>
      <c r="C827" s="106">
        <v>1.8369999999999999E-4</v>
      </c>
      <c r="D827" s="106">
        <v>1.728E-4</v>
      </c>
      <c r="E827" s="56">
        <v>101917.56000000001</v>
      </c>
      <c r="F827" s="56">
        <v>77552</v>
      </c>
      <c r="G827" s="56">
        <v>389873</v>
      </c>
      <c r="H827" s="56"/>
      <c r="I827" s="57">
        <v>7325</v>
      </c>
      <c r="J827" s="57">
        <v>341653</v>
      </c>
      <c r="K827" s="57">
        <v>26703</v>
      </c>
      <c r="L827" s="56">
        <v>63672</v>
      </c>
      <c r="M827" s="56"/>
      <c r="N827" s="57">
        <v>13662</v>
      </c>
      <c r="O827" s="57">
        <v>126102</v>
      </c>
      <c r="P827" s="57">
        <v>0</v>
      </c>
      <c r="Q827" s="56">
        <v>0</v>
      </c>
      <c r="R827" s="57">
        <f t="shared" si="12"/>
        <v>215551</v>
      </c>
      <c r="S827" s="56"/>
      <c r="T827" s="57">
        <v>104207</v>
      </c>
      <c r="U827" s="58">
        <v>21007</v>
      </c>
      <c r="V827" s="58">
        <v>125214</v>
      </c>
    </row>
    <row r="828" spans="1:22">
      <c r="A828" s="54">
        <v>99111</v>
      </c>
      <c r="B828" s="55" t="s">
        <v>2204</v>
      </c>
      <c r="C828" s="106">
        <v>1.2757000000000001E-3</v>
      </c>
      <c r="D828" s="106">
        <v>1.3278000000000001E-3</v>
      </c>
      <c r="E828" s="56">
        <v>486450.51999999996</v>
      </c>
      <c r="F828" s="56">
        <v>595909</v>
      </c>
      <c r="G828" s="56">
        <v>2707463</v>
      </c>
      <c r="H828" s="56"/>
      <c r="I828" s="57">
        <v>50869</v>
      </c>
      <c r="J828" s="57">
        <v>2372600</v>
      </c>
      <c r="K828" s="57">
        <v>185437</v>
      </c>
      <c r="L828" s="56">
        <v>0</v>
      </c>
      <c r="M828" s="56"/>
      <c r="N828" s="57">
        <v>94873</v>
      </c>
      <c r="O828" s="57">
        <v>875714</v>
      </c>
      <c r="P828" s="57">
        <v>0</v>
      </c>
      <c r="Q828" s="56">
        <v>165116</v>
      </c>
      <c r="R828" s="57">
        <f t="shared" si="12"/>
        <v>1496886</v>
      </c>
      <c r="S828" s="56"/>
      <c r="T828" s="57">
        <v>723665</v>
      </c>
      <c r="U828" s="58">
        <v>-59086</v>
      </c>
      <c r="V828" s="58">
        <v>664579</v>
      </c>
    </row>
    <row r="829" spans="1:22">
      <c r="A829" s="54">
        <v>99201</v>
      </c>
      <c r="B829" s="55" t="s">
        <v>2205</v>
      </c>
      <c r="C829" s="106">
        <v>3.22145E-2</v>
      </c>
      <c r="D829" s="106">
        <v>3.0831399999999998E-2</v>
      </c>
      <c r="E829" s="56">
        <v>12898805.330000002</v>
      </c>
      <c r="F829" s="56">
        <v>13836947</v>
      </c>
      <c r="G829" s="56">
        <v>68369961</v>
      </c>
      <c r="H829" s="56"/>
      <c r="I829" s="57">
        <v>1284553</v>
      </c>
      <c r="J829" s="57">
        <v>59913880</v>
      </c>
      <c r="K829" s="57">
        <v>4682732</v>
      </c>
      <c r="L829" s="56">
        <v>1101849</v>
      </c>
      <c r="M829" s="56"/>
      <c r="N829" s="57">
        <v>2395760</v>
      </c>
      <c r="O829" s="57">
        <v>22113901</v>
      </c>
      <c r="P829" s="57">
        <v>0</v>
      </c>
      <c r="Q829" s="56">
        <v>485474</v>
      </c>
      <c r="R829" s="57">
        <f t="shared" si="12"/>
        <v>37799979</v>
      </c>
      <c r="S829" s="56"/>
      <c r="T829" s="57">
        <v>18274287</v>
      </c>
      <c r="U829" s="58">
        <v>101682</v>
      </c>
      <c r="V829" s="58">
        <v>18375969</v>
      </c>
    </row>
    <row r="830" spans="1:22">
      <c r="A830" s="54">
        <v>99202</v>
      </c>
      <c r="B830" s="55" t="s">
        <v>2206</v>
      </c>
      <c r="C830" s="106">
        <v>2.5138000000000001E-3</v>
      </c>
      <c r="D830" s="106">
        <v>2.6002999999999998E-3</v>
      </c>
      <c r="E830" s="56">
        <v>915265.74000000011</v>
      </c>
      <c r="F830" s="56">
        <v>1166999</v>
      </c>
      <c r="G830" s="56">
        <v>5335126</v>
      </c>
      <c r="H830" s="56"/>
      <c r="I830" s="57">
        <v>100238</v>
      </c>
      <c r="J830" s="57">
        <v>4675271</v>
      </c>
      <c r="K830" s="57">
        <v>365408</v>
      </c>
      <c r="L830" s="56">
        <v>0</v>
      </c>
      <c r="M830" s="56"/>
      <c r="N830" s="57">
        <v>186949</v>
      </c>
      <c r="O830" s="57">
        <v>1725618</v>
      </c>
      <c r="P830" s="57">
        <v>0</v>
      </c>
      <c r="Q830" s="56">
        <v>202410</v>
      </c>
      <c r="R830" s="57">
        <f t="shared" si="12"/>
        <v>2949653</v>
      </c>
      <c r="S830" s="56"/>
      <c r="T830" s="57">
        <v>1426001</v>
      </c>
      <c r="U830" s="58">
        <v>-62123</v>
      </c>
      <c r="V830" s="58">
        <v>1363878</v>
      </c>
    </row>
    <row r="831" spans="1:22">
      <c r="A831" s="54">
        <v>99203</v>
      </c>
      <c r="B831" s="55" t="s">
        <v>2207</v>
      </c>
      <c r="C831" s="106">
        <v>3.1990000000000002E-4</v>
      </c>
      <c r="D831" s="106">
        <v>2.5050000000000002E-4</v>
      </c>
      <c r="E831" s="56">
        <v>105117.04000000001</v>
      </c>
      <c r="F831" s="56">
        <v>112423</v>
      </c>
      <c r="G831" s="56">
        <v>678935</v>
      </c>
      <c r="H831" s="56"/>
      <c r="I831" s="57">
        <v>12756</v>
      </c>
      <c r="J831" s="57">
        <v>594963</v>
      </c>
      <c r="K831" s="57">
        <v>46501</v>
      </c>
      <c r="L831" s="56">
        <v>40829</v>
      </c>
      <c r="M831" s="56"/>
      <c r="N831" s="57">
        <v>23791</v>
      </c>
      <c r="O831" s="57">
        <v>219598</v>
      </c>
      <c r="P831" s="57">
        <v>0</v>
      </c>
      <c r="Q831" s="56">
        <v>0</v>
      </c>
      <c r="R831" s="57">
        <f t="shared" si="12"/>
        <v>375365</v>
      </c>
      <c r="S831" s="56"/>
      <c r="T831" s="57">
        <v>181469</v>
      </c>
      <c r="U831" s="58">
        <v>16396</v>
      </c>
      <c r="V831" s="58">
        <v>197865</v>
      </c>
    </row>
    <row r="832" spans="1:22">
      <c r="A832" s="54">
        <v>99204</v>
      </c>
      <c r="B832" s="55" t="s">
        <v>2208</v>
      </c>
      <c r="C832" s="106">
        <v>7.4910000000000005E-4</v>
      </c>
      <c r="D832" s="106">
        <v>6.5600000000000001E-4</v>
      </c>
      <c r="E832" s="56">
        <v>316209.94</v>
      </c>
      <c r="F832" s="56">
        <v>294409</v>
      </c>
      <c r="G832" s="56">
        <v>1589841</v>
      </c>
      <c r="H832" s="56"/>
      <c r="I832" s="57">
        <v>29870</v>
      </c>
      <c r="J832" s="57">
        <v>1393208</v>
      </c>
      <c r="K832" s="57">
        <v>108890</v>
      </c>
      <c r="L832" s="56">
        <v>82158</v>
      </c>
      <c r="M832" s="56"/>
      <c r="N832" s="57">
        <v>55710</v>
      </c>
      <c r="O832" s="57">
        <v>514226</v>
      </c>
      <c r="P832" s="57">
        <v>0</v>
      </c>
      <c r="Q832" s="56">
        <v>0</v>
      </c>
      <c r="R832" s="57">
        <f t="shared" si="12"/>
        <v>878982</v>
      </c>
      <c r="S832" s="56"/>
      <c r="T832" s="57">
        <v>424941</v>
      </c>
      <c r="U832" s="58">
        <v>24836</v>
      </c>
      <c r="V832" s="58">
        <v>449777</v>
      </c>
    </row>
    <row r="833" spans="1:22">
      <c r="A833" s="54">
        <v>99206</v>
      </c>
      <c r="B833" s="55" t="s">
        <v>2209</v>
      </c>
      <c r="C833" s="106">
        <v>1.6665E-3</v>
      </c>
      <c r="D833" s="106">
        <v>1.9373999999999999E-3</v>
      </c>
      <c r="E833" s="56">
        <v>1101168.54</v>
      </c>
      <c r="F833" s="56">
        <v>869493</v>
      </c>
      <c r="G833" s="56">
        <v>3536871</v>
      </c>
      <c r="H833" s="56"/>
      <c r="I833" s="57">
        <v>66452</v>
      </c>
      <c r="J833" s="57">
        <v>3099427</v>
      </c>
      <c r="K833" s="57">
        <v>242244</v>
      </c>
      <c r="L833" s="56">
        <v>400880</v>
      </c>
      <c r="M833" s="56"/>
      <c r="N833" s="57">
        <v>123936</v>
      </c>
      <c r="O833" s="57">
        <v>1143982</v>
      </c>
      <c r="P833" s="57">
        <v>0</v>
      </c>
      <c r="Q833" s="56">
        <v>13550</v>
      </c>
      <c r="R833" s="57">
        <f t="shared" si="12"/>
        <v>1955445</v>
      </c>
      <c r="S833" s="56"/>
      <c r="T833" s="57">
        <v>945354</v>
      </c>
      <c r="U833" s="58">
        <v>117813</v>
      </c>
      <c r="V833" s="58">
        <v>1063167</v>
      </c>
    </row>
    <row r="834" spans="1:22">
      <c r="A834" s="54">
        <v>99207</v>
      </c>
      <c r="B834" s="55" t="s">
        <v>2299</v>
      </c>
      <c r="C834" s="106">
        <v>1.3430000000000001E-4</v>
      </c>
      <c r="D834" s="106">
        <v>1.4320000000000001E-4</v>
      </c>
      <c r="E834" s="56">
        <v>122929.82</v>
      </c>
      <c r="F834" s="56">
        <v>64267</v>
      </c>
      <c r="G834" s="56">
        <v>285030</v>
      </c>
      <c r="H834" s="56"/>
      <c r="I834" s="57">
        <v>5355</v>
      </c>
      <c r="J834" s="57">
        <v>249777</v>
      </c>
      <c r="K834" s="57">
        <v>19522</v>
      </c>
      <c r="L834" s="56">
        <v>79584</v>
      </c>
      <c r="M834" s="56"/>
      <c r="N834" s="57">
        <v>9988</v>
      </c>
      <c r="O834" s="57">
        <v>92191</v>
      </c>
      <c r="P834" s="57">
        <v>0</v>
      </c>
      <c r="Q834" s="56">
        <v>0</v>
      </c>
      <c r="R834" s="57">
        <f t="shared" si="12"/>
        <v>157586</v>
      </c>
      <c r="S834" s="56"/>
      <c r="T834" s="57">
        <v>76184</v>
      </c>
      <c r="U834" s="58">
        <v>24293</v>
      </c>
      <c r="V834" s="58">
        <v>100477</v>
      </c>
    </row>
    <row r="835" spans="1:22">
      <c r="A835" s="54">
        <v>99208</v>
      </c>
      <c r="B835" s="55" t="s">
        <v>2211</v>
      </c>
      <c r="C835" s="106">
        <v>1.3669999999999999E-4</v>
      </c>
      <c r="D835" s="106">
        <v>1.774E-4</v>
      </c>
      <c r="E835" s="56">
        <v>46839.619999999995</v>
      </c>
      <c r="F835" s="56">
        <v>79616</v>
      </c>
      <c r="G835" s="56">
        <v>290123</v>
      </c>
      <c r="H835" s="56"/>
      <c r="I835" s="57">
        <v>5451</v>
      </c>
      <c r="J835" s="57">
        <v>254240</v>
      </c>
      <c r="K835" s="57">
        <v>19871</v>
      </c>
      <c r="L835" s="56">
        <v>0</v>
      </c>
      <c r="M835" s="56"/>
      <c r="N835" s="57">
        <v>10166</v>
      </c>
      <c r="O835" s="57">
        <v>93839</v>
      </c>
      <c r="P835" s="57">
        <v>0</v>
      </c>
      <c r="Q835" s="56">
        <v>57522</v>
      </c>
      <c r="R835" s="57">
        <f t="shared" si="12"/>
        <v>160401</v>
      </c>
      <c r="S835" s="56"/>
      <c r="T835" s="57">
        <v>77546</v>
      </c>
      <c r="U835" s="58">
        <v>-20235</v>
      </c>
      <c r="V835" s="58">
        <v>57311</v>
      </c>
    </row>
    <row r="836" spans="1:22">
      <c r="A836" s="54">
        <v>99210</v>
      </c>
      <c r="B836" s="55" t="s">
        <v>2212</v>
      </c>
      <c r="C836" s="106">
        <v>1.5945E-3</v>
      </c>
      <c r="D836" s="106">
        <v>1.6262E-3</v>
      </c>
      <c r="E836" s="56">
        <v>706575.50999999989</v>
      </c>
      <c r="F836" s="56">
        <v>729829</v>
      </c>
      <c r="G836" s="56">
        <v>3384063</v>
      </c>
      <c r="H836" s="56"/>
      <c r="I836" s="57">
        <v>63581</v>
      </c>
      <c r="J836" s="57">
        <v>2965518</v>
      </c>
      <c r="K836" s="57">
        <v>231778</v>
      </c>
      <c r="L836" s="56">
        <v>80869</v>
      </c>
      <c r="M836" s="56"/>
      <c r="N836" s="57">
        <v>118581</v>
      </c>
      <c r="O836" s="57">
        <v>1094557</v>
      </c>
      <c r="P836" s="57">
        <v>0</v>
      </c>
      <c r="Q836" s="56">
        <v>0</v>
      </c>
      <c r="R836" s="57">
        <f t="shared" si="12"/>
        <v>1870961</v>
      </c>
      <c r="S836" s="56"/>
      <c r="T836" s="57">
        <v>904510</v>
      </c>
      <c r="U836" s="58">
        <v>27611</v>
      </c>
      <c r="V836" s="58">
        <v>932122</v>
      </c>
    </row>
    <row r="837" spans="1:22">
      <c r="A837" s="54">
        <v>99211</v>
      </c>
      <c r="B837" s="55" t="s">
        <v>2213</v>
      </c>
      <c r="C837" s="106">
        <v>3.8233999999999997E-2</v>
      </c>
      <c r="D837" s="106">
        <v>3.7564199999999999E-2</v>
      </c>
      <c r="E837" s="56">
        <v>14152947.149999999</v>
      </c>
      <c r="F837" s="56">
        <v>16858588</v>
      </c>
      <c r="G837" s="56">
        <v>81145356</v>
      </c>
      <c r="H837" s="56"/>
      <c r="I837" s="57">
        <v>1524580.75</v>
      </c>
      <c r="J837" s="57">
        <v>71109199</v>
      </c>
      <c r="K837" s="57">
        <v>5557732</v>
      </c>
      <c r="L837" s="56">
        <v>0</v>
      </c>
      <c r="M837" s="56"/>
      <c r="N837" s="57">
        <v>2843424</v>
      </c>
      <c r="O837" s="57">
        <v>26246035</v>
      </c>
      <c r="P837" s="57">
        <v>0</v>
      </c>
      <c r="Q837" s="56">
        <v>1538962</v>
      </c>
      <c r="R837" s="57">
        <f t="shared" si="12"/>
        <v>44863164</v>
      </c>
      <c r="S837" s="56"/>
      <c r="T837" s="57">
        <v>21688963</v>
      </c>
      <c r="U837" s="58">
        <v>-519725</v>
      </c>
      <c r="V837" s="58">
        <v>21169238</v>
      </c>
    </row>
    <row r="838" spans="1:22">
      <c r="A838" s="54">
        <v>99212</v>
      </c>
      <c r="B838" s="55" t="s">
        <v>2214</v>
      </c>
      <c r="C838" s="106">
        <v>7.4400000000000006E-5</v>
      </c>
      <c r="D838" s="106">
        <v>1.2750000000000001E-4</v>
      </c>
      <c r="E838" s="56">
        <v>26346.03</v>
      </c>
      <c r="F838" s="56">
        <v>57221</v>
      </c>
      <c r="G838" s="56">
        <v>157902</v>
      </c>
      <c r="H838" s="56"/>
      <c r="I838" s="57">
        <v>2967</v>
      </c>
      <c r="J838" s="57">
        <v>138372</v>
      </c>
      <c r="K838" s="57">
        <v>10815</v>
      </c>
      <c r="L838" s="56">
        <v>0</v>
      </c>
      <c r="M838" s="56"/>
      <c r="N838" s="57">
        <v>5533</v>
      </c>
      <c r="O838" s="57">
        <v>51072</v>
      </c>
      <c r="P838" s="57">
        <v>0</v>
      </c>
      <c r="Q838" s="56">
        <v>49365</v>
      </c>
      <c r="R838" s="57">
        <f t="shared" si="12"/>
        <v>87300</v>
      </c>
      <c r="S838" s="56"/>
      <c r="T838" s="57">
        <v>42205</v>
      </c>
      <c r="U838" s="58">
        <v>-15321</v>
      </c>
      <c r="V838" s="58">
        <v>26884</v>
      </c>
    </row>
    <row r="839" spans="1:22">
      <c r="A839" s="54">
        <v>99213</v>
      </c>
      <c r="B839" s="55" t="s">
        <v>2215</v>
      </c>
      <c r="C839" s="106">
        <v>8.0730000000000005E-4</v>
      </c>
      <c r="D839" s="106">
        <v>8.3339999999999998E-4</v>
      </c>
      <c r="E839" s="56">
        <v>326034.78000000003</v>
      </c>
      <c r="F839" s="56">
        <v>374025</v>
      </c>
      <c r="G839" s="56">
        <v>1713361</v>
      </c>
      <c r="H839" s="56"/>
      <c r="I839" s="57">
        <v>32191</v>
      </c>
      <c r="J839" s="57">
        <v>1501450</v>
      </c>
      <c r="K839" s="57">
        <v>117350</v>
      </c>
      <c r="L839" s="56">
        <v>9384</v>
      </c>
      <c r="M839" s="56"/>
      <c r="N839" s="57">
        <v>60038</v>
      </c>
      <c r="O839" s="57">
        <v>554178</v>
      </c>
      <c r="P839" s="57">
        <v>0</v>
      </c>
      <c r="Q839" s="56">
        <v>21194</v>
      </c>
      <c r="R839" s="57">
        <f t="shared" ref="R839:R902" si="13">IF(J839&gt;O839,J839-O839,O839-J839)</f>
        <v>947272</v>
      </c>
      <c r="S839" s="56"/>
      <c r="T839" s="57">
        <v>457956</v>
      </c>
      <c r="U839" s="58">
        <v>-2728</v>
      </c>
      <c r="V839" s="58">
        <v>455228</v>
      </c>
    </row>
    <row r="840" spans="1:22">
      <c r="A840" s="54">
        <v>99218</v>
      </c>
      <c r="B840" s="55" t="s">
        <v>2216</v>
      </c>
      <c r="C840" s="106">
        <v>3.1227999999999998E-3</v>
      </c>
      <c r="D840" s="106">
        <v>2.8506999999999998E-3</v>
      </c>
      <c r="E840" s="56">
        <v>1270452.44</v>
      </c>
      <c r="F840" s="56">
        <v>1279377</v>
      </c>
      <c r="G840" s="56">
        <v>6627628</v>
      </c>
      <c r="H840" s="56"/>
      <c r="I840" s="57">
        <v>124521.65</v>
      </c>
      <c r="J840" s="57">
        <v>5807915</v>
      </c>
      <c r="K840" s="57">
        <v>453933</v>
      </c>
      <c r="L840" s="56">
        <v>189764</v>
      </c>
      <c r="M840" s="56"/>
      <c r="N840" s="57">
        <v>232240</v>
      </c>
      <c r="O840" s="57">
        <v>2143671</v>
      </c>
      <c r="P840" s="57">
        <v>0</v>
      </c>
      <c r="Q840" s="56">
        <v>0</v>
      </c>
      <c r="R840" s="57">
        <f t="shared" si="13"/>
        <v>3664244</v>
      </c>
      <c r="S840" s="56"/>
      <c r="T840" s="57">
        <v>1771468</v>
      </c>
      <c r="U840" s="58">
        <v>55483</v>
      </c>
      <c r="V840" s="58">
        <v>1826951</v>
      </c>
    </row>
    <row r="841" spans="1:22">
      <c r="A841" s="54">
        <v>99221</v>
      </c>
      <c r="B841" s="55" t="s">
        <v>2217</v>
      </c>
      <c r="C841" s="106">
        <v>1.3092700000000001E-2</v>
      </c>
      <c r="D841" s="106">
        <v>1.33233E-2</v>
      </c>
      <c r="E841" s="56">
        <v>4943527.5200000005</v>
      </c>
      <c r="F841" s="56">
        <v>5979417</v>
      </c>
      <c r="G841" s="56">
        <v>27787095</v>
      </c>
      <c r="H841" s="56"/>
      <c r="I841" s="57">
        <v>522071</v>
      </c>
      <c r="J841" s="57">
        <v>24350353</v>
      </c>
      <c r="K841" s="57">
        <v>1903168</v>
      </c>
      <c r="L841" s="56">
        <v>0</v>
      </c>
      <c r="M841" s="56"/>
      <c r="N841" s="57">
        <v>973691</v>
      </c>
      <c r="O841" s="57">
        <v>8987589</v>
      </c>
      <c r="P841" s="57">
        <v>0</v>
      </c>
      <c r="Q841" s="56">
        <v>703621</v>
      </c>
      <c r="R841" s="57">
        <f t="shared" si="13"/>
        <v>15362764</v>
      </c>
      <c r="S841" s="56"/>
      <c r="T841" s="57">
        <v>7427083</v>
      </c>
      <c r="U841" s="58">
        <v>-220701</v>
      </c>
      <c r="V841" s="58">
        <v>7206381</v>
      </c>
    </row>
    <row r="842" spans="1:22">
      <c r="A842" s="54">
        <v>99222</v>
      </c>
      <c r="B842" s="55" t="s">
        <v>2218</v>
      </c>
      <c r="C842" s="106">
        <v>4.0099999999999999E-5</v>
      </c>
      <c r="D842" s="106">
        <v>3.82E-5</v>
      </c>
      <c r="E842" s="56">
        <v>13646.550000000001</v>
      </c>
      <c r="F842" s="56">
        <v>17144</v>
      </c>
      <c r="G842" s="56">
        <v>85106</v>
      </c>
      <c r="H842" s="56"/>
      <c r="I842" s="57">
        <v>1599</v>
      </c>
      <c r="J842" s="57">
        <v>74580</v>
      </c>
      <c r="K842" s="57">
        <v>5829</v>
      </c>
      <c r="L842" s="56">
        <v>3575</v>
      </c>
      <c r="M842" s="56"/>
      <c r="N842" s="57">
        <v>2982</v>
      </c>
      <c r="O842" s="57">
        <v>27527</v>
      </c>
      <c r="P842" s="57">
        <v>0</v>
      </c>
      <c r="Q842" s="56">
        <v>1230</v>
      </c>
      <c r="R842" s="57">
        <f t="shared" si="13"/>
        <v>47053</v>
      </c>
      <c r="S842" s="56"/>
      <c r="T842" s="57">
        <v>22747</v>
      </c>
      <c r="U842" s="58">
        <v>949</v>
      </c>
      <c r="V842" s="58">
        <v>23697</v>
      </c>
    </row>
    <row r="843" spans="1:22">
      <c r="A843" s="54">
        <v>99231</v>
      </c>
      <c r="B843" s="55" t="s">
        <v>2219</v>
      </c>
      <c r="C843" s="106">
        <v>3.7869999999999999E-4</v>
      </c>
      <c r="D843" s="106">
        <v>3.7139999999999997E-4</v>
      </c>
      <c r="E843" s="56">
        <v>142098.15</v>
      </c>
      <c r="F843" s="56">
        <v>166682</v>
      </c>
      <c r="G843" s="56">
        <v>803728</v>
      </c>
      <c r="H843" s="56"/>
      <c r="I843" s="57">
        <v>15101</v>
      </c>
      <c r="J843" s="57">
        <v>704322</v>
      </c>
      <c r="K843" s="57">
        <v>55048</v>
      </c>
      <c r="L843" s="56">
        <v>0</v>
      </c>
      <c r="M843" s="56"/>
      <c r="N843" s="57">
        <v>28164</v>
      </c>
      <c r="O843" s="57">
        <v>259962</v>
      </c>
      <c r="P843" s="57">
        <v>0</v>
      </c>
      <c r="Q843" s="56">
        <v>27202</v>
      </c>
      <c r="R843" s="57">
        <f t="shared" si="13"/>
        <v>444360</v>
      </c>
      <c r="S843" s="56"/>
      <c r="T843" s="57">
        <v>214825</v>
      </c>
      <c r="U843" s="58">
        <v>-11082</v>
      </c>
      <c r="V843" s="58">
        <v>203743</v>
      </c>
    </row>
    <row r="844" spans="1:22">
      <c r="A844" s="54">
        <v>99241</v>
      </c>
      <c r="B844" s="55" t="s">
        <v>2220</v>
      </c>
      <c r="C844" s="106">
        <v>5.6039999999999996E-4</v>
      </c>
      <c r="D844" s="106">
        <v>5.9259999999999998E-4</v>
      </c>
      <c r="E844" s="56">
        <v>196948.58000000002</v>
      </c>
      <c r="F844" s="56">
        <v>265955</v>
      </c>
      <c r="G844" s="56">
        <v>1189357</v>
      </c>
      <c r="H844" s="56"/>
      <c r="I844" s="57">
        <v>22346</v>
      </c>
      <c r="J844" s="57">
        <v>1042255</v>
      </c>
      <c r="K844" s="57">
        <v>81460</v>
      </c>
      <c r="L844" s="56">
        <v>0</v>
      </c>
      <c r="M844" s="56"/>
      <c r="N844" s="57">
        <v>41676</v>
      </c>
      <c r="O844" s="57">
        <v>384691</v>
      </c>
      <c r="P844" s="57">
        <v>0</v>
      </c>
      <c r="Q844" s="56">
        <v>122254</v>
      </c>
      <c r="R844" s="57">
        <f t="shared" si="13"/>
        <v>657564</v>
      </c>
      <c r="S844" s="56"/>
      <c r="T844" s="57">
        <v>317898</v>
      </c>
      <c r="U844" s="58">
        <v>-45505</v>
      </c>
      <c r="V844" s="58">
        <v>272393</v>
      </c>
    </row>
    <row r="845" spans="1:22">
      <c r="A845" s="54">
        <v>99251</v>
      </c>
      <c r="B845" s="55" t="s">
        <v>2221</v>
      </c>
      <c r="C845" s="106">
        <v>1.6521000000000001E-3</v>
      </c>
      <c r="D845" s="106">
        <v>1.598E-3</v>
      </c>
      <c r="E845" s="56">
        <v>644905.39999999991</v>
      </c>
      <c r="F845" s="56">
        <v>717173</v>
      </c>
      <c r="G845" s="56">
        <v>3506310</v>
      </c>
      <c r="H845" s="56"/>
      <c r="I845" s="57">
        <v>65877</v>
      </c>
      <c r="J845" s="57">
        <v>3072645</v>
      </c>
      <c r="K845" s="57">
        <v>240151</v>
      </c>
      <c r="L845" s="56">
        <v>3992</v>
      </c>
      <c r="M845" s="56"/>
      <c r="N845" s="57">
        <v>122865</v>
      </c>
      <c r="O845" s="57">
        <v>1134097</v>
      </c>
      <c r="P845" s="57">
        <v>0</v>
      </c>
      <c r="Q845" s="56">
        <v>14191</v>
      </c>
      <c r="R845" s="57">
        <f t="shared" si="13"/>
        <v>1938548</v>
      </c>
      <c r="S845" s="56"/>
      <c r="T845" s="57">
        <v>937185</v>
      </c>
      <c r="U845" s="58">
        <v>-5897</v>
      </c>
      <c r="V845" s="58">
        <v>931288</v>
      </c>
    </row>
    <row r="846" spans="1:22">
      <c r="A846" s="54">
        <v>99252</v>
      </c>
      <c r="B846" s="55" t="s">
        <v>2222</v>
      </c>
      <c r="C846" s="106">
        <v>5.8279999999999996E-4</v>
      </c>
      <c r="D846" s="106">
        <v>7.4010000000000005E-4</v>
      </c>
      <c r="E846" s="56">
        <v>174600.46999999997</v>
      </c>
      <c r="F846" s="56">
        <v>332152</v>
      </c>
      <c r="G846" s="56">
        <v>1236897</v>
      </c>
      <c r="H846" s="56"/>
      <c r="I846" s="57">
        <v>23239</v>
      </c>
      <c r="J846" s="57">
        <v>1083916</v>
      </c>
      <c r="K846" s="57">
        <v>84716</v>
      </c>
      <c r="L846" s="56">
        <v>0</v>
      </c>
      <c r="M846" s="56"/>
      <c r="N846" s="57">
        <v>43342</v>
      </c>
      <c r="O846" s="57">
        <v>400068</v>
      </c>
      <c r="P846" s="57">
        <v>0</v>
      </c>
      <c r="Q846" s="56">
        <v>244190</v>
      </c>
      <c r="R846" s="57">
        <f t="shared" si="13"/>
        <v>683848</v>
      </c>
      <c r="S846" s="56"/>
      <c r="T846" s="57">
        <v>330604</v>
      </c>
      <c r="U846" s="58">
        <v>-77201</v>
      </c>
      <c r="V846" s="58">
        <v>253403</v>
      </c>
    </row>
    <row r="847" spans="1:22">
      <c r="A847" s="54">
        <v>99261</v>
      </c>
      <c r="B847" s="55" t="s">
        <v>2223</v>
      </c>
      <c r="C847" s="106">
        <v>1.9145E-3</v>
      </c>
      <c r="D847" s="106">
        <v>1.8552E-3</v>
      </c>
      <c r="E847" s="56">
        <v>638819.42000000004</v>
      </c>
      <c r="F847" s="56">
        <v>832603</v>
      </c>
      <c r="G847" s="56">
        <v>4063210</v>
      </c>
      <c r="H847" s="56"/>
      <c r="I847" s="57">
        <v>76341</v>
      </c>
      <c r="J847" s="57">
        <v>3560668</v>
      </c>
      <c r="K847" s="57">
        <v>278294</v>
      </c>
      <c r="L847" s="56">
        <v>0</v>
      </c>
      <c r="M847" s="56"/>
      <c r="N847" s="57">
        <v>142379</v>
      </c>
      <c r="O847" s="57">
        <v>1314224</v>
      </c>
      <c r="P847" s="57">
        <v>0</v>
      </c>
      <c r="Q847" s="56">
        <v>177810</v>
      </c>
      <c r="R847" s="57">
        <f t="shared" si="13"/>
        <v>2246444</v>
      </c>
      <c r="S847" s="56"/>
      <c r="T847" s="57">
        <v>1086037</v>
      </c>
      <c r="U847" s="58">
        <v>-61359</v>
      </c>
      <c r="V847" s="58">
        <v>1024677</v>
      </c>
    </row>
    <row r="848" spans="1:22">
      <c r="A848" s="54">
        <v>99271</v>
      </c>
      <c r="B848" s="55" t="s">
        <v>2224</v>
      </c>
      <c r="C848" s="106">
        <v>3.9248E-3</v>
      </c>
      <c r="D848" s="106">
        <v>3.9693000000000003E-3</v>
      </c>
      <c r="E848" s="56">
        <v>1483973.83</v>
      </c>
      <c r="F848" s="56">
        <v>1781398</v>
      </c>
      <c r="G848" s="56">
        <v>8329740</v>
      </c>
      <c r="H848" s="56"/>
      <c r="I848" s="57">
        <v>156501.4</v>
      </c>
      <c r="J848" s="57">
        <v>7299508</v>
      </c>
      <c r="K848" s="57">
        <v>570513</v>
      </c>
      <c r="L848" s="56">
        <v>0</v>
      </c>
      <c r="M848" s="56"/>
      <c r="N848" s="57">
        <v>291883</v>
      </c>
      <c r="O848" s="57">
        <v>2694210</v>
      </c>
      <c r="P848" s="57">
        <v>0</v>
      </c>
      <c r="Q848" s="56">
        <v>151650</v>
      </c>
      <c r="R848" s="57">
        <f t="shared" si="13"/>
        <v>4605298</v>
      </c>
      <c r="S848" s="56"/>
      <c r="T848" s="57">
        <v>2226417</v>
      </c>
      <c r="U848" s="58">
        <v>-42013</v>
      </c>
      <c r="V848" s="58">
        <v>2184404</v>
      </c>
    </row>
    <row r="849" spans="1:22">
      <c r="A849" s="54">
        <v>99281</v>
      </c>
      <c r="B849" s="55" t="s">
        <v>2225</v>
      </c>
      <c r="C849" s="106">
        <v>2.2824E-3</v>
      </c>
      <c r="D849" s="106">
        <v>2.3207000000000002E-3</v>
      </c>
      <c r="E849" s="56">
        <v>859937.56999999983</v>
      </c>
      <c r="F849" s="56">
        <v>1041516</v>
      </c>
      <c r="G849" s="56">
        <v>4844017</v>
      </c>
      <c r="H849" s="56"/>
      <c r="I849" s="57">
        <v>91010.7</v>
      </c>
      <c r="J849" s="57">
        <v>4244903</v>
      </c>
      <c r="K849" s="57">
        <v>331772</v>
      </c>
      <c r="L849" s="56">
        <v>13554</v>
      </c>
      <c r="M849" s="56"/>
      <c r="N849" s="57">
        <v>169740</v>
      </c>
      <c r="O849" s="57">
        <v>1566772</v>
      </c>
      <c r="P849" s="57">
        <v>0</v>
      </c>
      <c r="Q849" s="56">
        <v>113243</v>
      </c>
      <c r="R849" s="57">
        <f t="shared" si="13"/>
        <v>2678131</v>
      </c>
      <c r="S849" s="56"/>
      <c r="T849" s="57">
        <v>1294735</v>
      </c>
      <c r="U849" s="58">
        <v>-25393</v>
      </c>
      <c r="V849" s="58">
        <v>1269342</v>
      </c>
    </row>
    <row r="850" spans="1:22">
      <c r="A850" s="54">
        <v>99291</v>
      </c>
      <c r="B850" s="55" t="s">
        <v>2226</v>
      </c>
      <c r="C850" s="106">
        <v>7.7260000000000002E-4</v>
      </c>
      <c r="D850" s="106">
        <v>8.0780000000000001E-4</v>
      </c>
      <c r="E850" s="56">
        <v>267315.87</v>
      </c>
      <c r="F850" s="56">
        <v>362536</v>
      </c>
      <c r="G850" s="56">
        <v>1639716</v>
      </c>
      <c r="H850" s="56"/>
      <c r="I850" s="57">
        <v>30807</v>
      </c>
      <c r="J850" s="57">
        <v>1436914</v>
      </c>
      <c r="K850" s="57">
        <v>112306</v>
      </c>
      <c r="L850" s="56">
        <v>0</v>
      </c>
      <c r="M850" s="56"/>
      <c r="N850" s="57">
        <v>57457</v>
      </c>
      <c r="O850" s="57">
        <v>530357</v>
      </c>
      <c r="P850" s="57">
        <v>0</v>
      </c>
      <c r="Q850" s="56">
        <v>124026</v>
      </c>
      <c r="R850" s="57">
        <f t="shared" si="13"/>
        <v>906557</v>
      </c>
      <c r="S850" s="56"/>
      <c r="T850" s="57">
        <v>438272</v>
      </c>
      <c r="U850" s="58">
        <v>-41703</v>
      </c>
      <c r="V850" s="58">
        <v>396569</v>
      </c>
    </row>
    <row r="851" spans="1:22">
      <c r="A851" s="54">
        <v>99301</v>
      </c>
      <c r="B851" s="55" t="s">
        <v>2227</v>
      </c>
      <c r="C851" s="106">
        <v>1.8458000000000001E-3</v>
      </c>
      <c r="D851" s="106">
        <v>1.7903000000000001E-3</v>
      </c>
      <c r="E851" s="56">
        <v>720012.84</v>
      </c>
      <c r="F851" s="56">
        <v>803476</v>
      </c>
      <c r="G851" s="56">
        <v>3917406</v>
      </c>
      <c r="H851" s="56"/>
      <c r="I851" s="57">
        <v>73601</v>
      </c>
      <c r="J851" s="57">
        <v>3432896</v>
      </c>
      <c r="K851" s="57">
        <v>268307</v>
      </c>
      <c r="L851" s="56">
        <v>122430</v>
      </c>
      <c r="M851" s="56"/>
      <c r="N851" s="57">
        <v>137270</v>
      </c>
      <c r="O851" s="57">
        <v>1267064</v>
      </c>
      <c r="P851" s="57">
        <v>0</v>
      </c>
      <c r="Q851" s="56">
        <v>957</v>
      </c>
      <c r="R851" s="57">
        <f t="shared" si="13"/>
        <v>2165832</v>
      </c>
      <c r="S851" s="56"/>
      <c r="T851" s="57">
        <v>1047065</v>
      </c>
      <c r="U851" s="58">
        <v>54774</v>
      </c>
      <c r="V851" s="58">
        <v>1101839</v>
      </c>
    </row>
    <row r="852" spans="1:22">
      <c r="A852" s="54">
        <v>99304</v>
      </c>
      <c r="B852" s="55" t="s">
        <v>2228</v>
      </c>
      <c r="C852" s="106">
        <v>9.9000000000000001E-6</v>
      </c>
      <c r="D852" s="106">
        <v>1.0000000000000001E-5</v>
      </c>
      <c r="E852" s="56">
        <v>6537.4600000000019</v>
      </c>
      <c r="F852" s="56">
        <v>4488</v>
      </c>
      <c r="G852" s="56">
        <v>21011</v>
      </c>
      <c r="H852" s="56"/>
      <c r="I852" s="57">
        <v>394.76249999999999</v>
      </c>
      <c r="J852" s="57">
        <v>18412</v>
      </c>
      <c r="K852" s="57">
        <v>1439</v>
      </c>
      <c r="L852" s="56">
        <v>3536</v>
      </c>
      <c r="M852" s="56"/>
      <c r="N852" s="57">
        <v>736</v>
      </c>
      <c r="O852" s="57">
        <v>6796</v>
      </c>
      <c r="P852" s="57">
        <v>0</v>
      </c>
      <c r="Q852" s="56">
        <v>498</v>
      </c>
      <c r="R852" s="57">
        <f t="shared" si="13"/>
        <v>11616</v>
      </c>
      <c r="S852" s="56"/>
      <c r="T852" s="57">
        <v>5616</v>
      </c>
      <c r="U852" s="58">
        <v>822</v>
      </c>
      <c r="V852" s="58">
        <v>6438</v>
      </c>
    </row>
    <row r="853" spans="1:22">
      <c r="A853" s="54">
        <v>99311</v>
      </c>
      <c r="B853" s="55" t="s">
        <v>2229</v>
      </c>
      <c r="C853" s="106">
        <v>5.7599999999999997E-5</v>
      </c>
      <c r="D853" s="106">
        <v>6.2100000000000005E-5</v>
      </c>
      <c r="E853" s="56">
        <v>21136.39</v>
      </c>
      <c r="F853" s="56">
        <v>27870</v>
      </c>
      <c r="G853" s="56">
        <v>122246</v>
      </c>
      <c r="H853" s="56"/>
      <c r="I853" s="57">
        <v>2297</v>
      </c>
      <c r="J853" s="57">
        <v>107127</v>
      </c>
      <c r="K853" s="57">
        <v>8373</v>
      </c>
      <c r="L853" s="56">
        <v>0</v>
      </c>
      <c r="M853" s="56"/>
      <c r="N853" s="57">
        <v>4284</v>
      </c>
      <c r="O853" s="57">
        <v>39540</v>
      </c>
      <c r="P853" s="57">
        <v>0</v>
      </c>
      <c r="Q853" s="56">
        <v>7642</v>
      </c>
      <c r="R853" s="57">
        <f t="shared" si="13"/>
        <v>67587</v>
      </c>
      <c r="S853" s="56"/>
      <c r="T853" s="57">
        <v>32675</v>
      </c>
      <c r="U853" s="58">
        <v>-2750</v>
      </c>
      <c r="V853" s="58">
        <v>29925</v>
      </c>
    </row>
    <row r="854" spans="1:22">
      <c r="A854" s="54">
        <v>99321</v>
      </c>
      <c r="B854" s="55" t="s">
        <v>2230</v>
      </c>
      <c r="C854" s="106">
        <v>1.1909999999999999E-4</v>
      </c>
      <c r="D854" s="106">
        <v>1.015E-4</v>
      </c>
      <c r="E854" s="56">
        <v>91759.74</v>
      </c>
      <c r="F854" s="56">
        <v>45553</v>
      </c>
      <c r="G854" s="56">
        <v>252770</v>
      </c>
      <c r="H854" s="56"/>
      <c r="I854" s="57">
        <v>4749</v>
      </c>
      <c r="J854" s="57">
        <v>221507</v>
      </c>
      <c r="K854" s="57">
        <v>17312</v>
      </c>
      <c r="L854" s="56">
        <v>97754</v>
      </c>
      <c r="M854" s="56"/>
      <c r="N854" s="57">
        <v>8857</v>
      </c>
      <c r="O854" s="57">
        <v>81757</v>
      </c>
      <c r="P854" s="57">
        <v>0</v>
      </c>
      <c r="Q854" s="56">
        <v>0</v>
      </c>
      <c r="R854" s="57">
        <f t="shared" si="13"/>
        <v>139750</v>
      </c>
      <c r="S854" s="56"/>
      <c r="T854" s="57">
        <v>67562</v>
      </c>
      <c r="U854" s="58">
        <v>33905</v>
      </c>
      <c r="V854" s="58">
        <v>101467</v>
      </c>
    </row>
    <row r="855" spans="1:22">
      <c r="A855" s="54">
        <v>99401</v>
      </c>
      <c r="B855" s="55" t="s">
        <v>2231</v>
      </c>
      <c r="C855" s="106">
        <v>9.3869999999999999E-4</v>
      </c>
      <c r="D855" s="106">
        <v>9.0470000000000004E-4</v>
      </c>
      <c r="E855" s="56">
        <v>380574.92</v>
      </c>
      <c r="F855" s="56">
        <v>406024</v>
      </c>
      <c r="G855" s="56">
        <v>1992236</v>
      </c>
      <c r="H855" s="56"/>
      <c r="I855" s="57">
        <v>37431</v>
      </c>
      <c r="J855" s="57">
        <v>1745834</v>
      </c>
      <c r="K855" s="57">
        <v>136450</v>
      </c>
      <c r="L855" s="56">
        <v>60934</v>
      </c>
      <c r="M855" s="56"/>
      <c r="N855" s="57">
        <v>69810</v>
      </c>
      <c r="O855" s="57">
        <v>644378</v>
      </c>
      <c r="P855" s="57">
        <v>0</v>
      </c>
      <c r="Q855" s="56">
        <v>0</v>
      </c>
      <c r="R855" s="57">
        <f t="shared" si="13"/>
        <v>1101456</v>
      </c>
      <c r="S855" s="56"/>
      <c r="T855" s="57">
        <v>532495</v>
      </c>
      <c r="U855" s="58">
        <v>26694</v>
      </c>
      <c r="V855" s="58">
        <v>559189</v>
      </c>
    </row>
    <row r="856" spans="1:22">
      <c r="A856" s="54">
        <v>99404</v>
      </c>
      <c r="B856" s="55" t="s">
        <v>2232</v>
      </c>
      <c r="C856" s="106">
        <v>9.5999999999999996E-6</v>
      </c>
      <c r="D856" s="106">
        <v>9.9000000000000001E-6</v>
      </c>
      <c r="E856" s="56">
        <v>4863.32</v>
      </c>
      <c r="F856" s="56">
        <v>4443</v>
      </c>
      <c r="G856" s="56">
        <v>20374</v>
      </c>
      <c r="H856" s="56"/>
      <c r="I856" s="57">
        <v>383</v>
      </c>
      <c r="J856" s="57">
        <v>17854</v>
      </c>
      <c r="K856" s="57">
        <v>1395</v>
      </c>
      <c r="L856" s="56">
        <v>890</v>
      </c>
      <c r="M856" s="56"/>
      <c r="N856" s="57">
        <v>714</v>
      </c>
      <c r="O856" s="57">
        <v>6590</v>
      </c>
      <c r="P856" s="57">
        <v>0</v>
      </c>
      <c r="Q856" s="56">
        <v>0</v>
      </c>
      <c r="R856" s="57">
        <f t="shared" si="13"/>
        <v>11264</v>
      </c>
      <c r="S856" s="56"/>
      <c r="T856" s="57">
        <v>5446</v>
      </c>
      <c r="U856" s="58">
        <v>284</v>
      </c>
      <c r="V856" s="58">
        <v>5730</v>
      </c>
    </row>
    <row r="857" spans="1:22">
      <c r="A857" s="54">
        <v>99405</v>
      </c>
      <c r="B857" s="55" t="s">
        <v>2233</v>
      </c>
      <c r="C857" s="106">
        <v>5.8100000000000003E-5</v>
      </c>
      <c r="D857" s="106">
        <v>6.3399999999999996E-5</v>
      </c>
      <c r="E857" s="56">
        <v>32556.2</v>
      </c>
      <c r="F857" s="56">
        <v>28454</v>
      </c>
      <c r="G857" s="56">
        <v>123308</v>
      </c>
      <c r="H857" s="56"/>
      <c r="I857" s="57">
        <v>2317</v>
      </c>
      <c r="J857" s="57">
        <v>108057</v>
      </c>
      <c r="K857" s="57">
        <v>8445</v>
      </c>
      <c r="L857" s="56">
        <v>11934</v>
      </c>
      <c r="M857" s="56"/>
      <c r="N857" s="57">
        <v>4321</v>
      </c>
      <c r="O857" s="57">
        <v>39883</v>
      </c>
      <c r="P857" s="57">
        <v>0</v>
      </c>
      <c r="Q857" s="56">
        <v>675</v>
      </c>
      <c r="R857" s="57">
        <f t="shared" si="13"/>
        <v>68174</v>
      </c>
      <c r="S857" s="56"/>
      <c r="T857" s="57">
        <v>32958</v>
      </c>
      <c r="U857" s="58">
        <v>3510</v>
      </c>
      <c r="V857" s="58">
        <v>36468</v>
      </c>
    </row>
    <row r="858" spans="1:22">
      <c r="A858" s="54">
        <v>99411</v>
      </c>
      <c r="B858" s="55" t="s">
        <v>2234</v>
      </c>
      <c r="C858" s="106">
        <v>1.2510000000000001E-4</v>
      </c>
      <c r="D858" s="106">
        <v>1.07E-4</v>
      </c>
      <c r="E858" s="56">
        <v>60724.219999999994</v>
      </c>
      <c r="F858" s="56">
        <v>48021</v>
      </c>
      <c r="G858" s="56">
        <v>265504</v>
      </c>
      <c r="H858" s="56"/>
      <c r="I858" s="57">
        <v>4988</v>
      </c>
      <c r="J858" s="57">
        <v>232666</v>
      </c>
      <c r="K858" s="57">
        <v>18185</v>
      </c>
      <c r="L858" s="56">
        <v>24011</v>
      </c>
      <c r="M858" s="56"/>
      <c r="N858" s="57">
        <v>9304</v>
      </c>
      <c r="O858" s="57">
        <v>85876</v>
      </c>
      <c r="P858" s="57">
        <v>0</v>
      </c>
      <c r="Q858" s="56">
        <v>8844</v>
      </c>
      <c r="R858" s="57">
        <f t="shared" si="13"/>
        <v>146790</v>
      </c>
      <c r="S858" s="56"/>
      <c r="T858" s="57">
        <v>70965</v>
      </c>
      <c r="U858" s="58">
        <v>2430</v>
      </c>
      <c r="V858" s="58">
        <v>73395</v>
      </c>
    </row>
    <row r="859" spans="1:22">
      <c r="A859" s="54">
        <v>99413</v>
      </c>
      <c r="B859" s="55" t="s">
        <v>2235</v>
      </c>
      <c r="C859" s="106">
        <v>2.76E-5</v>
      </c>
      <c r="D859" s="106">
        <v>4.21E-5</v>
      </c>
      <c r="E859" s="56">
        <v>17655.62</v>
      </c>
      <c r="F859" s="56">
        <v>18894</v>
      </c>
      <c r="G859" s="56">
        <v>58576</v>
      </c>
      <c r="H859" s="56"/>
      <c r="I859" s="57">
        <v>1100.55</v>
      </c>
      <c r="J859" s="57">
        <v>51332</v>
      </c>
      <c r="K859" s="57">
        <v>4012</v>
      </c>
      <c r="L859" s="56">
        <v>10</v>
      </c>
      <c r="M859" s="56"/>
      <c r="N859" s="57">
        <v>2053</v>
      </c>
      <c r="O859" s="57">
        <v>18946</v>
      </c>
      <c r="P859" s="57">
        <v>0</v>
      </c>
      <c r="Q859" s="56">
        <v>4264</v>
      </c>
      <c r="R859" s="57">
        <f t="shared" si="13"/>
        <v>32386</v>
      </c>
      <c r="S859" s="56"/>
      <c r="T859" s="57">
        <v>15657</v>
      </c>
      <c r="U859" s="58">
        <v>-1235</v>
      </c>
      <c r="V859" s="58">
        <v>14422</v>
      </c>
    </row>
    <row r="860" spans="1:22">
      <c r="A860" s="54">
        <v>99421</v>
      </c>
      <c r="B860" s="55" t="s">
        <v>2236</v>
      </c>
      <c r="C860" s="106">
        <v>1.5E-5</v>
      </c>
      <c r="D860" s="106">
        <v>2.2099999999999998E-5</v>
      </c>
      <c r="E860" s="56">
        <v>6577</v>
      </c>
      <c r="F860" s="56">
        <v>9918</v>
      </c>
      <c r="G860" s="56">
        <v>31835</v>
      </c>
      <c r="H860" s="56"/>
      <c r="I860" s="57">
        <v>598.125</v>
      </c>
      <c r="J860" s="57">
        <v>27897.63</v>
      </c>
      <c r="K860" s="57">
        <v>2180.415</v>
      </c>
      <c r="L860" s="56">
        <v>1536</v>
      </c>
      <c r="M860" s="56"/>
      <c r="N860" s="57">
        <v>1116</v>
      </c>
      <c r="O860" s="57">
        <v>10297</v>
      </c>
      <c r="P860" s="57">
        <v>0</v>
      </c>
      <c r="Q860" s="56">
        <v>4910</v>
      </c>
      <c r="R860" s="57">
        <f t="shared" si="13"/>
        <v>17600.63</v>
      </c>
      <c r="S860" s="56"/>
      <c r="T860" s="57">
        <v>8509</v>
      </c>
      <c r="U860" s="58">
        <v>-633</v>
      </c>
      <c r="V860" s="58">
        <v>7876</v>
      </c>
    </row>
    <row r="861" spans="1:22">
      <c r="A861" s="54">
        <v>99431</v>
      </c>
      <c r="B861" s="55" t="s">
        <v>2237</v>
      </c>
      <c r="C861" s="106">
        <v>2.16E-5</v>
      </c>
      <c r="D861" s="106">
        <v>2.09E-5</v>
      </c>
      <c r="E861" s="56">
        <v>6864.37</v>
      </c>
      <c r="F861" s="56">
        <v>9380</v>
      </c>
      <c r="G861" s="56">
        <v>45842</v>
      </c>
      <c r="H861" s="56"/>
      <c r="I861" s="57">
        <v>861.3</v>
      </c>
      <c r="J861" s="57">
        <v>40173</v>
      </c>
      <c r="K861" s="57">
        <v>3140</v>
      </c>
      <c r="L861" s="56">
        <v>2153</v>
      </c>
      <c r="M861" s="56"/>
      <c r="N861" s="57">
        <v>1606</v>
      </c>
      <c r="O861" s="57">
        <v>14827</v>
      </c>
      <c r="P861" s="57">
        <v>0</v>
      </c>
      <c r="Q861" s="56">
        <v>1856</v>
      </c>
      <c r="R861" s="57">
        <f t="shared" si="13"/>
        <v>25346</v>
      </c>
      <c r="S861" s="56"/>
      <c r="T861" s="57">
        <v>12253</v>
      </c>
      <c r="U861" s="58">
        <v>541</v>
      </c>
      <c r="V861" s="58">
        <v>12794</v>
      </c>
    </row>
    <row r="862" spans="1:22">
      <c r="A862" s="54">
        <v>99501</v>
      </c>
      <c r="B862" s="55" t="s">
        <v>2238</v>
      </c>
      <c r="C862" s="106">
        <v>1.7390000000000001E-3</v>
      </c>
      <c r="D862" s="106">
        <v>1.7404E-3</v>
      </c>
      <c r="E862" s="56">
        <v>717899.84</v>
      </c>
      <c r="F862" s="56">
        <v>781081</v>
      </c>
      <c r="G862" s="56">
        <v>3690741</v>
      </c>
      <c r="H862" s="56"/>
      <c r="I862" s="57">
        <v>69343</v>
      </c>
      <c r="J862" s="57">
        <v>3234265</v>
      </c>
      <c r="K862" s="57">
        <v>252783</v>
      </c>
      <c r="L862" s="56">
        <v>5725</v>
      </c>
      <c r="M862" s="56"/>
      <c r="N862" s="57">
        <v>129328</v>
      </c>
      <c r="O862" s="57">
        <v>1193750</v>
      </c>
      <c r="P862" s="57">
        <v>0</v>
      </c>
      <c r="Q862" s="56">
        <v>0</v>
      </c>
      <c r="R862" s="57">
        <f t="shared" si="13"/>
        <v>2040515</v>
      </c>
      <c r="S862" s="56"/>
      <c r="T862" s="57">
        <v>986481</v>
      </c>
      <c r="U862" s="58">
        <v>1961</v>
      </c>
      <c r="V862" s="58">
        <v>988442</v>
      </c>
    </row>
    <row r="863" spans="1:22">
      <c r="A863" s="54">
        <v>99502</v>
      </c>
      <c r="B863" s="55" t="s">
        <v>2239</v>
      </c>
      <c r="C863" s="106">
        <v>1.3779999999999999E-4</v>
      </c>
      <c r="D863" s="106">
        <v>1.628E-4</v>
      </c>
      <c r="E863" s="56">
        <v>87805.53</v>
      </c>
      <c r="F863" s="56">
        <v>73064</v>
      </c>
      <c r="G863" s="56">
        <v>292458</v>
      </c>
      <c r="H863" s="56"/>
      <c r="I863" s="57">
        <v>5495</v>
      </c>
      <c r="J863" s="57">
        <v>256286</v>
      </c>
      <c r="K863" s="57">
        <v>20031</v>
      </c>
      <c r="L863" s="56">
        <v>28542</v>
      </c>
      <c r="M863" s="56"/>
      <c r="N863" s="57">
        <v>10248</v>
      </c>
      <c r="O863" s="57">
        <v>94594</v>
      </c>
      <c r="P863" s="57">
        <v>0</v>
      </c>
      <c r="Q863" s="56">
        <v>143</v>
      </c>
      <c r="R863" s="57">
        <f t="shared" si="13"/>
        <v>161692</v>
      </c>
      <c r="S863" s="56"/>
      <c r="T863" s="57">
        <v>78170</v>
      </c>
      <c r="U863" s="58">
        <v>8980</v>
      </c>
      <c r="V863" s="58">
        <v>87150</v>
      </c>
    </row>
    <row r="864" spans="1:22">
      <c r="A864" s="54">
        <v>99508</v>
      </c>
      <c r="B864" s="55" t="s">
        <v>2240</v>
      </c>
      <c r="C864" s="106">
        <v>2.1699999999999999E-5</v>
      </c>
      <c r="D864" s="106">
        <v>2.3200000000000001E-5</v>
      </c>
      <c r="E864" s="56">
        <v>8790.98</v>
      </c>
      <c r="F864" s="56">
        <v>10412</v>
      </c>
      <c r="G864" s="56">
        <v>46055</v>
      </c>
      <c r="H864" s="56"/>
      <c r="I864" s="57">
        <v>865</v>
      </c>
      <c r="J864" s="57">
        <v>40359</v>
      </c>
      <c r="K864" s="57">
        <v>3154</v>
      </c>
      <c r="L864" s="56">
        <v>0</v>
      </c>
      <c r="M864" s="56"/>
      <c r="N864" s="57">
        <v>1614</v>
      </c>
      <c r="O864" s="57">
        <v>14896</v>
      </c>
      <c r="P864" s="57">
        <v>0</v>
      </c>
      <c r="Q864" s="56">
        <v>2564</v>
      </c>
      <c r="R864" s="57">
        <f t="shared" si="13"/>
        <v>25463</v>
      </c>
      <c r="S864" s="56"/>
      <c r="T864" s="57">
        <v>12310</v>
      </c>
      <c r="U864" s="58">
        <v>-994</v>
      </c>
      <c r="V864" s="58">
        <v>11316</v>
      </c>
    </row>
    <row r="865" spans="1:22">
      <c r="A865" s="54">
        <v>99509</v>
      </c>
      <c r="B865" s="55" t="s">
        <v>2241</v>
      </c>
      <c r="C865" s="106">
        <v>2.8900000000000001E-5</v>
      </c>
      <c r="D865" s="106">
        <v>2.87E-5</v>
      </c>
      <c r="E865" s="56">
        <v>10373.91</v>
      </c>
      <c r="F865" s="56">
        <v>12880</v>
      </c>
      <c r="G865" s="56">
        <v>61335</v>
      </c>
      <c r="H865" s="56"/>
      <c r="I865" s="57">
        <v>1152.3875</v>
      </c>
      <c r="J865" s="57">
        <v>53749</v>
      </c>
      <c r="K865" s="57">
        <v>4201</v>
      </c>
      <c r="L865" s="56">
        <v>0</v>
      </c>
      <c r="M865" s="56"/>
      <c r="N865" s="57">
        <v>2149</v>
      </c>
      <c r="O865" s="57">
        <v>19839</v>
      </c>
      <c r="P865" s="57">
        <v>0</v>
      </c>
      <c r="Q865" s="56">
        <v>8463</v>
      </c>
      <c r="R865" s="57">
        <f t="shared" si="13"/>
        <v>33910</v>
      </c>
      <c r="S865" s="56"/>
      <c r="T865" s="57">
        <v>16394</v>
      </c>
      <c r="U865" s="58">
        <v>-3831</v>
      </c>
      <c r="V865" s="58">
        <v>12563</v>
      </c>
    </row>
    <row r="866" spans="1:22">
      <c r="A866" s="54">
        <v>99511</v>
      </c>
      <c r="B866" s="55" t="s">
        <v>2242</v>
      </c>
      <c r="C866" s="106">
        <v>1.3638000000000001E-3</v>
      </c>
      <c r="D866" s="106">
        <v>1.4238E-3</v>
      </c>
      <c r="E866" s="56">
        <v>513320.93</v>
      </c>
      <c r="F866" s="56">
        <v>638993</v>
      </c>
      <c r="G866" s="56">
        <v>2894440</v>
      </c>
      <c r="H866" s="56"/>
      <c r="I866" s="57">
        <v>54382</v>
      </c>
      <c r="J866" s="57">
        <v>2536453</v>
      </c>
      <c r="K866" s="57">
        <v>198243</v>
      </c>
      <c r="L866" s="56">
        <v>6972</v>
      </c>
      <c r="M866" s="56"/>
      <c r="N866" s="57">
        <v>101424</v>
      </c>
      <c r="O866" s="57">
        <v>936191</v>
      </c>
      <c r="P866" s="57">
        <v>0</v>
      </c>
      <c r="Q866" s="56">
        <v>87693</v>
      </c>
      <c r="R866" s="57">
        <f t="shared" si="13"/>
        <v>1600262</v>
      </c>
      <c r="S866" s="56"/>
      <c r="T866" s="57">
        <v>773641</v>
      </c>
      <c r="U866" s="58">
        <v>-24491</v>
      </c>
      <c r="V866" s="58">
        <v>749150</v>
      </c>
    </row>
    <row r="867" spans="1:22">
      <c r="A867" s="54">
        <v>99521</v>
      </c>
      <c r="B867" s="55" t="s">
        <v>2243</v>
      </c>
      <c r="C867" s="106">
        <v>4.0180000000000001E-4</v>
      </c>
      <c r="D867" s="106">
        <v>4.0989999999999999E-4</v>
      </c>
      <c r="E867" s="56">
        <v>150146.22</v>
      </c>
      <c r="F867" s="56">
        <v>183961</v>
      </c>
      <c r="G867" s="56">
        <v>852754</v>
      </c>
      <c r="H867" s="56"/>
      <c r="I867" s="57">
        <v>16022</v>
      </c>
      <c r="J867" s="57">
        <v>747285</v>
      </c>
      <c r="K867" s="57">
        <v>58406</v>
      </c>
      <c r="L867" s="56">
        <v>1435</v>
      </c>
      <c r="M867" s="56"/>
      <c r="N867" s="57">
        <v>29881</v>
      </c>
      <c r="O867" s="57">
        <v>275819</v>
      </c>
      <c r="P867" s="57">
        <v>0</v>
      </c>
      <c r="Q867" s="56">
        <v>21691</v>
      </c>
      <c r="R867" s="57">
        <f t="shared" si="13"/>
        <v>471466</v>
      </c>
      <c r="S867" s="56"/>
      <c r="T867" s="57">
        <v>227929</v>
      </c>
      <c r="U867" s="58">
        <v>-5406</v>
      </c>
      <c r="V867" s="58">
        <v>222522</v>
      </c>
    </row>
    <row r="868" spans="1:22">
      <c r="A868" s="54">
        <v>99527</v>
      </c>
      <c r="B868" s="55" t="s">
        <v>2244</v>
      </c>
      <c r="C868" s="106">
        <v>1.2099999999999999E-5</v>
      </c>
      <c r="D868" s="106">
        <v>1.1800000000000001E-5</v>
      </c>
      <c r="E868" s="56">
        <v>5273.87</v>
      </c>
      <c r="F868" s="56">
        <v>5296</v>
      </c>
      <c r="G868" s="56">
        <v>25680</v>
      </c>
      <c r="H868" s="56"/>
      <c r="I868" s="57">
        <v>482</v>
      </c>
      <c r="J868" s="57">
        <v>22504</v>
      </c>
      <c r="K868" s="57">
        <v>1759</v>
      </c>
      <c r="L868" s="56">
        <v>1404</v>
      </c>
      <c r="M868" s="56"/>
      <c r="N868" s="57">
        <v>900</v>
      </c>
      <c r="O868" s="57">
        <v>8306</v>
      </c>
      <c r="P868" s="57">
        <v>0</v>
      </c>
      <c r="Q868" s="56">
        <v>0</v>
      </c>
      <c r="R868" s="57">
        <f t="shared" si="13"/>
        <v>14198</v>
      </c>
      <c r="S868" s="56"/>
      <c r="T868" s="57">
        <v>6864</v>
      </c>
      <c r="U868" s="58">
        <v>529</v>
      </c>
      <c r="V868" s="58">
        <v>7393</v>
      </c>
    </row>
    <row r="869" spans="1:22">
      <c r="A869" s="54">
        <v>99531</v>
      </c>
      <c r="B869" s="55" t="s">
        <v>2245</v>
      </c>
      <c r="C869" s="106">
        <v>8.7600000000000002E-5</v>
      </c>
      <c r="D869" s="106">
        <v>8.8200000000000003E-5</v>
      </c>
      <c r="E869" s="56">
        <v>67487.070000000007</v>
      </c>
      <c r="F869" s="56">
        <v>39584</v>
      </c>
      <c r="G869" s="56">
        <v>185917</v>
      </c>
      <c r="H869" s="56"/>
      <c r="I869" s="57">
        <v>3493.05</v>
      </c>
      <c r="J869" s="57">
        <v>162922</v>
      </c>
      <c r="K869" s="57">
        <v>12734</v>
      </c>
      <c r="L869" s="56">
        <v>39764</v>
      </c>
      <c r="M869" s="56"/>
      <c r="N869" s="57">
        <v>6515</v>
      </c>
      <c r="O869" s="57">
        <v>60134</v>
      </c>
      <c r="P869" s="57">
        <v>0</v>
      </c>
      <c r="Q869" s="56">
        <v>0</v>
      </c>
      <c r="R869" s="57">
        <f t="shared" si="13"/>
        <v>102788</v>
      </c>
      <c r="S869" s="56"/>
      <c r="T869" s="57">
        <v>49693</v>
      </c>
      <c r="U869" s="58">
        <v>11839</v>
      </c>
      <c r="V869" s="58">
        <v>61531</v>
      </c>
    </row>
    <row r="870" spans="1:22">
      <c r="A870" s="54">
        <v>99601</v>
      </c>
      <c r="B870" s="55" t="s">
        <v>2246</v>
      </c>
      <c r="C870" s="106">
        <v>5.2824999999999999E-3</v>
      </c>
      <c r="D870" s="106">
        <v>5.3274999999999998E-3</v>
      </c>
      <c r="E870" s="56">
        <v>2087469.1900000002</v>
      </c>
      <c r="F870" s="56">
        <v>2390950</v>
      </c>
      <c r="G870" s="56">
        <v>11211235</v>
      </c>
      <c r="H870" s="56"/>
      <c r="I870" s="57">
        <v>210640</v>
      </c>
      <c r="J870" s="57">
        <v>9824615</v>
      </c>
      <c r="K870" s="57">
        <v>767869</v>
      </c>
      <c r="L870" s="56">
        <v>60572</v>
      </c>
      <c r="M870" s="56"/>
      <c r="N870" s="57">
        <v>392854</v>
      </c>
      <c r="O870" s="57">
        <v>3626214</v>
      </c>
      <c r="P870" s="57">
        <v>0</v>
      </c>
      <c r="Q870" s="56">
        <v>101945</v>
      </c>
      <c r="R870" s="57">
        <f t="shared" si="13"/>
        <v>6198401</v>
      </c>
      <c r="S870" s="56"/>
      <c r="T870" s="57">
        <v>2996598</v>
      </c>
      <c r="U870" s="58">
        <v>-7395</v>
      </c>
      <c r="V870" s="58">
        <v>2989204</v>
      </c>
    </row>
    <row r="871" spans="1:22">
      <c r="A871" s="54">
        <v>99602</v>
      </c>
      <c r="B871" s="55" t="s">
        <v>2247</v>
      </c>
      <c r="C871" s="106">
        <v>5.1700000000000003E-5</v>
      </c>
      <c r="D871" s="106">
        <v>5.13E-5</v>
      </c>
      <c r="E871" s="56">
        <v>23478.31</v>
      </c>
      <c r="F871" s="56">
        <v>23023</v>
      </c>
      <c r="G871" s="56">
        <v>109725</v>
      </c>
      <c r="H871" s="56"/>
      <c r="I871" s="57">
        <v>2062</v>
      </c>
      <c r="J871" s="57">
        <v>96154</v>
      </c>
      <c r="K871" s="57">
        <v>7515</v>
      </c>
      <c r="L871" s="56">
        <v>5410</v>
      </c>
      <c r="M871" s="56"/>
      <c r="N871" s="57">
        <v>3845</v>
      </c>
      <c r="O871" s="57">
        <v>35490</v>
      </c>
      <c r="P871" s="57">
        <v>0</v>
      </c>
      <c r="Q871" s="56">
        <v>4155</v>
      </c>
      <c r="R871" s="57">
        <f t="shared" si="13"/>
        <v>60664</v>
      </c>
      <c r="S871" s="56"/>
      <c r="T871" s="57">
        <v>29328</v>
      </c>
      <c r="U871" s="58">
        <v>-358</v>
      </c>
      <c r="V871" s="58">
        <v>28969</v>
      </c>
    </row>
    <row r="872" spans="1:22">
      <c r="A872" s="54">
        <v>99603</v>
      </c>
      <c r="B872" s="55" t="s">
        <v>2248</v>
      </c>
      <c r="C872" s="106">
        <v>1.4219999999999999E-4</v>
      </c>
      <c r="D872" s="106">
        <v>1.474E-4</v>
      </c>
      <c r="E872" s="56">
        <v>137622.59000000003</v>
      </c>
      <c r="F872" s="56">
        <v>66152</v>
      </c>
      <c r="G872" s="56">
        <v>301796</v>
      </c>
      <c r="H872" s="56"/>
      <c r="I872" s="57">
        <v>5670</v>
      </c>
      <c r="J872" s="57">
        <v>264470</v>
      </c>
      <c r="K872" s="57">
        <v>20670</v>
      </c>
      <c r="L872" s="56">
        <v>103545</v>
      </c>
      <c r="M872" s="56"/>
      <c r="N872" s="57">
        <v>10575</v>
      </c>
      <c r="O872" s="57">
        <v>97614</v>
      </c>
      <c r="P872" s="57">
        <v>0</v>
      </c>
      <c r="Q872" s="56">
        <v>0</v>
      </c>
      <c r="R872" s="57">
        <f t="shared" si="13"/>
        <v>166856</v>
      </c>
      <c r="S872" s="56"/>
      <c r="T872" s="57">
        <v>80666</v>
      </c>
      <c r="U872" s="58">
        <v>31526</v>
      </c>
      <c r="V872" s="58">
        <v>112191</v>
      </c>
    </row>
    <row r="873" spans="1:22">
      <c r="A873" s="54">
        <v>99604</v>
      </c>
      <c r="B873" s="55" t="s">
        <v>2249</v>
      </c>
      <c r="C873" s="106">
        <v>9.6899999999999997E-5</v>
      </c>
      <c r="D873" s="106">
        <v>9.3300000000000005E-5</v>
      </c>
      <c r="E873" s="56">
        <v>45605.87000000001</v>
      </c>
      <c r="F873" s="56">
        <v>41872</v>
      </c>
      <c r="G873" s="56">
        <v>205654</v>
      </c>
      <c r="H873" s="56"/>
      <c r="I873" s="57">
        <v>3864</v>
      </c>
      <c r="J873" s="57">
        <v>180219</v>
      </c>
      <c r="K873" s="57">
        <v>14085</v>
      </c>
      <c r="L873" s="56">
        <v>20600</v>
      </c>
      <c r="M873" s="56"/>
      <c r="N873" s="57">
        <v>7206</v>
      </c>
      <c r="O873" s="57">
        <v>66518</v>
      </c>
      <c r="P873" s="57">
        <v>0</v>
      </c>
      <c r="Q873" s="56">
        <v>0</v>
      </c>
      <c r="R873" s="57">
        <f t="shared" si="13"/>
        <v>113701</v>
      </c>
      <c r="S873" s="56"/>
      <c r="T873" s="57">
        <v>54968</v>
      </c>
      <c r="U873" s="58">
        <v>7597</v>
      </c>
      <c r="V873" s="58">
        <v>62566</v>
      </c>
    </row>
    <row r="874" spans="1:22">
      <c r="A874" s="54">
        <v>99609</v>
      </c>
      <c r="B874" s="55" t="s">
        <v>2250</v>
      </c>
      <c r="C874" s="106">
        <v>2.0999999999999999E-5</v>
      </c>
      <c r="D874" s="106">
        <v>1.98E-5</v>
      </c>
      <c r="E874" s="56">
        <v>10787.510000000002</v>
      </c>
      <c r="F874" s="56">
        <v>8886</v>
      </c>
      <c r="G874" s="56">
        <v>44569</v>
      </c>
      <c r="H874" s="56"/>
      <c r="I874" s="57">
        <v>837.375</v>
      </c>
      <c r="J874" s="57">
        <v>39057</v>
      </c>
      <c r="K874" s="57">
        <v>3053</v>
      </c>
      <c r="L874" s="56">
        <v>5629</v>
      </c>
      <c r="M874" s="56"/>
      <c r="N874" s="57">
        <v>1562</v>
      </c>
      <c r="O874" s="57">
        <v>14416</v>
      </c>
      <c r="P874" s="57">
        <v>0</v>
      </c>
      <c r="Q874" s="56">
        <v>0</v>
      </c>
      <c r="R874" s="57">
        <f t="shared" si="13"/>
        <v>24641</v>
      </c>
      <c r="S874" s="56"/>
      <c r="T874" s="57">
        <v>11913</v>
      </c>
      <c r="U874" s="58">
        <v>2074</v>
      </c>
      <c r="V874" s="58">
        <v>13986</v>
      </c>
    </row>
    <row r="875" spans="1:22">
      <c r="A875" s="54">
        <v>99610</v>
      </c>
      <c r="B875" s="55" t="s">
        <v>2251</v>
      </c>
      <c r="C875" s="106">
        <v>1.9440000000000001E-4</v>
      </c>
      <c r="D875" s="106">
        <v>1.883E-4</v>
      </c>
      <c r="E875" s="56">
        <v>78017.36</v>
      </c>
      <c r="F875" s="56">
        <v>84508</v>
      </c>
      <c r="G875" s="56">
        <v>412582</v>
      </c>
      <c r="H875" s="56"/>
      <c r="I875" s="57">
        <v>7752</v>
      </c>
      <c r="J875" s="57">
        <v>361553</v>
      </c>
      <c r="K875" s="57">
        <v>28258</v>
      </c>
      <c r="L875" s="56">
        <v>4583</v>
      </c>
      <c r="M875" s="56"/>
      <c r="N875" s="57">
        <v>14457</v>
      </c>
      <c r="O875" s="57">
        <v>133447</v>
      </c>
      <c r="P875" s="57">
        <v>0</v>
      </c>
      <c r="Q875" s="56">
        <v>1313</v>
      </c>
      <c r="R875" s="57">
        <f t="shared" si="13"/>
        <v>228106</v>
      </c>
      <c r="S875" s="56"/>
      <c r="T875" s="57">
        <v>110277</v>
      </c>
      <c r="U875" s="58">
        <v>1406</v>
      </c>
      <c r="V875" s="58">
        <v>111683</v>
      </c>
    </row>
    <row r="876" spans="1:22">
      <c r="A876" s="54">
        <v>99611</v>
      </c>
      <c r="B876" s="55" t="s">
        <v>2252</v>
      </c>
      <c r="C876" s="106">
        <v>3.1495999999999998E-3</v>
      </c>
      <c r="D876" s="106">
        <v>3.4461000000000001E-3</v>
      </c>
      <c r="E876" s="56">
        <v>1274178.99</v>
      </c>
      <c r="F876" s="56">
        <v>1546589</v>
      </c>
      <c r="G876" s="56">
        <v>6684506</v>
      </c>
      <c r="H876" s="56"/>
      <c r="I876" s="57">
        <v>125590</v>
      </c>
      <c r="J876" s="57">
        <v>5857758</v>
      </c>
      <c r="K876" s="57">
        <v>457829</v>
      </c>
      <c r="L876" s="56">
        <v>0</v>
      </c>
      <c r="M876" s="56"/>
      <c r="N876" s="57">
        <v>234233</v>
      </c>
      <c r="O876" s="57">
        <v>2162068</v>
      </c>
      <c r="P876" s="57">
        <v>0</v>
      </c>
      <c r="Q876" s="56">
        <v>295351</v>
      </c>
      <c r="R876" s="57">
        <f t="shared" si="13"/>
        <v>3695690</v>
      </c>
      <c r="S876" s="56"/>
      <c r="T876" s="57">
        <v>1786670</v>
      </c>
      <c r="U876" s="58">
        <v>-97649</v>
      </c>
      <c r="V876" s="58">
        <v>1689022</v>
      </c>
    </row>
    <row r="877" spans="1:22">
      <c r="A877" s="54">
        <v>99613</v>
      </c>
      <c r="B877" s="55" t="s">
        <v>2253</v>
      </c>
      <c r="C877" s="106">
        <v>3.369E-4</v>
      </c>
      <c r="D877" s="106">
        <v>2.6350000000000001E-4</v>
      </c>
      <c r="E877" s="56">
        <v>287693.51</v>
      </c>
      <c r="F877" s="56">
        <v>118257</v>
      </c>
      <c r="G877" s="56">
        <v>715015</v>
      </c>
      <c r="H877" s="56"/>
      <c r="I877" s="57">
        <v>13434</v>
      </c>
      <c r="J877" s="57">
        <v>626581</v>
      </c>
      <c r="K877" s="57">
        <v>48972</v>
      </c>
      <c r="L877" s="56">
        <v>227196</v>
      </c>
      <c r="M877" s="56"/>
      <c r="N877" s="57">
        <v>25055</v>
      </c>
      <c r="O877" s="57">
        <v>231268</v>
      </c>
      <c r="P877" s="57">
        <v>0</v>
      </c>
      <c r="Q877" s="56">
        <v>0</v>
      </c>
      <c r="R877" s="57">
        <f t="shared" si="13"/>
        <v>395313</v>
      </c>
      <c r="S877" s="56"/>
      <c r="T877" s="57">
        <v>191113</v>
      </c>
      <c r="U877" s="58">
        <v>65914</v>
      </c>
      <c r="V877" s="58">
        <v>257027</v>
      </c>
    </row>
    <row r="878" spans="1:22">
      <c r="A878" s="54">
        <v>99621</v>
      </c>
      <c r="B878" s="55" t="s">
        <v>2254</v>
      </c>
      <c r="C878" s="106">
        <v>3.2850000000000002E-4</v>
      </c>
      <c r="D878" s="106">
        <v>2.9550000000000003E-4</v>
      </c>
      <c r="E878" s="56">
        <v>133172.19</v>
      </c>
      <c r="F878" s="56">
        <v>132619</v>
      </c>
      <c r="G878" s="56">
        <v>697187</v>
      </c>
      <c r="H878" s="56"/>
      <c r="I878" s="57">
        <v>13098.9375</v>
      </c>
      <c r="J878" s="57">
        <v>610958</v>
      </c>
      <c r="K878" s="57">
        <v>47751</v>
      </c>
      <c r="L878" s="56">
        <v>25982</v>
      </c>
      <c r="M878" s="56"/>
      <c r="N878" s="57">
        <v>24430</v>
      </c>
      <c r="O878" s="57">
        <v>225501</v>
      </c>
      <c r="P878" s="57">
        <v>0</v>
      </c>
      <c r="Q878" s="56">
        <v>7236</v>
      </c>
      <c r="R878" s="57">
        <f t="shared" si="13"/>
        <v>385457</v>
      </c>
      <c r="S878" s="56"/>
      <c r="T878" s="57">
        <v>186348</v>
      </c>
      <c r="U878" s="58">
        <v>6510</v>
      </c>
      <c r="V878" s="58">
        <v>192858</v>
      </c>
    </row>
    <row r="879" spans="1:22">
      <c r="A879" s="54">
        <v>99623</v>
      </c>
      <c r="B879" s="55" t="s">
        <v>2255</v>
      </c>
      <c r="C879" s="106">
        <v>2.9200000000000002E-5</v>
      </c>
      <c r="D879" s="106">
        <v>2.1299999999999999E-5</v>
      </c>
      <c r="E879" s="56">
        <v>8301.6</v>
      </c>
      <c r="F879" s="56">
        <v>9559</v>
      </c>
      <c r="G879" s="56">
        <v>61972</v>
      </c>
      <c r="H879" s="56"/>
      <c r="I879" s="57">
        <v>1164</v>
      </c>
      <c r="J879" s="57">
        <v>54307</v>
      </c>
      <c r="K879" s="57">
        <v>4245</v>
      </c>
      <c r="L879" s="56">
        <v>3598</v>
      </c>
      <c r="M879" s="56"/>
      <c r="N879" s="57">
        <v>2172</v>
      </c>
      <c r="O879" s="57">
        <v>20045</v>
      </c>
      <c r="P879" s="57">
        <v>0</v>
      </c>
      <c r="Q879" s="56">
        <v>316</v>
      </c>
      <c r="R879" s="57">
        <f t="shared" si="13"/>
        <v>34262</v>
      </c>
      <c r="S879" s="56"/>
      <c r="T879" s="57">
        <v>16564</v>
      </c>
      <c r="U879" s="58">
        <v>989</v>
      </c>
      <c r="V879" s="58">
        <v>17554</v>
      </c>
    </row>
    <row r="880" spans="1:22">
      <c r="A880" s="54">
        <v>99631</v>
      </c>
      <c r="B880" s="55" t="s">
        <v>2256</v>
      </c>
      <c r="C880" s="106">
        <v>1.0340000000000001E-4</v>
      </c>
      <c r="D880" s="106">
        <v>9.8599999999999998E-5</v>
      </c>
      <c r="E880" s="56">
        <v>37652.259999999995</v>
      </c>
      <c r="F880" s="56">
        <v>44251</v>
      </c>
      <c r="G880" s="56">
        <v>219449</v>
      </c>
      <c r="H880" s="56"/>
      <c r="I880" s="57">
        <v>4123</v>
      </c>
      <c r="J880" s="57">
        <v>192308</v>
      </c>
      <c r="K880" s="57">
        <v>15030</v>
      </c>
      <c r="L880" s="56">
        <v>0</v>
      </c>
      <c r="M880" s="56"/>
      <c r="N880" s="57">
        <v>7690</v>
      </c>
      <c r="O880" s="57">
        <v>70980</v>
      </c>
      <c r="P880" s="57">
        <v>0</v>
      </c>
      <c r="Q880" s="56">
        <v>9381</v>
      </c>
      <c r="R880" s="57">
        <f t="shared" si="13"/>
        <v>121328</v>
      </c>
      <c r="S880" s="56"/>
      <c r="T880" s="57">
        <v>58656</v>
      </c>
      <c r="U880" s="58">
        <v>-4222</v>
      </c>
      <c r="V880" s="58">
        <v>54433</v>
      </c>
    </row>
    <row r="881" spans="1:22">
      <c r="A881" s="54">
        <v>99651</v>
      </c>
      <c r="B881" s="55" t="s">
        <v>2257</v>
      </c>
      <c r="C881" s="106">
        <v>6.7100000000000005E-5</v>
      </c>
      <c r="D881" s="106">
        <v>5.7500000000000002E-5</v>
      </c>
      <c r="E881" s="56">
        <v>24616.559999999998</v>
      </c>
      <c r="F881" s="56">
        <v>25806</v>
      </c>
      <c r="G881" s="56">
        <v>142409</v>
      </c>
      <c r="H881" s="56"/>
      <c r="I881" s="57">
        <v>2676</v>
      </c>
      <c r="J881" s="57">
        <v>124795</v>
      </c>
      <c r="K881" s="57">
        <v>9754</v>
      </c>
      <c r="L881" s="56">
        <v>8790</v>
      </c>
      <c r="M881" s="56"/>
      <c r="N881" s="57">
        <v>4990</v>
      </c>
      <c r="O881" s="57">
        <v>46061</v>
      </c>
      <c r="P881" s="57">
        <v>0</v>
      </c>
      <c r="Q881" s="56">
        <v>2840</v>
      </c>
      <c r="R881" s="57">
        <f t="shared" si="13"/>
        <v>78734</v>
      </c>
      <c r="S881" s="56"/>
      <c r="T881" s="57">
        <v>38064</v>
      </c>
      <c r="U881" s="58">
        <v>1419</v>
      </c>
      <c r="V881" s="58">
        <v>39483</v>
      </c>
    </row>
    <row r="882" spans="1:22">
      <c r="A882" s="54">
        <v>99661</v>
      </c>
      <c r="B882" s="55" t="s">
        <v>2258</v>
      </c>
      <c r="C882" s="106">
        <v>3.5500000000000002E-5</v>
      </c>
      <c r="D882" s="106">
        <v>3.4900000000000001E-5</v>
      </c>
      <c r="E882" s="56">
        <v>34311.1</v>
      </c>
      <c r="F882" s="56">
        <v>15663</v>
      </c>
      <c r="G882" s="56">
        <v>75343</v>
      </c>
      <c r="H882" s="56"/>
      <c r="I882" s="57">
        <v>1415.5625</v>
      </c>
      <c r="J882" s="57">
        <v>66024</v>
      </c>
      <c r="K882" s="57">
        <v>5160</v>
      </c>
      <c r="L882" s="56">
        <v>30447</v>
      </c>
      <c r="M882" s="56"/>
      <c r="N882" s="57">
        <v>2640</v>
      </c>
      <c r="O882" s="57">
        <v>24369</v>
      </c>
      <c r="P882" s="57">
        <v>0</v>
      </c>
      <c r="Q882" s="56">
        <v>0</v>
      </c>
      <c r="R882" s="57">
        <f t="shared" si="13"/>
        <v>41655</v>
      </c>
      <c r="S882" s="56"/>
      <c r="T882" s="57">
        <v>20138</v>
      </c>
      <c r="U882" s="58">
        <v>9415</v>
      </c>
      <c r="V882" s="58">
        <v>29553</v>
      </c>
    </row>
    <row r="883" spans="1:22">
      <c r="A883" s="54">
        <v>99701</v>
      </c>
      <c r="B883" s="55" t="s">
        <v>2259</v>
      </c>
      <c r="C883" s="106">
        <v>2.8774E-3</v>
      </c>
      <c r="D883" s="106">
        <v>2.7742000000000001E-3</v>
      </c>
      <c r="E883" s="56">
        <v>1127824.9099999999</v>
      </c>
      <c r="F883" s="56">
        <v>1245044</v>
      </c>
      <c r="G883" s="56">
        <v>6106807</v>
      </c>
      <c r="H883" s="56"/>
      <c r="I883" s="57">
        <v>114736</v>
      </c>
      <c r="J883" s="57">
        <v>5351509</v>
      </c>
      <c r="K883" s="57">
        <v>418262</v>
      </c>
      <c r="L883" s="56">
        <v>31037</v>
      </c>
      <c r="M883" s="56"/>
      <c r="N883" s="57">
        <v>213989</v>
      </c>
      <c r="O883" s="57">
        <v>1975214</v>
      </c>
      <c r="P883" s="57">
        <v>0</v>
      </c>
      <c r="Q883" s="56">
        <v>19671</v>
      </c>
      <c r="R883" s="57">
        <f t="shared" si="13"/>
        <v>3376295</v>
      </c>
      <c r="S883" s="56"/>
      <c r="T883" s="57">
        <v>1632260</v>
      </c>
      <c r="U883" s="58">
        <v>-10</v>
      </c>
      <c r="V883" s="58">
        <v>1632250</v>
      </c>
    </row>
    <row r="884" spans="1:22">
      <c r="A884" s="54">
        <v>99705</v>
      </c>
      <c r="B884" s="55" t="s">
        <v>2260</v>
      </c>
      <c r="C884" s="106">
        <v>1.7259999999999999E-4</v>
      </c>
      <c r="D884" s="106">
        <v>1.7660000000000001E-4</v>
      </c>
      <c r="E884" s="56">
        <v>76713.119999999995</v>
      </c>
      <c r="F884" s="56">
        <v>79257</v>
      </c>
      <c r="G884" s="56">
        <v>366315</v>
      </c>
      <c r="H884" s="56"/>
      <c r="I884" s="57">
        <v>6882</v>
      </c>
      <c r="J884" s="57">
        <v>321009</v>
      </c>
      <c r="K884" s="57">
        <v>25089</v>
      </c>
      <c r="L884" s="56">
        <v>11090</v>
      </c>
      <c r="M884" s="56"/>
      <c r="N884" s="57">
        <v>12836</v>
      </c>
      <c r="O884" s="57">
        <v>118483</v>
      </c>
      <c r="P884" s="57">
        <v>0</v>
      </c>
      <c r="Q884" s="56">
        <v>842</v>
      </c>
      <c r="R884" s="57">
        <f t="shared" si="13"/>
        <v>202526</v>
      </c>
      <c r="S884" s="56"/>
      <c r="T884" s="57">
        <v>97911</v>
      </c>
      <c r="U884" s="58">
        <v>4693</v>
      </c>
      <c r="V884" s="58">
        <v>102604</v>
      </c>
    </row>
    <row r="885" spans="1:22">
      <c r="A885" s="54">
        <v>99711</v>
      </c>
      <c r="B885" s="55" t="s">
        <v>2261</v>
      </c>
      <c r="C885" s="106">
        <v>4.3540000000000001E-4</v>
      </c>
      <c r="D885" s="106">
        <v>4.506E-4</v>
      </c>
      <c r="E885" s="56">
        <v>185440.27</v>
      </c>
      <c r="F885" s="56">
        <v>202227</v>
      </c>
      <c r="G885" s="56">
        <v>924065</v>
      </c>
      <c r="H885" s="56"/>
      <c r="I885" s="57">
        <v>17362</v>
      </c>
      <c r="J885" s="57">
        <v>809775</v>
      </c>
      <c r="K885" s="57">
        <v>63290</v>
      </c>
      <c r="L885" s="56">
        <v>1891</v>
      </c>
      <c r="M885" s="56"/>
      <c r="N885" s="57">
        <v>32380</v>
      </c>
      <c r="O885" s="57">
        <v>298884</v>
      </c>
      <c r="P885" s="57">
        <v>0</v>
      </c>
      <c r="Q885" s="56">
        <v>15994</v>
      </c>
      <c r="R885" s="57">
        <f t="shared" si="13"/>
        <v>510891</v>
      </c>
      <c r="S885" s="56"/>
      <c r="T885" s="57">
        <v>246989</v>
      </c>
      <c r="U885" s="58">
        <v>-4419</v>
      </c>
      <c r="V885" s="58">
        <v>242569</v>
      </c>
    </row>
    <row r="886" spans="1:22">
      <c r="A886" s="54">
        <v>99717</v>
      </c>
      <c r="B886" s="55" t="s">
        <v>2262</v>
      </c>
      <c r="C886" s="106">
        <v>2.3200000000000001E-5</v>
      </c>
      <c r="D886" s="106">
        <v>2.2399999999999999E-5</v>
      </c>
      <c r="E886" s="56">
        <v>7624.5799999999981</v>
      </c>
      <c r="F886" s="56">
        <v>10053</v>
      </c>
      <c r="G886" s="56">
        <v>49238</v>
      </c>
      <c r="H886" s="56"/>
      <c r="I886" s="57">
        <v>925.1</v>
      </c>
      <c r="J886" s="57">
        <v>43148</v>
      </c>
      <c r="K886" s="57">
        <v>3372</v>
      </c>
      <c r="L886" s="56">
        <v>0</v>
      </c>
      <c r="M886" s="56"/>
      <c r="N886" s="57">
        <v>1725</v>
      </c>
      <c r="O886" s="57">
        <v>15926</v>
      </c>
      <c r="P886" s="57">
        <v>0</v>
      </c>
      <c r="Q886" s="56">
        <v>2122</v>
      </c>
      <c r="R886" s="57">
        <f t="shared" si="13"/>
        <v>27222</v>
      </c>
      <c r="S886" s="56"/>
      <c r="T886" s="57">
        <v>13161</v>
      </c>
      <c r="U886" s="58">
        <v>-653</v>
      </c>
      <c r="V886" s="58">
        <v>12508</v>
      </c>
    </row>
    <row r="887" spans="1:22">
      <c r="A887" s="54">
        <v>99721</v>
      </c>
      <c r="B887" s="55" t="s">
        <v>2263</v>
      </c>
      <c r="C887" s="106">
        <v>6.2449999999999995E-4</v>
      </c>
      <c r="D887" s="106">
        <v>5.8460000000000001E-4</v>
      </c>
      <c r="E887" s="56">
        <v>220767.11</v>
      </c>
      <c r="F887" s="56">
        <v>262365</v>
      </c>
      <c r="G887" s="56">
        <v>1325398</v>
      </c>
      <c r="H887" s="56"/>
      <c r="I887" s="57">
        <v>24902</v>
      </c>
      <c r="J887" s="57">
        <v>1161471</v>
      </c>
      <c r="K887" s="57">
        <v>90778</v>
      </c>
      <c r="L887" s="56">
        <v>0</v>
      </c>
      <c r="M887" s="56"/>
      <c r="N887" s="57">
        <v>46443</v>
      </c>
      <c r="O887" s="57">
        <v>428693</v>
      </c>
      <c r="P887" s="57">
        <v>0</v>
      </c>
      <c r="Q887" s="56">
        <v>11340</v>
      </c>
      <c r="R887" s="57">
        <f t="shared" si="13"/>
        <v>732778</v>
      </c>
      <c r="S887" s="56"/>
      <c r="T887" s="57">
        <v>354259</v>
      </c>
      <c r="U887" s="58">
        <v>-3889</v>
      </c>
      <c r="V887" s="58">
        <v>350371</v>
      </c>
    </row>
    <row r="888" spans="1:22">
      <c r="A888" s="54">
        <v>99727</v>
      </c>
      <c r="B888" s="55" t="s">
        <v>2264</v>
      </c>
      <c r="C888" s="106">
        <v>2.5299999999999998E-5</v>
      </c>
      <c r="D888" s="106">
        <v>2.8099999999999999E-5</v>
      </c>
      <c r="E888" s="56">
        <v>45027.6</v>
      </c>
      <c r="F888" s="56">
        <v>12611</v>
      </c>
      <c r="G888" s="56">
        <v>53695</v>
      </c>
      <c r="H888" s="56"/>
      <c r="I888" s="57">
        <v>1008.8375</v>
      </c>
      <c r="J888" s="57">
        <v>47054</v>
      </c>
      <c r="K888" s="57">
        <v>3678</v>
      </c>
      <c r="L888" s="56">
        <v>46298</v>
      </c>
      <c r="M888" s="56"/>
      <c r="N888" s="57">
        <v>1882</v>
      </c>
      <c r="O888" s="57">
        <v>17367</v>
      </c>
      <c r="P888" s="57">
        <v>0</v>
      </c>
      <c r="Q888" s="56">
        <v>0</v>
      </c>
      <c r="R888" s="57">
        <f t="shared" si="13"/>
        <v>29687</v>
      </c>
      <c r="S888" s="56"/>
      <c r="T888" s="57">
        <v>14352</v>
      </c>
      <c r="U888" s="58">
        <v>14150</v>
      </c>
      <c r="V888" s="58">
        <v>28501</v>
      </c>
    </row>
    <row r="889" spans="1:22">
      <c r="A889" s="54">
        <v>99801</v>
      </c>
      <c r="B889" s="55" t="s">
        <v>2265</v>
      </c>
      <c r="C889" s="106">
        <v>5.1954999999999996E-3</v>
      </c>
      <c r="D889" s="106">
        <v>5.0806999999999996E-3</v>
      </c>
      <c r="E889" s="56">
        <v>2017956.21</v>
      </c>
      <c r="F889" s="56">
        <v>2280188</v>
      </c>
      <c r="G889" s="56">
        <v>11026591</v>
      </c>
      <c r="H889" s="56"/>
      <c r="I889" s="57">
        <v>207171</v>
      </c>
      <c r="J889" s="57">
        <v>9662809</v>
      </c>
      <c r="K889" s="57">
        <v>755223</v>
      </c>
      <c r="L889" s="56">
        <v>34255.86</v>
      </c>
      <c r="M889" s="56"/>
      <c r="N889" s="57">
        <v>386384</v>
      </c>
      <c r="O889" s="57">
        <v>3566493</v>
      </c>
      <c r="P889" s="57">
        <v>0</v>
      </c>
      <c r="Q889" s="56">
        <v>67721</v>
      </c>
      <c r="R889" s="57">
        <f t="shared" si="13"/>
        <v>6096316</v>
      </c>
      <c r="S889" s="56"/>
      <c r="T889" s="57">
        <v>2947246</v>
      </c>
      <c r="U889" s="58">
        <v>-3738</v>
      </c>
      <c r="V889" s="58">
        <v>2943508</v>
      </c>
    </row>
    <row r="890" spans="1:22">
      <c r="A890" s="54">
        <v>99802</v>
      </c>
      <c r="B890" s="55" t="s">
        <v>2266</v>
      </c>
      <c r="C890" s="106">
        <v>6.4999999999999996E-6</v>
      </c>
      <c r="D890" s="106">
        <v>7.7000000000000008E-6</v>
      </c>
      <c r="E890" s="56">
        <v>3763.7499999999995</v>
      </c>
      <c r="F890" s="56">
        <v>3456</v>
      </c>
      <c r="G890" s="56">
        <v>13795</v>
      </c>
      <c r="H890" s="56"/>
      <c r="I890" s="57">
        <v>259.1875</v>
      </c>
      <c r="J890" s="57">
        <v>12089</v>
      </c>
      <c r="K890" s="57">
        <v>945</v>
      </c>
      <c r="L890" s="56">
        <v>358</v>
      </c>
      <c r="M890" s="56"/>
      <c r="N890" s="57">
        <v>483</v>
      </c>
      <c r="O890" s="57">
        <v>4462</v>
      </c>
      <c r="P890" s="57">
        <v>0</v>
      </c>
      <c r="Q890" s="56">
        <v>107</v>
      </c>
      <c r="R890" s="57">
        <f t="shared" si="13"/>
        <v>7627</v>
      </c>
      <c r="S890" s="56"/>
      <c r="T890" s="57">
        <v>3687</v>
      </c>
      <c r="U890" s="58">
        <v>52</v>
      </c>
      <c r="V890" s="58">
        <v>3740</v>
      </c>
    </row>
    <row r="891" spans="1:22">
      <c r="A891" s="54">
        <v>99804</v>
      </c>
      <c r="B891" s="55" t="s">
        <v>2267</v>
      </c>
      <c r="C891" s="106">
        <v>8.6600000000000004E-5</v>
      </c>
      <c r="D891" s="106">
        <v>8.7999999999999998E-5</v>
      </c>
      <c r="E891" s="56">
        <v>41606.69999999999</v>
      </c>
      <c r="F891" s="56">
        <v>39494</v>
      </c>
      <c r="G891" s="56">
        <v>183794</v>
      </c>
      <c r="H891" s="56"/>
      <c r="I891" s="57">
        <v>3453</v>
      </c>
      <c r="J891" s="57">
        <v>161062</v>
      </c>
      <c r="K891" s="57">
        <v>12588</v>
      </c>
      <c r="L891" s="56">
        <v>10128</v>
      </c>
      <c r="M891" s="56"/>
      <c r="N891" s="57">
        <v>6440</v>
      </c>
      <c r="O891" s="57">
        <v>59447</v>
      </c>
      <c r="P891" s="57">
        <v>0</v>
      </c>
      <c r="Q891" s="56">
        <v>0</v>
      </c>
      <c r="R891" s="57">
        <f t="shared" si="13"/>
        <v>101615</v>
      </c>
      <c r="S891" s="56"/>
      <c r="T891" s="57">
        <v>49125</v>
      </c>
      <c r="U891" s="58">
        <v>3221</v>
      </c>
      <c r="V891" s="58">
        <v>52347</v>
      </c>
    </row>
    <row r="892" spans="1:22">
      <c r="A892" s="54">
        <v>99811</v>
      </c>
      <c r="B892" s="55" t="s">
        <v>2268</v>
      </c>
      <c r="C892" s="106">
        <v>6.8415000000000004E-3</v>
      </c>
      <c r="D892" s="106">
        <v>6.9579999999999998E-3</v>
      </c>
      <c r="E892" s="56">
        <v>2561770.62</v>
      </c>
      <c r="F892" s="56">
        <v>3122709</v>
      </c>
      <c r="G892" s="56">
        <v>14519955</v>
      </c>
      <c r="H892" s="56"/>
      <c r="I892" s="57">
        <v>272805</v>
      </c>
      <c r="J892" s="57">
        <v>12724109</v>
      </c>
      <c r="K892" s="57">
        <v>994487</v>
      </c>
      <c r="L892" s="56">
        <v>0</v>
      </c>
      <c r="M892" s="56"/>
      <c r="N892" s="57">
        <v>508796</v>
      </c>
      <c r="O892" s="57">
        <v>4696402</v>
      </c>
      <c r="P892" s="57">
        <v>0</v>
      </c>
      <c r="Q892" s="56">
        <v>526561</v>
      </c>
      <c r="R892" s="57">
        <f t="shared" si="13"/>
        <v>8027707</v>
      </c>
      <c r="S892" s="56"/>
      <c r="T892" s="57">
        <v>3880971</v>
      </c>
      <c r="U892" s="58">
        <v>-175139</v>
      </c>
      <c r="V892" s="58">
        <v>3705832</v>
      </c>
    </row>
    <row r="893" spans="1:22">
      <c r="A893" s="54">
        <v>99812</v>
      </c>
      <c r="B893" s="55" t="s">
        <v>2269</v>
      </c>
      <c r="C893" s="106">
        <v>2.5599999999999999E-5</v>
      </c>
      <c r="D893" s="106">
        <v>2.7399999999999999E-5</v>
      </c>
      <c r="E893" s="56">
        <v>18003.280000000006</v>
      </c>
      <c r="F893" s="56">
        <v>12297</v>
      </c>
      <c r="G893" s="56">
        <v>54332</v>
      </c>
      <c r="H893" s="56"/>
      <c r="I893" s="57">
        <v>1020.8</v>
      </c>
      <c r="J893" s="57">
        <v>47612</v>
      </c>
      <c r="K893" s="57">
        <v>3721</v>
      </c>
      <c r="L893" s="56">
        <v>8899</v>
      </c>
      <c r="M893" s="56"/>
      <c r="N893" s="57">
        <v>1904</v>
      </c>
      <c r="O893" s="57">
        <v>17573</v>
      </c>
      <c r="P893" s="57">
        <v>0</v>
      </c>
      <c r="Q893" s="56">
        <v>0</v>
      </c>
      <c r="R893" s="57">
        <f t="shared" si="13"/>
        <v>30039</v>
      </c>
      <c r="S893" s="56"/>
      <c r="T893" s="57">
        <v>14522</v>
      </c>
      <c r="U893" s="58">
        <v>2839</v>
      </c>
      <c r="V893" s="58">
        <v>17361</v>
      </c>
    </row>
    <row r="894" spans="1:22">
      <c r="A894" s="54">
        <v>99818</v>
      </c>
      <c r="B894" s="55" t="s">
        <v>2270</v>
      </c>
      <c r="C894" s="106">
        <v>3.7700000000000002E-5</v>
      </c>
      <c r="D894" s="106">
        <v>4.4199999999999997E-5</v>
      </c>
      <c r="E894" s="56">
        <v>16175.140000000003</v>
      </c>
      <c r="F894" s="56">
        <v>19837</v>
      </c>
      <c r="G894" s="56">
        <v>80012</v>
      </c>
      <c r="H894" s="56"/>
      <c r="I894" s="57">
        <v>1503</v>
      </c>
      <c r="J894" s="57">
        <v>70116</v>
      </c>
      <c r="K894" s="57">
        <v>5480</v>
      </c>
      <c r="L894" s="56">
        <v>5574</v>
      </c>
      <c r="M894" s="56"/>
      <c r="N894" s="57">
        <v>2804</v>
      </c>
      <c r="O894" s="57">
        <v>25879</v>
      </c>
      <c r="P894" s="57">
        <v>0</v>
      </c>
      <c r="Q894" s="56">
        <v>2988</v>
      </c>
      <c r="R894" s="57">
        <f t="shared" si="13"/>
        <v>44237</v>
      </c>
      <c r="S894" s="56"/>
      <c r="T894" s="57">
        <v>21386</v>
      </c>
      <c r="U894" s="58">
        <v>1745</v>
      </c>
      <c r="V894" s="58">
        <v>23131</v>
      </c>
    </row>
    <row r="895" spans="1:22">
      <c r="A895" s="54">
        <v>99821</v>
      </c>
      <c r="B895" s="55" t="s">
        <v>2271</v>
      </c>
      <c r="C895" s="106">
        <v>8.2899999999999996E-5</v>
      </c>
      <c r="D895" s="106">
        <v>8.42E-5</v>
      </c>
      <c r="E895" s="56">
        <v>42679.99</v>
      </c>
      <c r="F895" s="56">
        <v>37788</v>
      </c>
      <c r="G895" s="56">
        <v>175942</v>
      </c>
      <c r="H895" s="56"/>
      <c r="I895" s="57">
        <v>3306</v>
      </c>
      <c r="J895" s="57">
        <v>154181</v>
      </c>
      <c r="K895" s="57">
        <v>12050</v>
      </c>
      <c r="L895" s="56">
        <v>17868</v>
      </c>
      <c r="M895" s="56"/>
      <c r="N895" s="57">
        <v>6165</v>
      </c>
      <c r="O895" s="57">
        <v>56907</v>
      </c>
      <c r="P895" s="57">
        <v>0</v>
      </c>
      <c r="Q895" s="56">
        <v>860</v>
      </c>
      <c r="R895" s="57">
        <f t="shared" si="13"/>
        <v>97274</v>
      </c>
      <c r="S895" s="56"/>
      <c r="T895" s="57">
        <v>47027</v>
      </c>
      <c r="U895" s="58">
        <v>7184</v>
      </c>
      <c r="V895" s="58">
        <v>54211</v>
      </c>
    </row>
    <row r="896" spans="1:22">
      <c r="A896" s="54">
        <v>99831</v>
      </c>
      <c r="B896" s="55" t="s">
        <v>2272</v>
      </c>
      <c r="C896" s="106">
        <v>5.5899999999999997E-5</v>
      </c>
      <c r="D896" s="106">
        <v>5.0699999999999999E-5</v>
      </c>
      <c r="E896" s="56">
        <v>23539.8</v>
      </c>
      <c r="F896" s="56">
        <v>22754</v>
      </c>
      <c r="G896" s="56">
        <v>118639</v>
      </c>
      <c r="H896" s="56"/>
      <c r="I896" s="57">
        <v>2229</v>
      </c>
      <c r="J896" s="57">
        <v>103965</v>
      </c>
      <c r="K896" s="57">
        <v>8126</v>
      </c>
      <c r="L896" s="56">
        <v>3830</v>
      </c>
      <c r="M896" s="56"/>
      <c r="N896" s="57">
        <v>4157</v>
      </c>
      <c r="O896" s="57">
        <v>38373</v>
      </c>
      <c r="P896" s="57">
        <v>0</v>
      </c>
      <c r="Q896" s="56">
        <v>873</v>
      </c>
      <c r="R896" s="57">
        <f t="shared" si="13"/>
        <v>65592</v>
      </c>
      <c r="S896" s="56"/>
      <c r="T896" s="57">
        <v>31710</v>
      </c>
      <c r="U896" s="58">
        <v>823</v>
      </c>
      <c r="V896" s="58">
        <v>32533</v>
      </c>
    </row>
    <row r="897" spans="1:22">
      <c r="A897" s="54">
        <v>99841</v>
      </c>
      <c r="B897" s="55" t="s">
        <v>2273</v>
      </c>
      <c r="C897" s="106">
        <v>4.6E-5</v>
      </c>
      <c r="D897" s="106">
        <v>4.6699999999999997E-5</v>
      </c>
      <c r="E897" s="56">
        <v>18090.39</v>
      </c>
      <c r="F897" s="56">
        <v>20959</v>
      </c>
      <c r="G897" s="56">
        <v>97627.41</v>
      </c>
      <c r="H897" s="56"/>
      <c r="I897" s="57">
        <v>1834.25</v>
      </c>
      <c r="J897" s="57">
        <v>85553</v>
      </c>
      <c r="K897" s="57">
        <v>6687</v>
      </c>
      <c r="L897" s="56">
        <v>1970</v>
      </c>
      <c r="M897" s="56"/>
      <c r="N897" s="57">
        <v>3421</v>
      </c>
      <c r="O897" s="57">
        <v>31577</v>
      </c>
      <c r="P897" s="57">
        <v>0</v>
      </c>
      <c r="Q897" s="56">
        <v>3207</v>
      </c>
      <c r="R897" s="57">
        <f t="shared" si="13"/>
        <v>53976</v>
      </c>
      <c r="S897" s="56"/>
      <c r="T897" s="57">
        <v>26094</v>
      </c>
      <c r="U897" s="58">
        <v>-661</v>
      </c>
      <c r="V897" s="58">
        <v>25434</v>
      </c>
    </row>
    <row r="898" spans="1:22">
      <c r="A898" s="54">
        <v>99851</v>
      </c>
      <c r="B898" s="55" t="s">
        <v>2274</v>
      </c>
      <c r="C898" s="106">
        <v>2.1999999999999999E-5</v>
      </c>
      <c r="D898" s="106">
        <v>2.0299999999999999E-5</v>
      </c>
      <c r="E898" s="56">
        <v>6172.1500000000005</v>
      </c>
      <c r="F898" s="56">
        <v>9111</v>
      </c>
      <c r="G898" s="56">
        <v>46691</v>
      </c>
      <c r="H898" s="56"/>
      <c r="I898" s="57">
        <v>877.25</v>
      </c>
      <c r="J898" s="57">
        <v>40917</v>
      </c>
      <c r="K898" s="57">
        <v>3198</v>
      </c>
      <c r="L898" s="56">
        <v>221</v>
      </c>
      <c r="M898" s="56"/>
      <c r="N898" s="57">
        <v>1636</v>
      </c>
      <c r="O898" s="57">
        <v>15102</v>
      </c>
      <c r="P898" s="57">
        <v>0</v>
      </c>
      <c r="Q898" s="56">
        <v>1432</v>
      </c>
      <c r="R898" s="57">
        <f t="shared" si="13"/>
        <v>25815</v>
      </c>
      <c r="S898" s="56"/>
      <c r="T898" s="57">
        <v>12480</v>
      </c>
      <c r="U898" s="58">
        <v>-310</v>
      </c>
      <c r="V898" s="58">
        <v>12170</v>
      </c>
    </row>
    <row r="899" spans="1:22">
      <c r="A899" s="54">
        <v>99901</v>
      </c>
      <c r="B899" s="55" t="s">
        <v>2275</v>
      </c>
      <c r="C899" s="106">
        <v>1.6371999999999999E-3</v>
      </c>
      <c r="D899" s="106">
        <v>1.5259E-3</v>
      </c>
      <c r="E899" s="56">
        <v>635103.91</v>
      </c>
      <c r="F899" s="56">
        <v>684815</v>
      </c>
      <c r="G899" s="56">
        <v>3474687</v>
      </c>
      <c r="H899" s="56"/>
      <c r="I899" s="57">
        <v>65283.35</v>
      </c>
      <c r="J899" s="57">
        <v>3044933</v>
      </c>
      <c r="K899" s="57">
        <v>237985</v>
      </c>
      <c r="L899" s="56">
        <v>67178</v>
      </c>
      <c r="M899" s="56"/>
      <c r="N899" s="57">
        <v>121757</v>
      </c>
      <c r="O899" s="57">
        <v>1123869</v>
      </c>
      <c r="P899" s="57">
        <v>0</v>
      </c>
      <c r="Q899" s="56">
        <v>24162.58</v>
      </c>
      <c r="R899" s="57">
        <f t="shared" si="13"/>
        <v>1921064</v>
      </c>
      <c r="S899" s="56"/>
      <c r="T899" s="57">
        <v>928733</v>
      </c>
      <c r="U899" s="58">
        <v>8817</v>
      </c>
      <c r="V899" s="58">
        <v>937550</v>
      </c>
    </row>
    <row r="900" spans="1:22">
      <c r="A900" s="54">
        <v>99911</v>
      </c>
      <c r="B900" s="55" t="s">
        <v>2276</v>
      </c>
      <c r="C900" s="106">
        <v>2.5520000000000002E-4</v>
      </c>
      <c r="D900" s="106">
        <v>2.766E-4</v>
      </c>
      <c r="E900" s="56">
        <v>106881.59000000001</v>
      </c>
      <c r="F900" s="56">
        <v>124136</v>
      </c>
      <c r="G900" s="56">
        <v>541620</v>
      </c>
      <c r="H900" s="56"/>
      <c r="I900" s="57">
        <v>10176.1</v>
      </c>
      <c r="J900" s="57">
        <v>474632</v>
      </c>
      <c r="K900" s="57">
        <v>37096</v>
      </c>
      <c r="L900" s="56">
        <v>2863</v>
      </c>
      <c r="M900" s="56"/>
      <c r="N900" s="57">
        <v>18979</v>
      </c>
      <c r="O900" s="57">
        <v>175184</v>
      </c>
      <c r="P900" s="57">
        <v>0</v>
      </c>
      <c r="Q900" s="56">
        <v>20527</v>
      </c>
      <c r="R900" s="57">
        <f t="shared" si="13"/>
        <v>299448</v>
      </c>
      <c r="S900" s="56"/>
      <c r="T900" s="57">
        <v>144767</v>
      </c>
      <c r="U900" s="58">
        <v>-6851</v>
      </c>
      <c r="V900" s="58">
        <v>137916</v>
      </c>
    </row>
    <row r="901" spans="1:22">
      <c r="A901" s="54">
        <v>99921</v>
      </c>
      <c r="B901" s="55" t="s">
        <v>2277</v>
      </c>
      <c r="C901" s="60">
        <v>1.5129999999999999E-4</v>
      </c>
      <c r="D901" s="60">
        <v>1.3889999999999999E-4</v>
      </c>
      <c r="E901" s="56">
        <v>55802.77</v>
      </c>
      <c r="F901" s="56">
        <v>62337</v>
      </c>
      <c r="G901" s="6">
        <v>321109</v>
      </c>
      <c r="H901" s="6"/>
      <c r="I901" s="61">
        <v>6033</v>
      </c>
      <c r="J901" s="61">
        <v>281394</v>
      </c>
      <c r="K901" s="61">
        <v>21993</v>
      </c>
      <c r="L901" s="6">
        <v>4809</v>
      </c>
      <c r="M901" s="6"/>
      <c r="N901" s="61">
        <v>11252</v>
      </c>
      <c r="O901" s="61">
        <v>103861</v>
      </c>
      <c r="P901" s="61">
        <v>0</v>
      </c>
      <c r="Q901" s="6">
        <v>7353</v>
      </c>
      <c r="R901" s="57">
        <f t="shared" si="13"/>
        <v>177533</v>
      </c>
      <c r="S901" s="6"/>
      <c r="T901" s="61">
        <v>85828</v>
      </c>
      <c r="U901" s="62">
        <v>-2145</v>
      </c>
      <c r="V901" s="62">
        <v>83683</v>
      </c>
    </row>
    <row r="902" spans="1:22" s="52" customFormat="1">
      <c r="A902" s="54">
        <v>99931</v>
      </c>
      <c r="B902" s="101" t="s">
        <v>2278</v>
      </c>
      <c r="C902" s="116">
        <v>2.51E-5</v>
      </c>
      <c r="D902" s="116">
        <v>2.5700000000000001E-5</v>
      </c>
      <c r="E902" s="56">
        <v>9194.32</v>
      </c>
      <c r="F902" s="56">
        <v>11534</v>
      </c>
      <c r="G902" s="117">
        <v>53271</v>
      </c>
      <c r="H902" s="117"/>
      <c r="I902" s="117">
        <v>1000.8625</v>
      </c>
      <c r="J902" s="117">
        <v>46682</v>
      </c>
      <c r="K902" s="117">
        <v>3649</v>
      </c>
      <c r="L902" s="117">
        <v>0</v>
      </c>
      <c r="N902" s="117">
        <v>1867</v>
      </c>
      <c r="O902" s="117">
        <v>17230</v>
      </c>
      <c r="P902" s="118">
        <v>0</v>
      </c>
      <c r="Q902" s="117">
        <v>5581</v>
      </c>
      <c r="R902" s="57">
        <f t="shared" si="13"/>
        <v>29452</v>
      </c>
      <c r="S902" s="117"/>
      <c r="T902" s="117">
        <v>14238</v>
      </c>
      <c r="U902" s="117">
        <v>-2038</v>
      </c>
      <c r="V902" s="117">
        <v>12201</v>
      </c>
    </row>
    <row r="903" spans="1:22">
      <c r="A903" s="59">
        <v>99941</v>
      </c>
      <c r="B903" s="4" t="s">
        <v>2279</v>
      </c>
      <c r="C903" s="60">
        <v>7.8200000000000003E-5</v>
      </c>
      <c r="D903" s="60">
        <v>8.7899999999999995E-5</v>
      </c>
      <c r="E903" s="56">
        <v>27969.51</v>
      </c>
      <c r="F903" s="56">
        <v>39449</v>
      </c>
      <c r="G903" s="117">
        <v>165967</v>
      </c>
      <c r="H903" s="117"/>
      <c r="I903" s="117">
        <v>3118</v>
      </c>
      <c r="J903" s="117">
        <v>145440</v>
      </c>
      <c r="K903" s="117">
        <v>11367</v>
      </c>
      <c r="L903" s="117">
        <v>0</v>
      </c>
      <c r="N903" s="117">
        <v>5816</v>
      </c>
      <c r="O903" s="117">
        <v>53681</v>
      </c>
      <c r="P903" s="118">
        <v>0</v>
      </c>
      <c r="Q903" s="117">
        <v>11883</v>
      </c>
      <c r="R903" s="57">
        <f t="shared" ref="R903:R905" si="14">IF(J903&gt;O903,J903-O903,O903-J903)</f>
        <v>91759</v>
      </c>
      <c r="S903" s="117"/>
      <c r="T903" s="117">
        <v>44360</v>
      </c>
      <c r="U903" s="117">
        <v>-3675</v>
      </c>
      <c r="V903" s="117">
        <v>40686</v>
      </c>
    </row>
    <row r="904" spans="1:22">
      <c r="A904" s="59">
        <v>99991</v>
      </c>
      <c r="B904" s="4" t="s">
        <v>2280</v>
      </c>
      <c r="C904" s="60">
        <v>5.6990000000000003E-4</v>
      </c>
      <c r="D904" s="60">
        <v>5.1539999999999995E-4</v>
      </c>
      <c r="E904" s="56">
        <v>214761.88</v>
      </c>
      <c r="F904" s="56">
        <v>231308</v>
      </c>
      <c r="G904" s="117">
        <v>1209519</v>
      </c>
      <c r="H904" s="117"/>
      <c r="I904" s="117">
        <v>22725</v>
      </c>
      <c r="J904" s="117">
        <v>1059924</v>
      </c>
      <c r="K904" s="117">
        <v>82841</v>
      </c>
      <c r="L904" s="117">
        <v>48305</v>
      </c>
      <c r="N904" s="117">
        <v>42383</v>
      </c>
      <c r="O904" s="117">
        <v>391212</v>
      </c>
      <c r="P904" s="118">
        <v>0</v>
      </c>
      <c r="Q904" s="117">
        <v>0</v>
      </c>
      <c r="R904" s="57">
        <f t="shared" si="14"/>
        <v>668712</v>
      </c>
      <c r="S904" s="117"/>
      <c r="T904" s="117">
        <v>323287</v>
      </c>
      <c r="U904" s="117">
        <v>19414</v>
      </c>
      <c r="V904" s="117">
        <v>342701</v>
      </c>
    </row>
    <row r="905" spans="1:22">
      <c r="A905" s="59">
        <v>99999</v>
      </c>
      <c r="B905" s="4" t="s">
        <v>2281</v>
      </c>
      <c r="C905" s="60">
        <v>1.0101000000000001E-3</v>
      </c>
      <c r="D905" s="60">
        <v>9.3599999999999998E-4</v>
      </c>
      <c r="E905" s="56">
        <v>441361.89999999991</v>
      </c>
      <c r="F905" s="56">
        <v>420071</v>
      </c>
      <c r="G905" s="117">
        <v>2143771</v>
      </c>
      <c r="H905" s="117"/>
      <c r="I905" s="117">
        <v>40278</v>
      </c>
      <c r="J905" s="117">
        <v>1878626</v>
      </c>
      <c r="K905" s="117">
        <v>146829</v>
      </c>
      <c r="L905" s="117">
        <v>111413</v>
      </c>
      <c r="N905" s="117">
        <v>75120</v>
      </c>
      <c r="O905" s="117">
        <v>693391</v>
      </c>
      <c r="P905" s="118">
        <v>0</v>
      </c>
      <c r="Q905" s="117">
        <v>43600.9</v>
      </c>
      <c r="R905" s="57">
        <f t="shared" si="14"/>
        <v>1185235</v>
      </c>
      <c r="S905" s="117"/>
      <c r="T905" s="117">
        <v>572998</v>
      </c>
      <c r="U905" s="117">
        <v>11793</v>
      </c>
      <c r="V905" s="117">
        <v>584791</v>
      </c>
    </row>
    <row r="907" spans="1:22">
      <c r="B907" s="63" t="s">
        <v>2</v>
      </c>
      <c r="C907" s="119">
        <f>SUM(C7:C905)</f>
        <v>1</v>
      </c>
      <c r="D907" s="119">
        <f>SUM(D7:D905)</f>
        <v>1</v>
      </c>
      <c r="E907" s="64">
        <f>SUM(E7:E905)</f>
        <v>411243352.90999979</v>
      </c>
      <c r="F907" s="64">
        <f>SUM(F7:F905)</f>
        <v>448793978.815</v>
      </c>
      <c r="G907" s="64">
        <f>SUM(G7:G905)</f>
        <v>2122335001.9649999</v>
      </c>
      <c r="H907" s="64"/>
      <c r="I907" s="64">
        <f>SUM(I7:I905)</f>
        <v>39875005.324999996</v>
      </c>
      <c r="J907" s="64">
        <f>SUM(J7:J905)</f>
        <v>1859842000.4500003</v>
      </c>
      <c r="K907" s="64">
        <f>SUM(K7:K905)</f>
        <v>145360990.26999998</v>
      </c>
      <c r="L907" s="64">
        <f>SUM(L7:L905)</f>
        <v>47059866.95000001</v>
      </c>
      <c r="M907" s="64"/>
      <c r="N907" s="64">
        <f>SUM(N7:N905)</f>
        <v>74369002.819999993</v>
      </c>
      <c r="O907" s="64">
        <f>SUM(O7:O905)</f>
        <v>686457998.14499998</v>
      </c>
      <c r="P907" s="64">
        <f>SUM(P7:P905)</f>
        <v>0</v>
      </c>
      <c r="Q907" s="64">
        <f>SUM(Q7:Q905)</f>
        <v>47059539.410000004</v>
      </c>
      <c r="R907" s="64"/>
      <c r="S907" s="64"/>
      <c r="T907" s="64">
        <f>SUM(T7:T905)</f>
        <v>567268992.93000007</v>
      </c>
      <c r="U907" s="64">
        <f>SUM(U7:U905)</f>
        <v>95</v>
      </c>
      <c r="V907" s="64">
        <f>SUM(V7:V905)</f>
        <v>567269105</v>
      </c>
    </row>
    <row r="908" spans="1:22">
      <c r="G908" s="120"/>
      <c r="H908" s="120"/>
      <c r="I908" s="120"/>
      <c r="J908" s="120"/>
      <c r="K908" s="120"/>
      <c r="L908" s="120"/>
      <c r="M908" s="120"/>
      <c r="N908" s="120"/>
      <c r="O908" s="120"/>
      <c r="P908" s="120"/>
      <c r="Q908" s="120"/>
      <c r="R908" s="120"/>
      <c r="S908" s="120"/>
      <c r="T908" s="120"/>
      <c r="U908" s="120"/>
      <c r="V908" s="120"/>
    </row>
    <row r="909" spans="1:22">
      <c r="G909" s="121"/>
      <c r="H909" s="121"/>
      <c r="I909" s="121"/>
      <c r="J909" s="121"/>
      <c r="K909" s="121"/>
      <c r="L909" s="121"/>
      <c r="M909" s="121"/>
      <c r="N909" s="121"/>
      <c r="O909" s="121"/>
      <c r="P909" s="121"/>
      <c r="Q909" s="121"/>
      <c r="R909" s="121"/>
      <c r="S909" s="121"/>
      <c r="T909" s="121"/>
      <c r="U909" s="121"/>
      <c r="V909" s="121"/>
    </row>
    <row r="910" spans="1:22">
      <c r="B910" s="4" t="s">
        <v>1355</v>
      </c>
      <c r="C910" s="8" t="s">
        <v>1356</v>
      </c>
    </row>
    <row r="911" spans="1:22">
      <c r="B911" s="4" t="s">
        <v>570</v>
      </c>
      <c r="C911" s="54">
        <v>96331</v>
      </c>
    </row>
    <row r="912" spans="1:22">
      <c r="B912" s="4" t="s">
        <v>449</v>
      </c>
      <c r="C912" s="54">
        <v>94611</v>
      </c>
    </row>
    <row r="913" spans="2:22">
      <c r="B913" s="4" t="s">
        <v>331</v>
      </c>
      <c r="C913" s="54">
        <v>93402</v>
      </c>
      <c r="G913" s="52"/>
      <c r="H913" s="52"/>
      <c r="I913" s="52"/>
      <c r="J913" s="52"/>
      <c r="K913" s="52"/>
      <c r="L913" s="52"/>
      <c r="M913" s="52"/>
      <c r="N913" s="52"/>
      <c r="O913" s="52"/>
      <c r="P913" s="52"/>
      <c r="Q913" s="52"/>
      <c r="R913" s="52"/>
      <c r="S913" s="52"/>
      <c r="T913" s="52"/>
      <c r="U913" s="52"/>
      <c r="V913" s="52"/>
    </row>
    <row r="914" spans="2:22">
      <c r="B914" s="4" t="s">
        <v>392</v>
      </c>
      <c r="C914" s="54">
        <v>94109</v>
      </c>
      <c r="D914" s="122"/>
      <c r="E914" s="122"/>
      <c r="F914" s="122"/>
    </row>
    <row r="915" spans="2:22">
      <c r="B915" s="4" t="s">
        <v>36</v>
      </c>
      <c r="C915" s="54">
        <v>90101</v>
      </c>
      <c r="D915" s="122"/>
      <c r="E915" s="122"/>
      <c r="F915" s="122"/>
    </row>
    <row r="916" spans="2:22">
      <c r="B916" s="4" t="s">
        <v>2300</v>
      </c>
      <c r="C916" s="54">
        <v>90117</v>
      </c>
      <c r="D916" s="122"/>
      <c r="E916" s="122"/>
      <c r="F916" s="122"/>
    </row>
    <row r="917" spans="2:22">
      <c r="B917" s="4" t="s">
        <v>42</v>
      </c>
      <c r="C917" s="54">
        <v>90151</v>
      </c>
      <c r="D917" s="122"/>
      <c r="E917" s="122"/>
      <c r="F917" s="122"/>
    </row>
    <row r="918" spans="2:22">
      <c r="B918" s="4" t="s">
        <v>769</v>
      </c>
      <c r="C918" s="54">
        <v>98417</v>
      </c>
      <c r="D918" s="122"/>
      <c r="E918" s="122"/>
      <c r="F918" s="122"/>
    </row>
    <row r="919" spans="2:22">
      <c r="B919" s="4" t="s">
        <v>632</v>
      </c>
      <c r="C919" s="54">
        <v>97008</v>
      </c>
      <c r="D919" s="122"/>
      <c r="E919" s="122"/>
      <c r="F919" s="122"/>
    </row>
    <row r="920" spans="2:22">
      <c r="B920" s="4" t="s">
        <v>633</v>
      </c>
      <c r="C920" s="54">
        <v>97010</v>
      </c>
      <c r="D920" s="122"/>
      <c r="E920" s="122"/>
      <c r="F920" s="122"/>
    </row>
    <row r="921" spans="2:22">
      <c r="B921" s="4" t="s">
        <v>2301</v>
      </c>
      <c r="C921" s="54">
        <v>90096</v>
      </c>
      <c r="D921" s="122"/>
      <c r="E921" s="122"/>
      <c r="F921" s="122"/>
    </row>
    <row r="922" spans="2:22">
      <c r="B922" s="4" t="s">
        <v>83</v>
      </c>
      <c r="C922" s="54">
        <v>90805</v>
      </c>
      <c r="D922" s="122"/>
      <c r="E922" s="122"/>
      <c r="F922" s="122"/>
    </row>
    <row r="923" spans="2:22">
      <c r="B923" s="4" t="s">
        <v>223</v>
      </c>
      <c r="C923" s="54">
        <v>92109</v>
      </c>
      <c r="D923" s="122"/>
      <c r="E923" s="122"/>
      <c r="F923" s="122"/>
    </row>
    <row r="924" spans="2:22">
      <c r="B924" s="4" t="s">
        <v>768</v>
      </c>
      <c r="C924" s="54">
        <v>98411</v>
      </c>
      <c r="D924" s="122"/>
      <c r="E924" s="122"/>
      <c r="F924" s="122"/>
    </row>
    <row r="925" spans="2:22">
      <c r="B925" s="4" t="s">
        <v>44</v>
      </c>
      <c r="C925" s="54">
        <v>90201</v>
      </c>
      <c r="D925" s="122"/>
      <c r="E925" s="122"/>
      <c r="F925" s="122"/>
    </row>
    <row r="926" spans="2:22">
      <c r="B926" s="4" t="s">
        <v>45</v>
      </c>
      <c r="C926" s="54">
        <v>90203</v>
      </c>
      <c r="D926" s="122"/>
      <c r="E926" s="122"/>
      <c r="F926" s="122"/>
    </row>
    <row r="927" spans="2:22">
      <c r="B927" s="4" t="s">
        <v>46</v>
      </c>
      <c r="C927" s="54">
        <v>90205</v>
      </c>
    </row>
    <row r="928" spans="2:22">
      <c r="B928" s="4" t="s">
        <v>47</v>
      </c>
      <c r="C928" s="54">
        <v>90206</v>
      </c>
      <c r="D928" s="122"/>
      <c r="E928" s="122"/>
      <c r="F928" s="122"/>
    </row>
    <row r="929" spans="2:6">
      <c r="B929" s="4" t="s">
        <v>49</v>
      </c>
      <c r="C929" s="54">
        <v>90301</v>
      </c>
    </row>
    <row r="930" spans="2:6">
      <c r="B930" s="4" t="s">
        <v>315</v>
      </c>
      <c r="C930" s="54">
        <v>93209</v>
      </c>
      <c r="D930" s="122"/>
      <c r="E930" s="122"/>
      <c r="F930" s="122"/>
    </row>
    <row r="931" spans="2:6">
      <c r="B931" s="4" t="s">
        <v>220</v>
      </c>
      <c r="C931" s="54">
        <v>92021</v>
      </c>
    </row>
    <row r="932" spans="2:6">
      <c r="B932" s="4" t="s">
        <v>423</v>
      </c>
      <c r="C932" s="54">
        <v>94347</v>
      </c>
    </row>
    <row r="933" spans="2:6">
      <c r="B933" s="4" t="s">
        <v>424</v>
      </c>
      <c r="C933" s="54">
        <v>94351</v>
      </c>
    </row>
    <row r="934" spans="2:6">
      <c r="B934" s="4" t="s">
        <v>52</v>
      </c>
      <c r="C934" s="54">
        <v>90401</v>
      </c>
    </row>
    <row r="935" spans="2:6">
      <c r="B935" s="4" t="s">
        <v>59</v>
      </c>
      <c r="C935" s="54">
        <v>90451</v>
      </c>
    </row>
    <row r="936" spans="2:6">
      <c r="B936" s="4" t="s">
        <v>837</v>
      </c>
      <c r="C936" s="54">
        <v>99271</v>
      </c>
    </row>
    <row r="937" spans="2:6">
      <c r="B937" s="4" t="s">
        <v>35</v>
      </c>
      <c r="C937" s="54">
        <v>90099</v>
      </c>
    </row>
    <row r="938" spans="2:6">
      <c r="B938" s="4" t="s">
        <v>872</v>
      </c>
      <c r="C938" s="54">
        <v>99705</v>
      </c>
    </row>
    <row r="939" spans="2:6">
      <c r="B939" s="4" t="s">
        <v>683</v>
      </c>
      <c r="C939" s="54">
        <v>97651</v>
      </c>
    </row>
    <row r="940" spans="2:6">
      <c r="B940" s="4" t="s">
        <v>478</v>
      </c>
      <c r="C940" s="54">
        <v>95106</v>
      </c>
    </row>
    <row r="941" spans="2:6">
      <c r="B941" s="4" t="s">
        <v>61</v>
      </c>
      <c r="C941" s="54">
        <v>90501</v>
      </c>
    </row>
    <row r="942" spans="2:6">
      <c r="B942" s="4" t="s">
        <v>674</v>
      </c>
      <c r="C942" s="54">
        <v>97607</v>
      </c>
    </row>
    <row r="943" spans="2:6">
      <c r="B943" s="4" t="s">
        <v>676</v>
      </c>
      <c r="C943" s="54">
        <v>97613</v>
      </c>
    </row>
    <row r="944" spans="2:6">
      <c r="B944" s="4" t="s">
        <v>675</v>
      </c>
      <c r="C944" s="54">
        <v>97611</v>
      </c>
    </row>
    <row r="945" spans="2:3">
      <c r="B945" s="4" t="s">
        <v>134</v>
      </c>
      <c r="C945" s="54">
        <v>91127</v>
      </c>
    </row>
    <row r="946" spans="2:3">
      <c r="B946" s="4" t="s">
        <v>135</v>
      </c>
      <c r="C946" s="54">
        <v>91128</v>
      </c>
    </row>
    <row r="947" spans="2:3">
      <c r="B947" s="4" t="s">
        <v>133</v>
      </c>
      <c r="C947" s="54">
        <v>91121</v>
      </c>
    </row>
    <row r="948" spans="2:3">
      <c r="B948" s="4" t="s">
        <v>190</v>
      </c>
      <c r="C948" s="54">
        <v>91681</v>
      </c>
    </row>
    <row r="949" spans="2:3">
      <c r="B949" s="4" t="s">
        <v>85</v>
      </c>
      <c r="C949" s="54">
        <v>90811</v>
      </c>
    </row>
    <row r="950" spans="2:3">
      <c r="B950" s="4" t="s">
        <v>77</v>
      </c>
      <c r="C950" s="54">
        <v>90721</v>
      </c>
    </row>
    <row r="951" spans="2:3">
      <c r="B951" s="4" t="s">
        <v>759</v>
      </c>
      <c r="C951" s="54">
        <v>98271</v>
      </c>
    </row>
    <row r="952" spans="2:3">
      <c r="B952" s="4" t="s">
        <v>65</v>
      </c>
      <c r="C952" s="54">
        <v>90601</v>
      </c>
    </row>
    <row r="953" spans="2:3">
      <c r="B953" s="4" t="s">
        <v>923</v>
      </c>
      <c r="C953" s="54">
        <v>90602</v>
      </c>
    </row>
    <row r="954" spans="2:3">
      <c r="B954" s="4" t="s">
        <v>66</v>
      </c>
      <c r="C954" s="54">
        <v>90605</v>
      </c>
    </row>
    <row r="955" spans="2:3">
      <c r="B955" s="4" t="s">
        <v>665</v>
      </c>
      <c r="C955" s="54">
        <v>97463</v>
      </c>
    </row>
    <row r="956" spans="2:3">
      <c r="B956" s="4" t="s">
        <v>664</v>
      </c>
      <c r="C956" s="54">
        <v>97461</v>
      </c>
    </row>
    <row r="957" spans="2:3">
      <c r="B957" s="4" t="s">
        <v>75</v>
      </c>
      <c r="C957" s="54">
        <v>90705</v>
      </c>
    </row>
    <row r="958" spans="2:3">
      <c r="B958" s="4" t="s">
        <v>774</v>
      </c>
      <c r="C958" s="54">
        <v>98451</v>
      </c>
    </row>
    <row r="959" spans="2:3">
      <c r="B959" s="4" t="s">
        <v>584</v>
      </c>
      <c r="C959" s="54">
        <v>96451</v>
      </c>
    </row>
    <row r="960" spans="2:3">
      <c r="B960" s="4" t="s">
        <v>554</v>
      </c>
      <c r="C960" s="54">
        <v>96121</v>
      </c>
    </row>
    <row r="961" spans="2:3">
      <c r="B961" s="4" t="s">
        <v>123</v>
      </c>
      <c r="C961" s="54">
        <v>91091</v>
      </c>
    </row>
    <row r="962" spans="2:3">
      <c r="B962" s="4" t="s">
        <v>67</v>
      </c>
      <c r="C962" s="54">
        <v>90611</v>
      </c>
    </row>
    <row r="963" spans="2:3">
      <c r="B963" s="4" t="s">
        <v>627</v>
      </c>
      <c r="C963" s="54">
        <v>96918</v>
      </c>
    </row>
    <row r="964" spans="2:3">
      <c r="B964" s="4" t="s">
        <v>625</v>
      </c>
      <c r="C964" s="54">
        <v>96911</v>
      </c>
    </row>
    <row r="965" spans="2:3">
      <c r="B965" s="4" t="s">
        <v>824</v>
      </c>
      <c r="C965" s="54">
        <v>99208</v>
      </c>
    </row>
    <row r="966" spans="2:3">
      <c r="B966" s="4" t="s">
        <v>73</v>
      </c>
      <c r="C966" s="54">
        <v>90701</v>
      </c>
    </row>
    <row r="967" spans="2:3">
      <c r="B967" s="4" t="s">
        <v>74</v>
      </c>
      <c r="C967" s="54">
        <v>90704</v>
      </c>
    </row>
    <row r="968" spans="2:3">
      <c r="B968" s="4" t="s">
        <v>185</v>
      </c>
      <c r="C968" s="54">
        <v>91633</v>
      </c>
    </row>
    <row r="969" spans="2:3">
      <c r="B969" s="4" t="s">
        <v>184</v>
      </c>
      <c r="C969" s="54">
        <v>91631</v>
      </c>
    </row>
    <row r="970" spans="2:3">
      <c r="B970" s="4" t="s">
        <v>70</v>
      </c>
      <c r="C970" s="54">
        <v>90631</v>
      </c>
    </row>
    <row r="971" spans="2:3">
      <c r="B971" s="4" t="s">
        <v>78</v>
      </c>
      <c r="C971" s="54">
        <v>90731</v>
      </c>
    </row>
    <row r="972" spans="2:3">
      <c r="B972" s="4" t="s">
        <v>357</v>
      </c>
      <c r="C972" s="54">
        <v>93623</v>
      </c>
    </row>
    <row r="973" spans="2:3">
      <c r="B973" s="4" t="s">
        <v>356</v>
      </c>
      <c r="C973" s="54">
        <v>93621</v>
      </c>
    </row>
    <row r="974" spans="2:3">
      <c r="B974" s="4" t="s">
        <v>108</v>
      </c>
      <c r="C974" s="54">
        <v>91020</v>
      </c>
    </row>
    <row r="975" spans="2:3">
      <c r="B975" s="4" t="s">
        <v>475</v>
      </c>
      <c r="C975" s="54">
        <v>95103</v>
      </c>
    </row>
    <row r="976" spans="2:3">
      <c r="B976" s="4" t="s">
        <v>485</v>
      </c>
      <c r="C976" s="54">
        <v>95141</v>
      </c>
    </row>
    <row r="977" spans="2:3">
      <c r="B977" s="4" t="s">
        <v>296</v>
      </c>
      <c r="C977" s="54">
        <v>93021</v>
      </c>
    </row>
    <row r="978" spans="2:3">
      <c r="B978" s="4" t="s">
        <v>81</v>
      </c>
      <c r="C978" s="54">
        <v>90801</v>
      </c>
    </row>
    <row r="979" spans="2:3">
      <c r="B979" s="4" t="s">
        <v>82</v>
      </c>
      <c r="C979" s="54">
        <v>90804</v>
      </c>
    </row>
    <row r="980" spans="2:3">
      <c r="B980" s="4" t="s">
        <v>84</v>
      </c>
      <c r="C980" s="54">
        <v>90808</v>
      </c>
    </row>
    <row r="981" spans="2:3">
      <c r="B981" s="4" t="s">
        <v>364</v>
      </c>
      <c r="C981" s="54">
        <v>93677</v>
      </c>
    </row>
    <row r="982" spans="2:3">
      <c r="B982" s="4" t="s">
        <v>363</v>
      </c>
      <c r="C982" s="54">
        <v>93671</v>
      </c>
    </row>
    <row r="983" spans="2:3">
      <c r="B983" s="4" t="s">
        <v>662</v>
      </c>
      <c r="C983" s="54">
        <v>97441</v>
      </c>
    </row>
    <row r="984" spans="2:3">
      <c r="B984" s="4" t="s">
        <v>300</v>
      </c>
      <c r="C984" s="54">
        <v>93111</v>
      </c>
    </row>
    <row r="985" spans="2:3">
      <c r="B985" s="4" t="s">
        <v>130</v>
      </c>
      <c r="C985" s="54">
        <v>91111</v>
      </c>
    </row>
    <row r="986" spans="2:3">
      <c r="B986" s="4" t="s">
        <v>559</v>
      </c>
      <c r="C986" s="54">
        <v>96231</v>
      </c>
    </row>
    <row r="987" spans="2:3">
      <c r="B987" s="4" t="s">
        <v>884</v>
      </c>
      <c r="C987" s="54">
        <v>99831</v>
      </c>
    </row>
    <row r="988" spans="2:3">
      <c r="B988" s="4" t="s">
        <v>140</v>
      </c>
      <c r="C988" s="54">
        <v>91154</v>
      </c>
    </row>
    <row r="989" spans="2:3">
      <c r="B989" s="4" t="s">
        <v>139</v>
      </c>
      <c r="C989" s="54">
        <v>91151</v>
      </c>
    </row>
    <row r="990" spans="2:3">
      <c r="B990" s="4" t="s">
        <v>89</v>
      </c>
      <c r="C990" s="54">
        <v>90901</v>
      </c>
    </row>
    <row r="991" spans="2:3">
      <c r="B991" s="4" t="s">
        <v>95</v>
      </c>
      <c r="C991" s="54">
        <v>90941</v>
      </c>
    </row>
    <row r="992" spans="2:3">
      <c r="B992" s="4" t="s">
        <v>857</v>
      </c>
      <c r="C992" s="54">
        <v>99527</v>
      </c>
    </row>
    <row r="993" spans="2:3">
      <c r="B993" s="4" t="s">
        <v>853</v>
      </c>
      <c r="C993" s="54">
        <v>99508</v>
      </c>
    </row>
    <row r="994" spans="2:3">
      <c r="B994" s="4" t="s">
        <v>856</v>
      </c>
      <c r="C994" s="54">
        <v>99521</v>
      </c>
    </row>
    <row r="995" spans="2:3">
      <c r="B995" s="4" t="s">
        <v>442</v>
      </c>
      <c r="C995" s="54">
        <v>94532</v>
      </c>
    </row>
    <row r="996" spans="2:3">
      <c r="B996" s="4" t="s">
        <v>121</v>
      </c>
      <c r="C996" s="54">
        <v>91077</v>
      </c>
    </row>
    <row r="997" spans="2:3">
      <c r="B997" s="4" t="s">
        <v>120</v>
      </c>
      <c r="C997" s="54">
        <v>91071</v>
      </c>
    </row>
    <row r="998" spans="2:3">
      <c r="B998" s="4" t="s">
        <v>233</v>
      </c>
      <c r="C998" s="54">
        <v>92331</v>
      </c>
    </row>
    <row r="999" spans="2:3">
      <c r="B999" s="4" t="s">
        <v>855</v>
      </c>
      <c r="C999" s="54">
        <v>99511</v>
      </c>
    </row>
    <row r="1000" spans="2:3">
      <c r="B1000" s="4" t="s">
        <v>891</v>
      </c>
      <c r="C1000" s="59">
        <v>99941</v>
      </c>
    </row>
    <row r="1001" spans="2:3">
      <c r="B1001" s="4" t="s">
        <v>579</v>
      </c>
      <c r="C1001" s="54">
        <v>96405</v>
      </c>
    </row>
    <row r="1002" spans="2:3">
      <c r="B1002" s="4" t="s">
        <v>795</v>
      </c>
      <c r="C1002" s="54">
        <v>98817</v>
      </c>
    </row>
    <row r="1003" spans="2:3">
      <c r="B1003" s="4" t="s">
        <v>794</v>
      </c>
      <c r="C1003" s="54">
        <v>98811</v>
      </c>
    </row>
    <row r="1004" spans="2:3">
      <c r="B1004" s="4" t="s">
        <v>259</v>
      </c>
      <c r="C1004" s="54">
        <v>92561</v>
      </c>
    </row>
    <row r="1005" spans="2:3">
      <c r="B1005" s="4" t="s">
        <v>738</v>
      </c>
      <c r="C1005" s="54">
        <v>98102</v>
      </c>
    </row>
    <row r="1006" spans="2:3">
      <c r="B1006" s="4" t="s">
        <v>499</v>
      </c>
      <c r="C1006" s="54">
        <v>95321</v>
      </c>
    </row>
    <row r="1007" spans="2:3">
      <c r="B1007" s="4" t="s">
        <v>206</v>
      </c>
      <c r="C1007" s="54">
        <v>91861</v>
      </c>
    </row>
    <row r="1008" spans="2:3">
      <c r="B1008" s="4" t="s">
        <v>96</v>
      </c>
      <c r="C1008" s="54">
        <v>91001</v>
      </c>
    </row>
    <row r="1009" spans="2:3">
      <c r="B1009" s="4" t="s">
        <v>99</v>
      </c>
      <c r="C1009" s="54">
        <v>91004</v>
      </c>
    </row>
    <row r="1010" spans="2:3">
      <c r="B1010" s="4" t="s">
        <v>2302</v>
      </c>
      <c r="C1010" s="54">
        <v>91006</v>
      </c>
    </row>
    <row r="1011" spans="2:3">
      <c r="B1011" s="4" t="s">
        <v>98</v>
      </c>
      <c r="C1011" s="54">
        <v>91003</v>
      </c>
    </row>
    <row r="1012" spans="2:3">
      <c r="B1012" s="4" t="s">
        <v>102</v>
      </c>
      <c r="C1012" s="54">
        <v>91009</v>
      </c>
    </row>
    <row r="1013" spans="2:3">
      <c r="B1013" s="4" t="s">
        <v>2303</v>
      </c>
      <c r="C1013" s="54">
        <v>91042</v>
      </c>
    </row>
    <row r="1014" spans="2:3">
      <c r="B1014" s="4" t="s">
        <v>241</v>
      </c>
      <c r="C1014" s="54">
        <v>92421</v>
      </c>
    </row>
    <row r="1015" spans="2:3">
      <c r="B1015" s="4" t="s">
        <v>792</v>
      </c>
      <c r="C1015" s="54">
        <v>98717</v>
      </c>
    </row>
    <row r="1016" spans="2:3">
      <c r="B1016" s="4" t="s">
        <v>791</v>
      </c>
      <c r="C1016" s="54">
        <v>98711</v>
      </c>
    </row>
    <row r="1017" spans="2:3">
      <c r="B1017" s="4" t="s">
        <v>124</v>
      </c>
      <c r="C1017" s="54">
        <v>91101</v>
      </c>
    </row>
    <row r="1018" spans="2:3">
      <c r="B1018" s="4" t="s">
        <v>348</v>
      </c>
      <c r="C1018" s="54">
        <v>93537</v>
      </c>
    </row>
    <row r="1019" spans="2:3">
      <c r="B1019" s="4" t="s">
        <v>347</v>
      </c>
      <c r="C1019" s="54">
        <v>93531</v>
      </c>
    </row>
    <row r="1020" spans="2:3">
      <c r="B1020" s="4" t="s">
        <v>641</v>
      </c>
      <c r="C1020" s="54">
        <v>97111</v>
      </c>
    </row>
    <row r="1021" spans="2:3">
      <c r="B1021" s="4" t="s">
        <v>143</v>
      </c>
      <c r="C1021" s="54">
        <v>91201</v>
      </c>
    </row>
    <row r="1022" spans="2:3">
      <c r="B1022" s="4" t="s">
        <v>2304</v>
      </c>
      <c r="C1022" s="54">
        <v>91206</v>
      </c>
    </row>
    <row r="1023" spans="2:3">
      <c r="B1023" s="4" t="s">
        <v>145</v>
      </c>
      <c r="C1023" s="54">
        <v>91203</v>
      </c>
    </row>
    <row r="1024" spans="2:3">
      <c r="B1024" s="4" t="s">
        <v>146</v>
      </c>
      <c r="C1024" s="54">
        <v>91208</v>
      </c>
    </row>
    <row r="1025" spans="2:3">
      <c r="B1025" s="4" t="s">
        <v>144</v>
      </c>
      <c r="C1025" s="54">
        <v>91202</v>
      </c>
    </row>
    <row r="1026" spans="2:3">
      <c r="B1026" s="4" t="s">
        <v>37</v>
      </c>
      <c r="C1026" s="54">
        <v>90111</v>
      </c>
    </row>
    <row r="1027" spans="2:3">
      <c r="B1027" s="4" t="s">
        <v>32</v>
      </c>
      <c r="C1027" s="54">
        <v>90011</v>
      </c>
    </row>
    <row r="1028" spans="2:3">
      <c r="B1028" s="4" t="s">
        <v>381</v>
      </c>
      <c r="C1028" s="54">
        <v>93931</v>
      </c>
    </row>
    <row r="1029" spans="2:3">
      <c r="B1029" s="4" t="s">
        <v>159</v>
      </c>
      <c r="C1029" s="59">
        <v>91306</v>
      </c>
    </row>
    <row r="1030" spans="2:3">
      <c r="B1030" s="4" t="s">
        <v>160</v>
      </c>
      <c r="C1030" s="54">
        <v>91308</v>
      </c>
    </row>
    <row r="1031" spans="2:3">
      <c r="B1031" s="4" t="s">
        <v>157</v>
      </c>
      <c r="C1031" s="59">
        <v>91301</v>
      </c>
    </row>
    <row r="1032" spans="2:3">
      <c r="B1032" s="4" t="s">
        <v>176</v>
      </c>
      <c r="C1032" s="54">
        <v>91461</v>
      </c>
    </row>
    <row r="1033" spans="2:3">
      <c r="B1033" s="4" t="s">
        <v>100</v>
      </c>
      <c r="C1033" s="54">
        <v>91007</v>
      </c>
    </row>
    <row r="1034" spans="2:3">
      <c r="B1034" s="4" t="s">
        <v>103</v>
      </c>
      <c r="C1034" s="54">
        <v>91010</v>
      </c>
    </row>
    <row r="1035" spans="2:3">
      <c r="B1035" s="4" t="s">
        <v>167</v>
      </c>
      <c r="C1035" s="54">
        <v>91401</v>
      </c>
    </row>
    <row r="1036" spans="2:3">
      <c r="B1036" s="4" t="s">
        <v>309</v>
      </c>
      <c r="C1036" s="54">
        <v>93171</v>
      </c>
    </row>
    <row r="1037" spans="2:3">
      <c r="B1037" s="4" t="s">
        <v>177</v>
      </c>
      <c r="C1037" s="54">
        <v>91501</v>
      </c>
    </row>
    <row r="1038" spans="2:3">
      <c r="B1038" s="4" t="s">
        <v>178</v>
      </c>
      <c r="C1038" s="54">
        <v>91504</v>
      </c>
    </row>
    <row r="1039" spans="2:3">
      <c r="B1039" s="4" t="s">
        <v>568</v>
      </c>
      <c r="C1039" s="54">
        <v>96312</v>
      </c>
    </row>
    <row r="1040" spans="2:3">
      <c r="B1040" s="4" t="s">
        <v>560</v>
      </c>
      <c r="C1040" s="54">
        <v>96241</v>
      </c>
    </row>
    <row r="1041" spans="2:3">
      <c r="B1041" s="4" t="s">
        <v>434</v>
      </c>
      <c r="C1041" s="54">
        <v>94437</v>
      </c>
    </row>
    <row r="1042" spans="2:3">
      <c r="B1042" s="4" t="s">
        <v>433</v>
      </c>
      <c r="C1042" s="54">
        <v>94431</v>
      </c>
    </row>
    <row r="1043" spans="2:3">
      <c r="B1043" s="4" t="s">
        <v>189</v>
      </c>
      <c r="C1043" s="54">
        <v>91671</v>
      </c>
    </row>
    <row r="1044" spans="2:3">
      <c r="B1044" s="4" t="s">
        <v>101</v>
      </c>
      <c r="C1044" s="54">
        <v>91008</v>
      </c>
    </row>
    <row r="1045" spans="2:3">
      <c r="B1045" s="4" t="s">
        <v>593</v>
      </c>
      <c r="C1045" s="54">
        <v>96512</v>
      </c>
    </row>
    <row r="1046" spans="2:3">
      <c r="B1046" s="4" t="s">
        <v>590</v>
      </c>
      <c r="C1046" s="54">
        <v>96507</v>
      </c>
    </row>
    <row r="1047" spans="2:3">
      <c r="B1047" s="4" t="s">
        <v>595</v>
      </c>
      <c r="C1047" s="54">
        <v>96521</v>
      </c>
    </row>
    <row r="1048" spans="2:3">
      <c r="B1048" s="4" t="s">
        <v>110</v>
      </c>
      <c r="C1048" s="54">
        <v>91024</v>
      </c>
    </row>
    <row r="1049" spans="2:3">
      <c r="B1049" s="4" t="s">
        <v>622</v>
      </c>
      <c r="C1049" s="54">
        <v>96821</v>
      </c>
    </row>
    <row r="1050" spans="2:3">
      <c r="B1050" s="4" t="s">
        <v>179</v>
      </c>
      <c r="C1050" s="54">
        <v>91601</v>
      </c>
    </row>
    <row r="1051" spans="2:3">
      <c r="B1051" s="4" t="s">
        <v>180</v>
      </c>
      <c r="C1051" s="54">
        <v>91604</v>
      </c>
    </row>
    <row r="1052" spans="2:3">
      <c r="B1052" s="4" t="s">
        <v>576</v>
      </c>
      <c r="C1052" s="54">
        <v>96391</v>
      </c>
    </row>
    <row r="1053" spans="2:3">
      <c r="B1053" s="4" t="s">
        <v>830</v>
      </c>
      <c r="C1053" s="54">
        <v>99221</v>
      </c>
    </row>
    <row r="1054" spans="2:3">
      <c r="B1054" s="4" t="s">
        <v>116</v>
      </c>
      <c r="C1054" s="54">
        <v>91051</v>
      </c>
    </row>
    <row r="1055" spans="2:3">
      <c r="B1055" s="4" t="s">
        <v>192</v>
      </c>
      <c r="C1055" s="54">
        <v>91701</v>
      </c>
    </row>
    <row r="1056" spans="2:3">
      <c r="B1056" s="4" t="s">
        <v>193</v>
      </c>
      <c r="C1056" s="54">
        <v>91704</v>
      </c>
    </row>
    <row r="1057" spans="2:3">
      <c r="B1057" s="4" t="s">
        <v>2305</v>
      </c>
      <c r="C1057" s="54">
        <v>91706</v>
      </c>
    </row>
    <row r="1058" spans="2:3">
      <c r="B1058" s="4" t="s">
        <v>195</v>
      </c>
      <c r="C1058" s="54">
        <v>91801</v>
      </c>
    </row>
    <row r="1059" spans="2:3">
      <c r="B1059" s="4" t="s">
        <v>196</v>
      </c>
      <c r="C1059" s="54">
        <v>91804</v>
      </c>
    </row>
    <row r="1060" spans="2:3">
      <c r="B1060" s="4" t="s">
        <v>208</v>
      </c>
      <c r="C1060" s="54">
        <v>91881</v>
      </c>
    </row>
    <row r="1061" spans="2:3">
      <c r="B1061" s="4" t="s">
        <v>191</v>
      </c>
      <c r="C1061" s="54">
        <v>91691</v>
      </c>
    </row>
    <row r="1062" spans="2:3">
      <c r="B1062" s="4" t="s">
        <v>831</v>
      </c>
      <c r="C1062" s="54">
        <v>99222</v>
      </c>
    </row>
    <row r="1063" spans="2:3">
      <c r="B1063" s="4" t="s">
        <v>2306</v>
      </c>
      <c r="C1063" s="54">
        <v>93408</v>
      </c>
    </row>
    <row r="1064" spans="2:3">
      <c r="B1064" s="4" t="s">
        <v>541</v>
      </c>
      <c r="C1064" s="54">
        <v>96009</v>
      </c>
    </row>
    <row r="1065" spans="2:3">
      <c r="B1065" s="4" t="s">
        <v>244</v>
      </c>
      <c r="C1065" s="54">
        <v>92441</v>
      </c>
    </row>
    <row r="1066" spans="2:3">
      <c r="B1066" s="4" t="s">
        <v>621</v>
      </c>
      <c r="C1066" s="54">
        <v>96811</v>
      </c>
    </row>
    <row r="1067" spans="2:3">
      <c r="B1067" s="4" t="s">
        <v>537</v>
      </c>
      <c r="C1067" s="54">
        <v>96003</v>
      </c>
    </row>
    <row r="1068" spans="2:3">
      <c r="B1068" s="4" t="s">
        <v>543</v>
      </c>
      <c r="C1068" s="54">
        <v>96018</v>
      </c>
    </row>
    <row r="1069" spans="2:3">
      <c r="B1069" s="4" t="s">
        <v>2307</v>
      </c>
      <c r="C1069" s="54">
        <v>96012</v>
      </c>
    </row>
    <row r="1070" spans="2:3">
      <c r="B1070" s="4" t="s">
        <v>542</v>
      </c>
      <c r="C1070" s="54">
        <v>96011</v>
      </c>
    </row>
    <row r="1071" spans="2:3">
      <c r="B1071" s="4" t="s">
        <v>539</v>
      </c>
      <c r="C1071" s="54">
        <v>96005</v>
      </c>
    </row>
    <row r="1072" spans="2:3">
      <c r="B1072" s="4" t="s">
        <v>209</v>
      </c>
      <c r="C1072" s="54">
        <v>91901</v>
      </c>
    </row>
    <row r="1073" spans="2:3">
      <c r="B1073" s="4" t="s">
        <v>211</v>
      </c>
      <c r="C1073" s="54">
        <v>91904</v>
      </c>
    </row>
    <row r="1074" spans="2:3">
      <c r="B1074" s="4" t="s">
        <v>210</v>
      </c>
      <c r="C1074" s="54">
        <v>91903</v>
      </c>
    </row>
    <row r="1075" spans="2:3">
      <c r="B1075" s="4" t="s">
        <v>216</v>
      </c>
      <c r="C1075" s="54">
        <v>92001</v>
      </c>
    </row>
    <row r="1076" spans="2:3">
      <c r="B1076" s="4" t="s">
        <v>360</v>
      </c>
      <c r="C1076" s="54">
        <v>93647</v>
      </c>
    </row>
    <row r="1077" spans="2:3">
      <c r="B1077" s="4" t="s">
        <v>359</v>
      </c>
      <c r="C1077" s="54">
        <v>93641</v>
      </c>
    </row>
    <row r="1078" spans="2:3">
      <c r="B1078" s="4" t="s">
        <v>731</v>
      </c>
      <c r="C1078" s="54">
        <v>98041</v>
      </c>
    </row>
    <row r="1079" spans="2:3">
      <c r="B1079" s="4" t="s">
        <v>601</v>
      </c>
      <c r="C1079" s="54">
        <v>96612</v>
      </c>
    </row>
    <row r="1080" spans="2:3">
      <c r="B1080" s="4" t="s">
        <v>80</v>
      </c>
      <c r="C1080" s="54">
        <v>90751</v>
      </c>
    </row>
    <row r="1081" spans="2:3">
      <c r="B1081" s="4" t="s">
        <v>221</v>
      </c>
      <c r="C1081" s="54">
        <v>92101</v>
      </c>
    </row>
    <row r="1082" spans="2:3">
      <c r="B1082" s="4" t="s">
        <v>222</v>
      </c>
      <c r="C1082" s="54">
        <v>92104</v>
      </c>
    </row>
    <row r="1083" spans="2:3">
      <c r="B1083" s="4" t="s">
        <v>882</v>
      </c>
      <c r="C1083" s="54">
        <v>99818</v>
      </c>
    </row>
    <row r="1084" spans="2:3">
      <c r="B1084" s="4" t="s">
        <v>202</v>
      </c>
      <c r="C1084" s="54">
        <v>91821</v>
      </c>
    </row>
    <row r="1085" spans="2:3">
      <c r="B1085" s="4" t="s">
        <v>94</v>
      </c>
      <c r="C1085" s="54">
        <v>90931</v>
      </c>
    </row>
    <row r="1086" spans="2:3">
      <c r="B1086" s="4" t="s">
        <v>226</v>
      </c>
      <c r="C1086" s="54">
        <v>92201</v>
      </c>
    </row>
    <row r="1087" spans="2:3">
      <c r="B1087" s="4" t="s">
        <v>484</v>
      </c>
      <c r="C1087" s="54">
        <v>95131</v>
      </c>
    </row>
    <row r="1088" spans="2:3">
      <c r="B1088" s="4" t="s">
        <v>338</v>
      </c>
      <c r="C1088" s="54">
        <v>93442</v>
      </c>
    </row>
    <row r="1089" spans="2:3">
      <c r="B1089" s="4" t="s">
        <v>337</v>
      </c>
      <c r="C1089" s="54">
        <v>93441</v>
      </c>
    </row>
    <row r="1090" spans="2:3">
      <c r="B1090" s="4" t="s">
        <v>227</v>
      </c>
      <c r="C1090" s="54">
        <v>92301</v>
      </c>
    </row>
    <row r="1091" spans="2:3">
      <c r="B1091" s="4" t="s">
        <v>228</v>
      </c>
      <c r="C1091" s="54">
        <v>92302</v>
      </c>
    </row>
    <row r="1092" spans="2:3">
      <c r="B1092" s="4" t="s">
        <v>736</v>
      </c>
      <c r="C1092" s="54">
        <v>98091</v>
      </c>
    </row>
    <row r="1093" spans="2:3">
      <c r="B1093" s="4" t="s">
        <v>752</v>
      </c>
      <c r="C1093" s="54">
        <v>98218</v>
      </c>
    </row>
    <row r="1094" spans="2:3">
      <c r="B1094" s="4" t="s">
        <v>751</v>
      </c>
      <c r="C1094" s="54">
        <v>98211</v>
      </c>
    </row>
    <row r="1095" spans="2:3">
      <c r="B1095" s="4" t="s">
        <v>594</v>
      </c>
      <c r="C1095" s="54">
        <v>96519</v>
      </c>
    </row>
    <row r="1096" spans="2:3">
      <c r="B1096" s="4" t="s">
        <v>253</v>
      </c>
      <c r="C1096" s="54">
        <v>92508</v>
      </c>
    </row>
    <row r="1097" spans="2:3">
      <c r="B1097" s="4" t="s">
        <v>422</v>
      </c>
      <c r="C1097" s="54">
        <v>94341</v>
      </c>
    </row>
    <row r="1098" spans="2:3">
      <c r="B1098" s="4" t="s">
        <v>452</v>
      </c>
      <c r="C1098" s="54">
        <v>94641</v>
      </c>
    </row>
    <row r="1099" spans="2:3">
      <c r="B1099" s="4" t="s">
        <v>87</v>
      </c>
      <c r="C1099" s="54">
        <v>90813</v>
      </c>
    </row>
    <row r="1100" spans="2:3">
      <c r="B1100" s="4" t="s">
        <v>403</v>
      </c>
      <c r="C1100" s="54">
        <v>94168</v>
      </c>
    </row>
    <row r="1101" spans="2:3">
      <c r="B1101" s="4" t="s">
        <v>798</v>
      </c>
      <c r="C1101" s="54">
        <v>98911</v>
      </c>
    </row>
    <row r="1102" spans="2:3">
      <c r="B1102" s="4" t="s">
        <v>236</v>
      </c>
      <c r="C1102" s="54">
        <v>92401</v>
      </c>
    </row>
    <row r="1103" spans="2:3">
      <c r="B1103" s="4" t="s">
        <v>671</v>
      </c>
      <c r="C1103" s="54">
        <v>97521</v>
      </c>
    </row>
    <row r="1104" spans="2:3">
      <c r="B1104" s="4" t="s">
        <v>162</v>
      </c>
      <c r="C1104" s="54">
        <v>91317</v>
      </c>
    </row>
    <row r="1105" spans="2:3">
      <c r="B1105" s="4" t="s">
        <v>161</v>
      </c>
      <c r="C1105" s="54">
        <v>91311</v>
      </c>
    </row>
    <row r="1106" spans="2:3">
      <c r="B1106" s="4" t="s">
        <v>156</v>
      </c>
      <c r="C1106" s="54">
        <v>91261</v>
      </c>
    </row>
    <row r="1107" spans="2:3">
      <c r="B1107" s="4" t="s">
        <v>205</v>
      </c>
      <c r="C1107" s="54">
        <v>91851</v>
      </c>
    </row>
    <row r="1108" spans="2:3">
      <c r="B1108" s="4" t="s">
        <v>2308</v>
      </c>
      <c r="C1108" s="54">
        <v>97408</v>
      </c>
    </row>
    <row r="1109" spans="2:3">
      <c r="B1109" s="4" t="s">
        <v>604</v>
      </c>
      <c r="C1109" s="54">
        <v>96641</v>
      </c>
    </row>
    <row r="1110" spans="2:3">
      <c r="B1110" s="4" t="s">
        <v>297</v>
      </c>
      <c r="C1110" s="54">
        <v>93027</v>
      </c>
    </row>
    <row r="1111" spans="2:3">
      <c r="B1111" s="4" t="s">
        <v>298</v>
      </c>
      <c r="C1111" s="54">
        <v>93031</v>
      </c>
    </row>
    <row r="1112" spans="2:3">
      <c r="B1112" s="4" t="s">
        <v>547</v>
      </c>
      <c r="C1112" s="54">
        <v>96051</v>
      </c>
    </row>
    <row r="1113" spans="2:3">
      <c r="B1113" s="4" t="s">
        <v>260</v>
      </c>
      <c r="C1113" s="54">
        <v>92571</v>
      </c>
    </row>
    <row r="1114" spans="2:3">
      <c r="B1114" s="4" t="s">
        <v>358</v>
      </c>
      <c r="C1114" s="54">
        <v>93631</v>
      </c>
    </row>
    <row r="1115" spans="2:3">
      <c r="B1115" s="4" t="s">
        <v>247</v>
      </c>
      <c r="C1115" s="54">
        <v>92501</v>
      </c>
    </row>
    <row r="1116" spans="2:3">
      <c r="B1116" s="4" t="s">
        <v>249</v>
      </c>
      <c r="C1116" s="54">
        <v>92504</v>
      </c>
    </row>
    <row r="1117" spans="2:3">
      <c r="B1117" s="4" t="s">
        <v>251</v>
      </c>
      <c r="C1117" s="54">
        <v>92506</v>
      </c>
    </row>
    <row r="1118" spans="2:3">
      <c r="B1118" s="4" t="s">
        <v>250</v>
      </c>
      <c r="C1118" s="54">
        <v>92505</v>
      </c>
    </row>
    <row r="1119" spans="2:3">
      <c r="B1119" s="4" t="s">
        <v>380</v>
      </c>
      <c r="C1119" s="54">
        <v>93921</v>
      </c>
    </row>
    <row r="1120" spans="2:3">
      <c r="B1120" s="4" t="s">
        <v>850</v>
      </c>
      <c r="C1120" s="54">
        <v>99431</v>
      </c>
    </row>
    <row r="1121" spans="2:3">
      <c r="B1121" s="4" t="s">
        <v>261</v>
      </c>
      <c r="C1121" s="54">
        <v>92601</v>
      </c>
    </row>
    <row r="1122" spans="2:3">
      <c r="B1122" s="4" t="s">
        <v>263</v>
      </c>
      <c r="C1122" s="54">
        <v>92604</v>
      </c>
    </row>
    <row r="1123" spans="2:3">
      <c r="B1123" s="4" t="s">
        <v>264</v>
      </c>
      <c r="C1123" s="54">
        <v>92608</v>
      </c>
    </row>
    <row r="1124" spans="2:3">
      <c r="B1124" s="4" t="s">
        <v>275</v>
      </c>
      <c r="C1124" s="54">
        <v>92701</v>
      </c>
    </row>
    <row r="1125" spans="2:3">
      <c r="B1125" s="4" t="s">
        <v>276</v>
      </c>
      <c r="C1125" s="54">
        <v>92704</v>
      </c>
    </row>
    <row r="1126" spans="2:3">
      <c r="B1126" s="4" t="s">
        <v>361</v>
      </c>
      <c r="C1126" s="54">
        <v>93651</v>
      </c>
    </row>
    <row r="1127" spans="2:3">
      <c r="B1127" s="4" t="s">
        <v>277</v>
      </c>
      <c r="C1127" s="54">
        <v>92801</v>
      </c>
    </row>
    <row r="1128" spans="2:3">
      <c r="B1128" s="4" t="s">
        <v>279</v>
      </c>
      <c r="C1128" s="54">
        <v>92804</v>
      </c>
    </row>
    <row r="1129" spans="2:3">
      <c r="B1129" s="4" t="s">
        <v>278</v>
      </c>
      <c r="C1129" s="54">
        <v>92802</v>
      </c>
    </row>
    <row r="1130" spans="2:3">
      <c r="B1130" s="4" t="s">
        <v>286</v>
      </c>
      <c r="C1130" s="54">
        <v>92901</v>
      </c>
    </row>
    <row r="1131" spans="2:3">
      <c r="B1131" s="4" t="s">
        <v>550</v>
      </c>
      <c r="C1131" s="54">
        <v>96081</v>
      </c>
    </row>
    <row r="1132" spans="2:3">
      <c r="B1132" s="4" t="s">
        <v>293</v>
      </c>
      <c r="C1132" s="54">
        <v>93001</v>
      </c>
    </row>
    <row r="1133" spans="2:3">
      <c r="B1133" s="4" t="s">
        <v>294</v>
      </c>
      <c r="C1133" s="54">
        <v>93009</v>
      </c>
    </row>
    <row r="1134" spans="2:3">
      <c r="B1134" s="4" t="s">
        <v>290</v>
      </c>
      <c r="C1134" s="54">
        <v>92921</v>
      </c>
    </row>
    <row r="1135" spans="2:3">
      <c r="B1135" s="4" t="s">
        <v>785</v>
      </c>
      <c r="C1135" s="54">
        <v>98627</v>
      </c>
    </row>
    <row r="1136" spans="2:3">
      <c r="B1136" s="4" t="s">
        <v>784</v>
      </c>
      <c r="C1136" s="54">
        <v>98621</v>
      </c>
    </row>
    <row r="1137" spans="2:3">
      <c r="B1137" s="4" t="s">
        <v>151</v>
      </c>
      <c r="C1137" s="54">
        <v>91221</v>
      </c>
    </row>
    <row r="1138" spans="2:3">
      <c r="B1138" s="4" t="s">
        <v>285</v>
      </c>
      <c r="C1138" s="54">
        <v>92861</v>
      </c>
    </row>
    <row r="1139" spans="2:3">
      <c r="B1139" s="4" t="s">
        <v>419</v>
      </c>
      <c r="C1139" s="54">
        <v>94317</v>
      </c>
    </row>
    <row r="1140" spans="2:3">
      <c r="B1140" s="4" t="s">
        <v>418</v>
      </c>
      <c r="C1140" s="54">
        <v>94313</v>
      </c>
    </row>
    <row r="1141" spans="2:3">
      <c r="B1141" s="4" t="s">
        <v>417</v>
      </c>
      <c r="C1141" s="54">
        <v>94311</v>
      </c>
    </row>
    <row r="1142" spans="2:3">
      <c r="B1142" s="4" t="s">
        <v>299</v>
      </c>
      <c r="C1142" s="54">
        <v>93101</v>
      </c>
    </row>
    <row r="1143" spans="2:3">
      <c r="B1143" s="4" t="s">
        <v>924</v>
      </c>
      <c r="C1143" s="54">
        <v>93103</v>
      </c>
    </row>
    <row r="1144" spans="2:3">
      <c r="B1144" s="4" t="s">
        <v>317</v>
      </c>
      <c r="C1144" s="54">
        <v>93212</v>
      </c>
    </row>
    <row r="1145" spans="2:3">
      <c r="B1145" s="4" t="s">
        <v>312</v>
      </c>
      <c r="C1145" s="54">
        <v>93201</v>
      </c>
    </row>
    <row r="1146" spans="2:3">
      <c r="B1146" s="4" t="s">
        <v>314</v>
      </c>
      <c r="C1146" s="54">
        <v>93204</v>
      </c>
    </row>
    <row r="1147" spans="2:3">
      <c r="B1147" s="4" t="s">
        <v>827</v>
      </c>
      <c r="C1147" s="54">
        <v>99212</v>
      </c>
    </row>
    <row r="1148" spans="2:3">
      <c r="B1148" s="4" t="s">
        <v>316</v>
      </c>
      <c r="C1148" s="54">
        <v>93211</v>
      </c>
    </row>
    <row r="1149" spans="2:3">
      <c r="B1149" s="4" t="s">
        <v>631</v>
      </c>
      <c r="C1149" s="54">
        <v>97005</v>
      </c>
    </row>
    <row r="1150" spans="2:3">
      <c r="B1150" s="4" t="s">
        <v>890</v>
      </c>
      <c r="C1150" s="54">
        <v>99931</v>
      </c>
    </row>
    <row r="1151" spans="2:3">
      <c r="B1151" s="4" t="s">
        <v>2309</v>
      </c>
      <c r="C1151" s="54">
        <v>92509</v>
      </c>
    </row>
    <row r="1152" spans="2:3">
      <c r="B1152" s="4" t="s">
        <v>729</v>
      </c>
      <c r="C1152" s="54">
        <v>98023</v>
      </c>
    </row>
    <row r="1153" spans="2:3">
      <c r="B1153" s="4" t="s">
        <v>728</v>
      </c>
      <c r="C1153" s="54">
        <v>98021</v>
      </c>
    </row>
    <row r="1154" spans="2:3">
      <c r="B1154" s="4" t="s">
        <v>26</v>
      </c>
      <c r="C1154" s="54">
        <v>70505</v>
      </c>
    </row>
    <row r="1155" spans="2:3">
      <c r="B1155" s="4" t="s">
        <v>861</v>
      </c>
      <c r="C1155" s="54">
        <v>99603</v>
      </c>
    </row>
    <row r="1156" spans="2:3">
      <c r="B1156" s="4" t="s">
        <v>864</v>
      </c>
      <c r="C1156" s="54">
        <v>99610</v>
      </c>
    </row>
    <row r="1157" spans="2:3">
      <c r="B1157" s="4" t="s">
        <v>274</v>
      </c>
      <c r="C1157" s="54">
        <v>92681</v>
      </c>
    </row>
    <row r="1158" spans="2:3">
      <c r="B1158" s="4" t="s">
        <v>2310</v>
      </c>
      <c r="C1158" s="54">
        <v>93108</v>
      </c>
    </row>
    <row r="1159" spans="2:3">
      <c r="B1159" s="4" t="s">
        <v>721</v>
      </c>
      <c r="C1159" s="54">
        <v>97957</v>
      </c>
    </row>
    <row r="1160" spans="2:3">
      <c r="B1160" s="4" t="s">
        <v>720</v>
      </c>
      <c r="C1160" s="54">
        <v>97951</v>
      </c>
    </row>
    <row r="1161" spans="2:3">
      <c r="B1161" s="4" t="s">
        <v>224</v>
      </c>
      <c r="C1161" s="54">
        <v>92111</v>
      </c>
    </row>
    <row r="1162" spans="2:3">
      <c r="B1162" s="4" t="s">
        <v>319</v>
      </c>
      <c r="C1162" s="54">
        <v>93301</v>
      </c>
    </row>
    <row r="1163" spans="2:3">
      <c r="B1163" s="4" t="s">
        <v>320</v>
      </c>
      <c r="C1163" s="54">
        <v>93304</v>
      </c>
    </row>
    <row r="1164" spans="2:3">
      <c r="B1164" s="4" t="s">
        <v>321</v>
      </c>
      <c r="C1164" s="54">
        <v>93305</v>
      </c>
    </row>
    <row r="1165" spans="2:3">
      <c r="B1165" s="4" t="s">
        <v>825</v>
      </c>
      <c r="C1165" s="54">
        <v>99210</v>
      </c>
    </row>
    <row r="1166" spans="2:3">
      <c r="B1166" s="4" t="s">
        <v>634</v>
      </c>
      <c r="C1166" s="54">
        <v>97011</v>
      </c>
    </row>
    <row r="1167" spans="2:3">
      <c r="B1167" s="4" t="s">
        <v>636</v>
      </c>
      <c r="C1167" s="54">
        <v>97013</v>
      </c>
    </row>
    <row r="1168" spans="2:3">
      <c r="B1168" s="4" t="s">
        <v>635</v>
      </c>
      <c r="C1168" s="54">
        <v>97012</v>
      </c>
    </row>
    <row r="1169" spans="2:3">
      <c r="B1169" s="4" t="s">
        <v>638</v>
      </c>
      <c r="C1169" s="54">
        <v>97018</v>
      </c>
    </row>
    <row r="1170" spans="2:3">
      <c r="B1170" s="4" t="s">
        <v>91</v>
      </c>
      <c r="C1170" s="54">
        <v>90917</v>
      </c>
    </row>
    <row r="1171" spans="2:3">
      <c r="B1171" s="4" t="s">
        <v>90</v>
      </c>
      <c r="C1171" s="54">
        <v>90911</v>
      </c>
    </row>
    <row r="1172" spans="2:3">
      <c r="B1172" s="4" t="s">
        <v>71</v>
      </c>
      <c r="C1172" s="54">
        <v>90641</v>
      </c>
    </row>
    <row r="1173" spans="2:3">
      <c r="B1173" s="4" t="s">
        <v>789</v>
      </c>
      <c r="C1173" s="54">
        <v>98647</v>
      </c>
    </row>
    <row r="1174" spans="2:3">
      <c r="B1174" s="4" t="s">
        <v>788</v>
      </c>
      <c r="C1174" s="54">
        <v>98641</v>
      </c>
    </row>
    <row r="1175" spans="2:3">
      <c r="B1175" s="4" t="s">
        <v>748</v>
      </c>
      <c r="C1175" s="54">
        <v>98161</v>
      </c>
    </row>
    <row r="1176" spans="2:3">
      <c r="B1176" s="4" t="s">
        <v>692</v>
      </c>
      <c r="C1176" s="54">
        <v>97731</v>
      </c>
    </row>
    <row r="1177" spans="2:3">
      <c r="B1177" s="4" t="s">
        <v>886</v>
      </c>
      <c r="C1177" s="54">
        <v>99851</v>
      </c>
    </row>
    <row r="1178" spans="2:3">
      <c r="B1178" s="4" t="s">
        <v>40</v>
      </c>
      <c r="C1178" s="54">
        <v>90131</v>
      </c>
    </row>
    <row r="1179" spans="2:3">
      <c r="B1179" s="4" t="s">
        <v>187</v>
      </c>
      <c r="C1179" s="54">
        <v>91651</v>
      </c>
    </row>
    <row r="1180" spans="2:3">
      <c r="B1180" s="4" t="s">
        <v>410</v>
      </c>
      <c r="C1180" s="54">
        <v>94211</v>
      </c>
    </row>
    <row r="1181" spans="2:3">
      <c r="B1181" s="4" t="s">
        <v>421</v>
      </c>
      <c r="C1181" s="54">
        <v>94331</v>
      </c>
    </row>
    <row r="1182" spans="2:3">
      <c r="B1182" s="4" t="s">
        <v>243</v>
      </c>
      <c r="C1182" s="54">
        <v>92431</v>
      </c>
    </row>
    <row r="1183" spans="2:3">
      <c r="B1183" s="4" t="s">
        <v>701</v>
      </c>
      <c r="C1183" s="54">
        <v>97823</v>
      </c>
    </row>
    <row r="1184" spans="2:3">
      <c r="B1184" s="4" t="s">
        <v>700</v>
      </c>
      <c r="C1184" s="54">
        <v>97821</v>
      </c>
    </row>
    <row r="1185" spans="2:3">
      <c r="B1185" s="4" t="s">
        <v>305</v>
      </c>
      <c r="C1185" s="54">
        <v>93141</v>
      </c>
    </row>
    <row r="1186" spans="2:3">
      <c r="B1186" s="4" t="s">
        <v>735</v>
      </c>
      <c r="C1186" s="54">
        <v>98081</v>
      </c>
    </row>
    <row r="1187" spans="2:3">
      <c r="B1187" s="4" t="s">
        <v>273</v>
      </c>
      <c r="C1187" s="54">
        <v>92671</v>
      </c>
    </row>
    <row r="1188" spans="2:3">
      <c r="B1188" s="4" t="s">
        <v>660</v>
      </c>
      <c r="C1188" s="54">
        <v>97423</v>
      </c>
    </row>
    <row r="1189" spans="2:3">
      <c r="B1189" s="4" t="s">
        <v>659</v>
      </c>
      <c r="C1189" s="54">
        <v>97421</v>
      </c>
    </row>
    <row r="1190" spans="2:3">
      <c r="B1190" s="4" t="s">
        <v>266</v>
      </c>
      <c r="C1190" s="54">
        <v>92613</v>
      </c>
    </row>
    <row r="1191" spans="2:3">
      <c r="B1191" s="4" t="s">
        <v>267</v>
      </c>
      <c r="C1191" s="54">
        <v>92614</v>
      </c>
    </row>
    <row r="1192" spans="2:3">
      <c r="B1192" s="4" t="s">
        <v>265</v>
      </c>
      <c r="C1192" s="54">
        <v>92611</v>
      </c>
    </row>
    <row r="1193" spans="2:3">
      <c r="B1193" s="4" t="s">
        <v>248</v>
      </c>
      <c r="C1193" s="54">
        <v>92502</v>
      </c>
    </row>
    <row r="1194" spans="2:3">
      <c r="B1194" s="4" t="s">
        <v>441</v>
      </c>
      <c r="C1194" s="54">
        <v>94531</v>
      </c>
    </row>
    <row r="1195" spans="2:3">
      <c r="B1195" s="4" t="s">
        <v>444</v>
      </c>
      <c r="C1195" s="54">
        <v>94547</v>
      </c>
    </row>
    <row r="1196" spans="2:3">
      <c r="B1196" s="4" t="s">
        <v>443</v>
      </c>
      <c r="C1196" s="54">
        <v>94541</v>
      </c>
    </row>
    <row r="1197" spans="2:3">
      <c r="B1197" s="4" t="s">
        <v>470</v>
      </c>
      <c r="C1197" s="54">
        <v>95005</v>
      </c>
    </row>
    <row r="1198" spans="2:3">
      <c r="B1198" s="4" t="s">
        <v>742</v>
      </c>
      <c r="C1198" s="54">
        <v>98111</v>
      </c>
    </row>
    <row r="1199" spans="2:3">
      <c r="B1199" s="4" t="s">
        <v>740</v>
      </c>
      <c r="C1199" s="54">
        <v>98107</v>
      </c>
    </row>
    <row r="1200" spans="2:3">
      <c r="B1200" s="4" t="s">
        <v>743</v>
      </c>
      <c r="C1200" s="54">
        <v>98113</v>
      </c>
    </row>
    <row r="1201" spans="2:3">
      <c r="B1201" s="4" t="s">
        <v>860</v>
      </c>
      <c r="C1201" s="54">
        <v>99602</v>
      </c>
    </row>
    <row r="1202" spans="2:3">
      <c r="B1202" s="4" t="s">
        <v>330</v>
      </c>
      <c r="C1202" s="54">
        <v>93401</v>
      </c>
    </row>
    <row r="1203" spans="2:3">
      <c r="B1203" s="4" t="s">
        <v>668</v>
      </c>
      <c r="C1203" s="54">
        <v>97491</v>
      </c>
    </row>
    <row r="1204" spans="2:3">
      <c r="B1204" s="4" t="s">
        <v>486</v>
      </c>
      <c r="C1204" s="54">
        <v>95151</v>
      </c>
    </row>
    <row r="1205" spans="2:3">
      <c r="B1205" s="4" t="s">
        <v>575</v>
      </c>
      <c r="C1205" s="54">
        <v>96381</v>
      </c>
    </row>
    <row r="1206" spans="2:3">
      <c r="B1206" s="4" t="s">
        <v>342</v>
      </c>
      <c r="C1206" s="54">
        <v>93501</v>
      </c>
    </row>
    <row r="1207" spans="2:3">
      <c r="B1207" s="4" t="s">
        <v>515</v>
      </c>
      <c r="C1207" s="54">
        <v>95611</v>
      </c>
    </row>
    <row r="1208" spans="2:3">
      <c r="B1208" s="4" t="s">
        <v>344</v>
      </c>
      <c r="C1208" s="54">
        <v>93517</v>
      </c>
    </row>
    <row r="1209" spans="2:3">
      <c r="B1209" s="4" t="s">
        <v>343</v>
      </c>
      <c r="C1209" s="54">
        <v>93511</v>
      </c>
    </row>
    <row r="1210" spans="2:3">
      <c r="B1210" s="4" t="s">
        <v>868</v>
      </c>
      <c r="C1210" s="54">
        <v>99631</v>
      </c>
    </row>
    <row r="1211" spans="2:3">
      <c r="B1211" s="4" t="s">
        <v>836</v>
      </c>
      <c r="C1211" s="54">
        <v>99261</v>
      </c>
    </row>
    <row r="1212" spans="2:3">
      <c r="B1212" s="4" t="s">
        <v>756</v>
      </c>
      <c r="C1212" s="54">
        <v>98241</v>
      </c>
    </row>
    <row r="1213" spans="2:3">
      <c r="B1213" s="4" t="s">
        <v>835</v>
      </c>
      <c r="C1213" s="54">
        <v>99252</v>
      </c>
    </row>
    <row r="1214" spans="2:3">
      <c r="B1214" s="4" t="s">
        <v>834</v>
      </c>
      <c r="C1214" s="54">
        <v>99251</v>
      </c>
    </row>
    <row r="1215" spans="2:3">
      <c r="B1215" s="4" t="s">
        <v>603</v>
      </c>
      <c r="C1215" s="54">
        <v>96631</v>
      </c>
    </row>
    <row r="1216" spans="2:3">
      <c r="B1216" s="4" t="s">
        <v>355</v>
      </c>
      <c r="C1216" s="54">
        <v>93618</v>
      </c>
    </row>
    <row r="1217" spans="2:3">
      <c r="B1217" s="4" t="s">
        <v>350</v>
      </c>
      <c r="C1217" s="54">
        <v>93601</v>
      </c>
    </row>
    <row r="1218" spans="2:3">
      <c r="B1218" s="4" t="s">
        <v>605</v>
      </c>
      <c r="C1218" s="54">
        <v>96651</v>
      </c>
    </row>
    <row r="1219" spans="2:3">
      <c r="B1219" s="4" t="s">
        <v>354</v>
      </c>
      <c r="C1219" s="54">
        <v>93617</v>
      </c>
    </row>
    <row r="1220" spans="2:3">
      <c r="B1220" s="4" t="s">
        <v>353</v>
      </c>
      <c r="C1220" s="54">
        <v>93611</v>
      </c>
    </row>
    <row r="1221" spans="2:3">
      <c r="B1221" s="4" t="s">
        <v>367</v>
      </c>
      <c r="C1221" s="54">
        <v>93701</v>
      </c>
    </row>
    <row r="1222" spans="2:3">
      <c r="B1222" s="4" t="s">
        <v>368</v>
      </c>
      <c r="C1222" s="54">
        <v>93704</v>
      </c>
    </row>
    <row r="1223" spans="2:3">
      <c r="B1223" s="4" t="s">
        <v>766</v>
      </c>
      <c r="C1223" s="54">
        <v>98331</v>
      </c>
    </row>
    <row r="1224" spans="2:3">
      <c r="B1224" s="4" t="s">
        <v>401</v>
      </c>
      <c r="C1224" s="54">
        <v>94157</v>
      </c>
    </row>
    <row r="1225" spans="2:3">
      <c r="B1225" s="4" t="s">
        <v>400</v>
      </c>
      <c r="C1225" s="54">
        <v>94151</v>
      </c>
    </row>
    <row r="1226" spans="2:3">
      <c r="B1226" s="4" t="s">
        <v>154</v>
      </c>
      <c r="C1226" s="54">
        <v>91241</v>
      </c>
    </row>
    <row r="1227" spans="2:3">
      <c r="B1227" s="4" t="s">
        <v>504</v>
      </c>
      <c r="C1227" s="54">
        <v>95412</v>
      </c>
    </row>
    <row r="1228" spans="2:3">
      <c r="B1228" s="4" t="s">
        <v>2311</v>
      </c>
      <c r="C1228" s="54">
        <v>99613</v>
      </c>
    </row>
    <row r="1229" spans="2:3">
      <c r="B1229" s="4" t="s">
        <v>865</v>
      </c>
      <c r="C1229" s="54">
        <v>99611</v>
      </c>
    </row>
    <row r="1230" spans="2:3">
      <c r="B1230" s="4" t="s">
        <v>212</v>
      </c>
      <c r="C1230" s="54">
        <v>91908</v>
      </c>
    </row>
    <row r="1231" spans="2:3">
      <c r="B1231" s="4" t="s">
        <v>369</v>
      </c>
      <c r="C1231" s="54">
        <v>93801</v>
      </c>
    </row>
    <row r="1232" spans="2:3">
      <c r="B1232" s="4" t="s">
        <v>2312</v>
      </c>
      <c r="C1232" s="54">
        <v>93806</v>
      </c>
    </row>
    <row r="1233" spans="2:3">
      <c r="B1233" s="4" t="s">
        <v>370</v>
      </c>
      <c r="C1233" s="54">
        <v>93803</v>
      </c>
    </row>
    <row r="1234" spans="2:3">
      <c r="B1234" s="4" t="s">
        <v>39</v>
      </c>
      <c r="C1234" s="54">
        <v>90121</v>
      </c>
    </row>
    <row r="1235" spans="2:3">
      <c r="B1235" s="4" t="s">
        <v>169</v>
      </c>
      <c r="C1235" s="54">
        <v>91417</v>
      </c>
    </row>
    <row r="1236" spans="2:3">
      <c r="B1236" s="4" t="s">
        <v>168</v>
      </c>
      <c r="C1236" s="54">
        <v>91411</v>
      </c>
    </row>
    <row r="1237" spans="2:3">
      <c r="B1237" s="4" t="s">
        <v>733</v>
      </c>
      <c r="C1237" s="54">
        <v>98061</v>
      </c>
    </row>
    <row r="1238" spans="2:3">
      <c r="B1238" s="4" t="s">
        <v>372</v>
      </c>
      <c r="C1238" s="54">
        <v>93901</v>
      </c>
    </row>
    <row r="1239" spans="2:3">
      <c r="B1239" s="4" t="s">
        <v>373</v>
      </c>
      <c r="C1239" s="54">
        <v>93904</v>
      </c>
    </row>
    <row r="1240" spans="2:3">
      <c r="B1240" s="4" t="s">
        <v>374</v>
      </c>
      <c r="C1240" s="54">
        <v>93906</v>
      </c>
    </row>
    <row r="1241" spans="2:3">
      <c r="B1241" s="4" t="s">
        <v>375</v>
      </c>
      <c r="C1241" s="54">
        <v>93908</v>
      </c>
    </row>
    <row r="1242" spans="2:3">
      <c r="B1242" s="4" t="s">
        <v>460</v>
      </c>
      <c r="C1242" s="54">
        <v>94908</v>
      </c>
    </row>
    <row r="1243" spans="2:3">
      <c r="B1243" s="4" t="s">
        <v>43</v>
      </c>
      <c r="C1243" s="54">
        <v>90161</v>
      </c>
    </row>
    <row r="1244" spans="2:3">
      <c r="B1244" s="4" t="s">
        <v>382</v>
      </c>
      <c r="C1244" s="54">
        <v>94001</v>
      </c>
    </row>
    <row r="1245" spans="2:3">
      <c r="B1245" s="4" t="s">
        <v>384</v>
      </c>
      <c r="C1245" s="54">
        <v>94004</v>
      </c>
    </row>
    <row r="1246" spans="2:3">
      <c r="B1246" s="4" t="s">
        <v>395</v>
      </c>
      <c r="C1246" s="54">
        <v>94117</v>
      </c>
    </row>
    <row r="1247" spans="2:3">
      <c r="B1247" s="4" t="s">
        <v>393</v>
      </c>
      <c r="C1247" s="54">
        <v>94111</v>
      </c>
    </row>
    <row r="1248" spans="2:3">
      <c r="B1248" s="4" t="s">
        <v>658</v>
      </c>
      <c r="C1248" s="54">
        <v>97413</v>
      </c>
    </row>
    <row r="1249" spans="2:3">
      <c r="B1249" s="4" t="s">
        <v>657</v>
      </c>
      <c r="C1249" s="54">
        <v>97412</v>
      </c>
    </row>
    <row r="1250" spans="2:3">
      <c r="B1250" s="4" t="s">
        <v>656</v>
      </c>
      <c r="C1250" s="54">
        <v>97411</v>
      </c>
    </row>
    <row r="1251" spans="2:3">
      <c r="B1251" s="4" t="s">
        <v>661</v>
      </c>
      <c r="C1251" s="54">
        <v>97431</v>
      </c>
    </row>
    <row r="1252" spans="2:3">
      <c r="B1252" s="4" t="s">
        <v>666</v>
      </c>
      <c r="C1252" s="54">
        <v>97471</v>
      </c>
    </row>
    <row r="1253" spans="2:3">
      <c r="B1253" s="4" t="s">
        <v>235</v>
      </c>
      <c r="C1253" s="54">
        <v>92351</v>
      </c>
    </row>
    <row r="1254" spans="2:3">
      <c r="B1254" s="4" t="s">
        <v>396</v>
      </c>
      <c r="C1254" s="54">
        <v>94118</v>
      </c>
    </row>
    <row r="1255" spans="2:3">
      <c r="B1255" s="4" t="s">
        <v>389</v>
      </c>
      <c r="C1255" s="54">
        <v>94101</v>
      </c>
    </row>
    <row r="1256" spans="2:3">
      <c r="B1256" s="4" t="s">
        <v>390</v>
      </c>
      <c r="C1256" s="54">
        <v>94102</v>
      </c>
    </row>
    <row r="1257" spans="2:3">
      <c r="B1257" s="4" t="s">
        <v>406</v>
      </c>
      <c r="C1257" s="54">
        <v>94201</v>
      </c>
    </row>
    <row r="1258" spans="2:3">
      <c r="B1258" s="4" t="s">
        <v>407</v>
      </c>
      <c r="C1258" s="54">
        <v>94204</v>
      </c>
    </row>
    <row r="1259" spans="2:3">
      <c r="B1259" s="4" t="s">
        <v>408</v>
      </c>
      <c r="C1259" s="54">
        <v>94205</v>
      </c>
    </row>
    <row r="1260" spans="2:3">
      <c r="B1260" s="4" t="s">
        <v>528</v>
      </c>
      <c r="C1260" s="54">
        <v>95831</v>
      </c>
    </row>
    <row r="1261" spans="2:3">
      <c r="B1261" s="4" t="s">
        <v>689</v>
      </c>
      <c r="C1261" s="54">
        <v>97717</v>
      </c>
    </row>
    <row r="1262" spans="2:3">
      <c r="B1262" s="4" t="s">
        <v>690</v>
      </c>
      <c r="C1262" s="54">
        <v>97721</v>
      </c>
    </row>
    <row r="1263" spans="2:3">
      <c r="B1263" s="4" t="s">
        <v>416</v>
      </c>
      <c r="C1263" s="54">
        <v>94301</v>
      </c>
    </row>
    <row r="1264" spans="2:3">
      <c r="B1264" s="4" t="s">
        <v>173</v>
      </c>
      <c r="C1264" s="54">
        <v>91441</v>
      </c>
    </row>
    <row r="1265" spans="2:3">
      <c r="B1265" s="4" t="s">
        <v>256</v>
      </c>
      <c r="C1265" s="54">
        <v>92531</v>
      </c>
    </row>
    <row r="1266" spans="2:3">
      <c r="B1266" s="4" t="s">
        <v>41</v>
      </c>
      <c r="C1266" s="54">
        <v>90141</v>
      </c>
    </row>
    <row r="1267" spans="2:3">
      <c r="B1267" s="4" t="s">
        <v>425</v>
      </c>
      <c r="C1267" s="54">
        <v>94401</v>
      </c>
    </row>
    <row r="1268" spans="2:3">
      <c r="B1268" s="4" t="s">
        <v>426</v>
      </c>
      <c r="C1268" s="54">
        <v>94402</v>
      </c>
    </row>
    <row r="1269" spans="2:3">
      <c r="B1269" s="4" t="s">
        <v>435</v>
      </c>
      <c r="C1269" s="54">
        <v>94501</v>
      </c>
    </row>
    <row r="1270" spans="2:3">
      <c r="B1270" s="4" t="s">
        <v>817</v>
      </c>
      <c r="C1270" s="54">
        <v>99111</v>
      </c>
    </row>
    <row r="1271" spans="2:3">
      <c r="B1271" s="4" t="s">
        <v>438</v>
      </c>
      <c r="C1271" s="54">
        <v>94517</v>
      </c>
    </row>
    <row r="1272" spans="2:3">
      <c r="B1272" s="4" t="s">
        <v>437</v>
      </c>
      <c r="C1272" s="54">
        <v>94512</v>
      </c>
    </row>
    <row r="1273" spans="2:3">
      <c r="B1273" s="4" t="s">
        <v>436</v>
      </c>
      <c r="C1273" s="54">
        <v>94511</v>
      </c>
    </row>
    <row r="1274" spans="2:3">
      <c r="B1274" s="4" t="s">
        <v>647</v>
      </c>
      <c r="C1274" s="54">
        <v>97217</v>
      </c>
    </row>
    <row r="1275" spans="2:3">
      <c r="B1275" s="4" t="s">
        <v>446</v>
      </c>
      <c r="C1275" s="54">
        <v>94601</v>
      </c>
    </row>
    <row r="1276" spans="2:3">
      <c r="B1276" s="4" t="s">
        <v>447</v>
      </c>
      <c r="C1276" s="54">
        <v>94604</v>
      </c>
    </row>
    <row r="1277" spans="2:3">
      <c r="B1277" s="4" t="s">
        <v>448</v>
      </c>
      <c r="C1277" s="54">
        <v>94606</v>
      </c>
    </row>
    <row r="1278" spans="2:3">
      <c r="B1278" s="4" t="s">
        <v>646</v>
      </c>
      <c r="C1278" s="54">
        <v>97213</v>
      </c>
    </row>
    <row r="1279" spans="2:3">
      <c r="B1279" s="4" t="s">
        <v>645</v>
      </c>
      <c r="C1279" s="54">
        <v>97211</v>
      </c>
    </row>
    <row r="1280" spans="2:3">
      <c r="B1280" s="4" t="s">
        <v>199</v>
      </c>
      <c r="C1280" s="54">
        <v>91813</v>
      </c>
    </row>
    <row r="1281" spans="2:3">
      <c r="B1281" s="4" t="s">
        <v>197</v>
      </c>
      <c r="C1281" s="54">
        <v>91811</v>
      </c>
    </row>
    <row r="1282" spans="2:3">
      <c r="B1282" s="4" t="s">
        <v>198</v>
      </c>
      <c r="C1282" s="54">
        <v>91812</v>
      </c>
    </row>
    <row r="1283" spans="2:3">
      <c r="B1283" s="4" t="s">
        <v>68</v>
      </c>
      <c r="C1283" s="54">
        <v>90617</v>
      </c>
    </row>
    <row r="1284" spans="2:3">
      <c r="B1284" s="4" t="s">
        <v>398</v>
      </c>
      <c r="C1284" s="54">
        <v>94127</v>
      </c>
    </row>
    <row r="1285" spans="2:3">
      <c r="B1285" s="4" t="s">
        <v>397</v>
      </c>
      <c r="C1285" s="54">
        <v>94121</v>
      </c>
    </row>
    <row r="1286" spans="2:3">
      <c r="B1286" s="4" t="s">
        <v>516</v>
      </c>
      <c r="C1286" s="54">
        <v>95617</v>
      </c>
    </row>
    <row r="1287" spans="2:3">
      <c r="B1287" s="4" t="s">
        <v>517</v>
      </c>
      <c r="C1287" s="54">
        <v>95621</v>
      </c>
    </row>
    <row r="1288" spans="2:3">
      <c r="B1288" s="4" t="s">
        <v>155</v>
      </c>
      <c r="C1288" s="54">
        <v>91251</v>
      </c>
    </row>
    <row r="1289" spans="2:3">
      <c r="B1289" s="4" t="s">
        <v>623</v>
      </c>
      <c r="C1289" s="54">
        <v>96831</v>
      </c>
    </row>
    <row r="1290" spans="2:3">
      <c r="B1290" s="4" t="s">
        <v>414</v>
      </c>
      <c r="C1290" s="54">
        <v>94251</v>
      </c>
    </row>
    <row r="1291" spans="2:3">
      <c r="B1291" s="4" t="s">
        <v>453</v>
      </c>
      <c r="C1291" s="54">
        <v>94701</v>
      </c>
    </row>
    <row r="1292" spans="2:3">
      <c r="B1292" s="4" t="s">
        <v>454</v>
      </c>
      <c r="C1292" s="54">
        <v>94704</v>
      </c>
    </row>
    <row r="1293" spans="2:3">
      <c r="B1293" s="4" t="s">
        <v>106</v>
      </c>
      <c r="C1293" s="54">
        <v>91014</v>
      </c>
    </row>
    <row r="1294" spans="2:3">
      <c r="B1294" s="4" t="s">
        <v>615</v>
      </c>
      <c r="C1294" s="54">
        <v>96733</v>
      </c>
    </row>
    <row r="1295" spans="2:3">
      <c r="B1295" s="4" t="s">
        <v>614</v>
      </c>
      <c r="C1295" s="54">
        <v>96731</v>
      </c>
    </row>
    <row r="1296" spans="2:3">
      <c r="B1296" s="4" t="s">
        <v>819</v>
      </c>
      <c r="C1296" s="54">
        <v>99202</v>
      </c>
    </row>
    <row r="1297" spans="2:3">
      <c r="B1297" s="4" t="s">
        <v>386</v>
      </c>
      <c r="C1297" s="54">
        <v>94011</v>
      </c>
    </row>
    <row r="1298" spans="2:3">
      <c r="B1298" s="4" t="s">
        <v>269</v>
      </c>
      <c r="C1298" s="54">
        <v>92631</v>
      </c>
    </row>
    <row r="1299" spans="2:3">
      <c r="B1299" s="4" t="s">
        <v>521</v>
      </c>
      <c r="C1299" s="54">
        <v>95733</v>
      </c>
    </row>
    <row r="1300" spans="2:3">
      <c r="B1300" s="4" t="s">
        <v>172</v>
      </c>
      <c r="C1300" s="54">
        <v>91431</v>
      </c>
    </row>
    <row r="1301" spans="2:3">
      <c r="B1301" s="4" t="s">
        <v>546</v>
      </c>
      <c r="C1301" s="54">
        <v>96041</v>
      </c>
    </row>
    <row r="1302" spans="2:3">
      <c r="B1302" s="4" t="s">
        <v>456</v>
      </c>
      <c r="C1302" s="54">
        <v>94801</v>
      </c>
    </row>
    <row r="1303" spans="2:3">
      <c r="B1303" s="4" t="s">
        <v>457</v>
      </c>
      <c r="C1303" s="54">
        <v>94804</v>
      </c>
    </row>
    <row r="1304" spans="2:3">
      <c r="B1304" s="4" t="s">
        <v>188</v>
      </c>
      <c r="C1304" s="54">
        <v>91661</v>
      </c>
    </row>
    <row r="1305" spans="2:3">
      <c r="B1305" s="4" t="s">
        <v>2313</v>
      </c>
      <c r="C1305" s="54">
        <v>99014</v>
      </c>
    </row>
    <row r="1306" spans="2:3">
      <c r="B1306" s="4" t="s">
        <v>808</v>
      </c>
      <c r="C1306" s="54">
        <v>99051</v>
      </c>
    </row>
    <row r="1307" spans="2:3">
      <c r="B1307" s="4" t="s">
        <v>459</v>
      </c>
      <c r="C1307" s="54">
        <v>94901</v>
      </c>
    </row>
    <row r="1308" spans="2:3">
      <c r="B1308" s="4" t="s">
        <v>741</v>
      </c>
      <c r="C1308" s="54">
        <v>98109</v>
      </c>
    </row>
    <row r="1309" spans="2:3">
      <c r="B1309" s="4" t="s">
        <v>750</v>
      </c>
      <c r="C1309" s="54">
        <v>98205</v>
      </c>
    </row>
    <row r="1310" spans="2:3">
      <c r="B1310" s="4" t="s">
        <v>468</v>
      </c>
      <c r="C1310" s="54">
        <v>95001</v>
      </c>
    </row>
    <row r="1311" spans="2:3">
      <c r="B1311" s="4" t="s">
        <v>2314</v>
      </c>
      <c r="C1311" s="54">
        <v>95017</v>
      </c>
    </row>
    <row r="1312" spans="2:3">
      <c r="B1312" s="4" t="s">
        <v>606</v>
      </c>
      <c r="C1312" s="54">
        <v>96661</v>
      </c>
    </row>
    <row r="1313" spans="2:3">
      <c r="B1313" s="4" t="s">
        <v>612</v>
      </c>
      <c r="C1313" s="54">
        <v>96711</v>
      </c>
    </row>
    <row r="1314" spans="2:3">
      <c r="B1314" s="4" t="s">
        <v>399</v>
      </c>
      <c r="C1314" s="54">
        <v>94131</v>
      </c>
    </row>
    <row r="1315" spans="2:3">
      <c r="B1315" s="4" t="s">
        <v>529</v>
      </c>
      <c r="C1315" s="54">
        <v>95841</v>
      </c>
    </row>
    <row r="1316" spans="2:3">
      <c r="B1316" s="4" t="s">
        <v>63</v>
      </c>
      <c r="C1316" s="54">
        <v>90511</v>
      </c>
    </row>
    <row r="1317" spans="2:3">
      <c r="B1317" s="4" t="s">
        <v>474</v>
      </c>
      <c r="C1317" s="54">
        <v>95101</v>
      </c>
    </row>
    <row r="1318" spans="2:3">
      <c r="B1318" s="4" t="s">
        <v>476</v>
      </c>
      <c r="C1318" s="54">
        <v>95104</v>
      </c>
    </row>
    <row r="1319" spans="2:3">
      <c r="B1319" s="4" t="s">
        <v>477</v>
      </c>
      <c r="C1319" s="54">
        <v>95105</v>
      </c>
    </row>
    <row r="1320" spans="2:3">
      <c r="B1320" s="4" t="s">
        <v>2315</v>
      </c>
      <c r="C1320" s="54">
        <v>95110</v>
      </c>
    </row>
    <row r="1321" spans="2:3">
      <c r="B1321" s="4" t="s">
        <v>491</v>
      </c>
      <c r="C1321" s="54">
        <v>95201</v>
      </c>
    </row>
    <row r="1322" spans="2:3">
      <c r="B1322" s="4" t="s">
        <v>492</v>
      </c>
      <c r="C1322" s="54">
        <v>95204</v>
      </c>
    </row>
    <row r="1323" spans="2:3">
      <c r="B1323" s="4" t="s">
        <v>889</v>
      </c>
      <c r="C1323" s="54">
        <v>99921</v>
      </c>
    </row>
    <row r="1324" spans="2:3">
      <c r="B1324" s="4" t="s">
        <v>427</v>
      </c>
      <c r="C1324" s="54">
        <v>94408</v>
      </c>
    </row>
    <row r="1325" spans="2:3">
      <c r="B1325" s="4" t="s">
        <v>165</v>
      </c>
      <c r="C1325" s="54">
        <v>91331</v>
      </c>
    </row>
    <row r="1326" spans="2:3">
      <c r="B1326" s="4" t="s">
        <v>302</v>
      </c>
      <c r="C1326" s="54">
        <v>93127</v>
      </c>
    </row>
    <row r="1327" spans="2:3">
      <c r="B1327" s="4" t="s">
        <v>301</v>
      </c>
      <c r="C1327" s="54">
        <v>93121</v>
      </c>
    </row>
    <row r="1328" spans="2:3">
      <c r="B1328" s="4" t="s">
        <v>488</v>
      </c>
      <c r="C1328" s="54">
        <v>95171</v>
      </c>
    </row>
    <row r="1329" spans="2:3">
      <c r="B1329" s="4" t="s">
        <v>335</v>
      </c>
      <c r="C1329" s="54">
        <v>93421</v>
      </c>
    </row>
    <row r="1330" spans="2:3">
      <c r="B1330" s="4" t="s">
        <v>816</v>
      </c>
      <c r="C1330" s="54">
        <v>99110</v>
      </c>
    </row>
    <row r="1331" spans="2:3">
      <c r="B1331" s="4" t="s">
        <v>815</v>
      </c>
      <c r="C1331" s="54">
        <v>99109</v>
      </c>
    </row>
    <row r="1332" spans="2:3">
      <c r="B1332" s="4" t="s">
        <v>281</v>
      </c>
      <c r="C1332" s="54">
        <v>92821</v>
      </c>
    </row>
    <row r="1333" spans="2:3">
      <c r="B1333" s="4" t="s">
        <v>779</v>
      </c>
      <c r="C1333" s="54">
        <v>98521</v>
      </c>
    </row>
    <row r="1334" spans="2:3">
      <c r="B1334" s="4" t="s">
        <v>232</v>
      </c>
      <c r="C1334" s="54">
        <v>92327</v>
      </c>
    </row>
    <row r="1335" spans="2:3">
      <c r="B1335" s="4" t="s">
        <v>231</v>
      </c>
      <c r="C1335" s="54">
        <v>92321</v>
      </c>
    </row>
    <row r="1336" spans="2:3">
      <c r="B1336" s="4" t="s">
        <v>505</v>
      </c>
      <c r="C1336" s="54">
        <v>95413</v>
      </c>
    </row>
    <row r="1337" spans="2:3">
      <c r="B1337" s="4" t="s">
        <v>503</v>
      </c>
      <c r="C1337" s="54">
        <v>95411</v>
      </c>
    </row>
    <row r="1338" spans="2:3">
      <c r="B1338" s="4" t="s">
        <v>506</v>
      </c>
      <c r="C1338" s="54">
        <v>95415</v>
      </c>
    </row>
    <row r="1339" spans="2:3">
      <c r="B1339" s="4" t="s">
        <v>284</v>
      </c>
      <c r="C1339" s="54">
        <v>92851</v>
      </c>
    </row>
    <row r="1340" spans="2:3">
      <c r="B1340" s="4" t="s">
        <v>839</v>
      </c>
      <c r="C1340" s="54">
        <v>99291</v>
      </c>
    </row>
    <row r="1341" spans="2:3">
      <c r="B1341" s="4" t="s">
        <v>597</v>
      </c>
      <c r="C1341" s="54">
        <v>96541</v>
      </c>
    </row>
    <row r="1342" spans="2:3">
      <c r="B1342" s="4" t="s">
        <v>508</v>
      </c>
      <c r="C1342" s="54">
        <v>95431</v>
      </c>
    </row>
    <row r="1343" spans="2:3">
      <c r="B1343" s="4" t="s">
        <v>745</v>
      </c>
      <c r="C1343" s="54">
        <v>98131</v>
      </c>
    </row>
    <row r="1344" spans="2:3">
      <c r="B1344" s="4" t="s">
        <v>242</v>
      </c>
      <c r="C1344" s="54">
        <v>92427</v>
      </c>
    </row>
    <row r="1345" spans="2:3">
      <c r="B1345" s="4" t="s">
        <v>246</v>
      </c>
      <c r="C1345" s="54">
        <v>92461</v>
      </c>
    </row>
    <row r="1346" spans="2:3">
      <c r="B1346" s="4" t="s">
        <v>732</v>
      </c>
      <c r="C1346" s="54">
        <v>98051</v>
      </c>
    </row>
    <row r="1347" spans="2:3">
      <c r="B1347" s="4" t="s">
        <v>125</v>
      </c>
      <c r="C1347" s="54">
        <v>91102</v>
      </c>
    </row>
    <row r="1348" spans="2:3">
      <c r="B1348" s="4" t="s">
        <v>440</v>
      </c>
      <c r="C1348" s="54">
        <v>94527</v>
      </c>
    </row>
    <row r="1349" spans="2:3">
      <c r="B1349" s="4" t="s">
        <v>439</v>
      </c>
      <c r="C1349" s="54">
        <v>94521</v>
      </c>
    </row>
    <row r="1350" spans="2:3">
      <c r="B1350" s="4" t="s">
        <v>764</v>
      </c>
      <c r="C1350" s="54">
        <v>98313</v>
      </c>
    </row>
    <row r="1351" spans="2:3">
      <c r="B1351" s="4" t="s">
        <v>763</v>
      </c>
      <c r="C1351" s="54">
        <v>98311</v>
      </c>
    </row>
    <row r="1352" spans="2:3">
      <c r="B1352" s="4" t="s">
        <v>762</v>
      </c>
      <c r="C1352" s="54">
        <v>98308</v>
      </c>
    </row>
    <row r="1353" spans="2:3">
      <c r="B1353" s="4" t="s">
        <v>234</v>
      </c>
      <c r="C1353" s="54">
        <v>92341</v>
      </c>
    </row>
    <row r="1354" spans="2:3">
      <c r="B1354" s="4" t="s">
        <v>496</v>
      </c>
      <c r="C1354" s="54">
        <v>95301</v>
      </c>
    </row>
    <row r="1355" spans="2:3">
      <c r="B1355" s="4" t="s">
        <v>97</v>
      </c>
      <c r="C1355" s="54">
        <v>91002</v>
      </c>
    </row>
    <row r="1356" spans="2:3">
      <c r="B1356" s="4" t="s">
        <v>175</v>
      </c>
      <c r="C1356" s="54">
        <v>91457</v>
      </c>
    </row>
    <row r="1357" spans="2:3">
      <c r="B1357" s="4" t="s">
        <v>500</v>
      </c>
      <c r="C1357" s="54">
        <v>95401</v>
      </c>
    </row>
    <row r="1358" spans="2:3">
      <c r="B1358" s="4" t="s">
        <v>501</v>
      </c>
      <c r="C1358" s="54">
        <v>95404</v>
      </c>
    </row>
    <row r="1359" spans="2:3">
      <c r="B1359" s="4" t="s">
        <v>171</v>
      </c>
      <c r="C1359" s="54">
        <v>91423</v>
      </c>
    </row>
    <row r="1360" spans="2:3">
      <c r="B1360" s="4" t="s">
        <v>174</v>
      </c>
      <c r="C1360" s="54">
        <v>91451</v>
      </c>
    </row>
    <row r="1361" spans="2:3">
      <c r="B1361" s="4" t="s">
        <v>88</v>
      </c>
      <c r="C1361" s="54">
        <v>90861</v>
      </c>
    </row>
    <row r="1362" spans="2:3">
      <c r="B1362" s="4" t="s">
        <v>339</v>
      </c>
      <c r="C1362" s="54">
        <v>93451</v>
      </c>
    </row>
    <row r="1363" spans="2:3">
      <c r="B1363" s="4" t="s">
        <v>289</v>
      </c>
      <c r="C1363" s="54">
        <v>92917</v>
      </c>
    </row>
    <row r="1364" spans="2:3">
      <c r="B1364" s="4" t="s">
        <v>291</v>
      </c>
      <c r="C1364" s="54">
        <v>92931</v>
      </c>
    </row>
    <row r="1365" spans="2:3">
      <c r="B1365" s="4" t="s">
        <v>681</v>
      </c>
      <c r="C1365" s="54">
        <v>97637</v>
      </c>
    </row>
    <row r="1366" spans="2:3">
      <c r="B1366" s="4" t="s">
        <v>680</v>
      </c>
      <c r="C1366" s="54">
        <v>97631</v>
      </c>
    </row>
    <row r="1367" spans="2:3">
      <c r="B1367" s="4" t="s">
        <v>56</v>
      </c>
      <c r="C1367" s="54">
        <v>90421</v>
      </c>
    </row>
    <row r="1368" spans="2:3">
      <c r="B1368" s="4" t="s">
        <v>420</v>
      </c>
      <c r="C1368" s="54">
        <v>94321</v>
      </c>
    </row>
    <row r="1369" spans="2:3">
      <c r="B1369" s="4" t="s">
        <v>509</v>
      </c>
      <c r="C1369" s="54">
        <v>95501</v>
      </c>
    </row>
    <row r="1370" spans="2:3">
      <c r="B1370" s="4" t="s">
        <v>510</v>
      </c>
      <c r="C1370" s="54">
        <v>95504</v>
      </c>
    </row>
    <row r="1371" spans="2:3">
      <c r="B1371" s="4" t="s">
        <v>513</v>
      </c>
      <c r="C1371" s="54">
        <v>95517</v>
      </c>
    </row>
    <row r="1372" spans="2:3">
      <c r="B1372" s="4" t="s">
        <v>512</v>
      </c>
      <c r="C1372" s="54">
        <v>95513</v>
      </c>
    </row>
    <row r="1373" spans="2:3">
      <c r="B1373" s="4" t="s">
        <v>511</v>
      </c>
      <c r="C1373" s="54">
        <v>95511</v>
      </c>
    </row>
    <row r="1374" spans="2:3">
      <c r="B1374" s="4" t="s">
        <v>271</v>
      </c>
      <c r="C1374" s="54">
        <v>92651</v>
      </c>
    </row>
    <row r="1375" spans="2:3">
      <c r="B1375" s="4" t="s">
        <v>415</v>
      </c>
      <c r="C1375" s="54">
        <v>94261</v>
      </c>
    </row>
    <row r="1376" spans="2:3">
      <c r="B1376" s="4" t="s">
        <v>772</v>
      </c>
      <c r="C1376" s="54">
        <v>98431</v>
      </c>
    </row>
    <row r="1377" spans="2:3">
      <c r="B1377" s="4" t="s">
        <v>204</v>
      </c>
      <c r="C1377" s="54">
        <v>91841</v>
      </c>
    </row>
    <row r="1378" spans="2:3">
      <c r="B1378" s="4" t="s">
        <v>346</v>
      </c>
      <c r="C1378" s="54">
        <v>93527</v>
      </c>
    </row>
    <row r="1379" spans="2:3">
      <c r="B1379" s="4" t="s">
        <v>345</v>
      </c>
      <c r="C1379" s="54">
        <v>93521</v>
      </c>
    </row>
    <row r="1380" spans="2:3">
      <c r="B1380" s="4" t="s">
        <v>362</v>
      </c>
      <c r="C1380" s="54">
        <v>93661</v>
      </c>
    </row>
    <row r="1381" spans="2:3">
      <c r="B1381" s="4" t="s">
        <v>591</v>
      </c>
      <c r="C1381" s="54">
        <v>96508</v>
      </c>
    </row>
    <row r="1382" spans="2:3">
      <c r="B1382" s="4" t="s">
        <v>885</v>
      </c>
      <c r="C1382" s="54">
        <v>99841</v>
      </c>
    </row>
    <row r="1383" spans="2:3">
      <c r="B1383" s="4" t="s">
        <v>694</v>
      </c>
      <c r="C1383" s="54">
        <v>97802</v>
      </c>
    </row>
    <row r="1384" spans="2:3">
      <c r="B1384" s="4" t="s">
        <v>698</v>
      </c>
      <c r="C1384" s="54">
        <v>97817</v>
      </c>
    </row>
    <row r="1385" spans="2:3">
      <c r="B1385" s="4" t="s">
        <v>699</v>
      </c>
      <c r="C1385" s="54">
        <v>97818</v>
      </c>
    </row>
    <row r="1386" spans="2:3">
      <c r="B1386" s="4" t="s">
        <v>697</v>
      </c>
      <c r="C1386" s="54">
        <v>97811</v>
      </c>
    </row>
    <row r="1387" spans="2:3">
      <c r="B1387" s="4" t="s">
        <v>328</v>
      </c>
      <c r="C1387" s="54">
        <v>93341</v>
      </c>
    </row>
    <row r="1388" spans="2:3">
      <c r="B1388" s="4" t="s">
        <v>514</v>
      </c>
      <c r="C1388" s="54">
        <v>95601</v>
      </c>
    </row>
    <row r="1389" spans="2:3">
      <c r="B1389" s="4" t="s">
        <v>718</v>
      </c>
      <c r="C1389" s="54">
        <v>97947</v>
      </c>
    </row>
    <row r="1390" spans="2:3">
      <c r="B1390" s="4" t="s">
        <v>518</v>
      </c>
      <c r="C1390" s="54">
        <v>95701</v>
      </c>
    </row>
    <row r="1391" spans="2:3">
      <c r="B1391" s="4" t="s">
        <v>717</v>
      </c>
      <c r="C1391" s="54">
        <v>97941</v>
      </c>
    </row>
    <row r="1392" spans="2:3">
      <c r="B1392" s="4" t="s">
        <v>719</v>
      </c>
      <c r="C1392" s="54">
        <v>97948</v>
      </c>
    </row>
    <row r="1393" spans="2:3">
      <c r="B1393" s="4" t="s">
        <v>431</v>
      </c>
      <c r="C1393" s="54">
        <v>94427</v>
      </c>
    </row>
    <row r="1394" spans="2:3">
      <c r="B1394" s="4" t="s">
        <v>432</v>
      </c>
      <c r="C1394" s="54">
        <v>94428</v>
      </c>
    </row>
    <row r="1395" spans="2:3">
      <c r="B1395" s="4" t="s">
        <v>430</v>
      </c>
      <c r="C1395" s="54">
        <v>94421</v>
      </c>
    </row>
    <row r="1396" spans="2:3">
      <c r="B1396" s="4" t="s">
        <v>311</v>
      </c>
      <c r="C1396" s="54">
        <v>93191</v>
      </c>
    </row>
    <row r="1397" spans="2:3">
      <c r="B1397" s="4" t="s">
        <v>203</v>
      </c>
      <c r="C1397" s="54">
        <v>91831</v>
      </c>
    </row>
    <row r="1398" spans="2:3">
      <c r="B1398" s="4" t="s">
        <v>282</v>
      </c>
      <c r="C1398" s="54">
        <v>92831</v>
      </c>
    </row>
    <row r="1399" spans="2:3">
      <c r="B1399" s="4" t="s">
        <v>534</v>
      </c>
      <c r="C1399" s="54">
        <v>95917</v>
      </c>
    </row>
    <row r="1400" spans="2:3">
      <c r="B1400" s="4" t="s">
        <v>533</v>
      </c>
      <c r="C1400" s="54">
        <v>95911</v>
      </c>
    </row>
    <row r="1401" spans="2:3">
      <c r="B1401" s="4" t="s">
        <v>519</v>
      </c>
      <c r="C1401" s="54">
        <v>95711</v>
      </c>
    </row>
    <row r="1402" spans="2:3">
      <c r="B1402" s="4" t="s">
        <v>520</v>
      </c>
      <c r="C1402" s="54">
        <v>95721</v>
      </c>
    </row>
    <row r="1403" spans="2:3">
      <c r="B1403" s="4" t="s">
        <v>803</v>
      </c>
      <c r="C1403" s="54">
        <v>99021</v>
      </c>
    </row>
    <row r="1404" spans="2:3">
      <c r="B1404" s="4" t="s">
        <v>522</v>
      </c>
      <c r="C1404" s="54">
        <v>95801</v>
      </c>
    </row>
    <row r="1405" spans="2:3">
      <c r="B1405" s="4" t="s">
        <v>524</v>
      </c>
      <c r="C1405" s="54">
        <v>95804</v>
      </c>
    </row>
    <row r="1406" spans="2:3">
      <c r="B1406" s="4" t="s">
        <v>523</v>
      </c>
      <c r="C1406" s="54">
        <v>95802</v>
      </c>
    </row>
    <row r="1407" spans="2:3">
      <c r="B1407" s="4" t="s">
        <v>33</v>
      </c>
      <c r="C1407" s="54">
        <v>90092</v>
      </c>
    </row>
    <row r="1408" spans="2:3">
      <c r="B1408" s="4" t="s">
        <v>811</v>
      </c>
      <c r="C1408" s="54">
        <v>99081</v>
      </c>
    </row>
    <row r="1409" spans="2:3">
      <c r="B1409" s="4" t="s">
        <v>549</v>
      </c>
      <c r="C1409" s="54">
        <v>96071</v>
      </c>
    </row>
    <row r="1410" spans="2:3">
      <c r="B1410" s="4" t="s">
        <v>383</v>
      </c>
      <c r="C1410" s="54">
        <v>94002</v>
      </c>
    </row>
    <row r="1411" spans="2:3">
      <c r="B1411" s="4" t="s">
        <v>705</v>
      </c>
      <c r="C1411" s="54">
        <v>97847</v>
      </c>
    </row>
    <row r="1412" spans="2:3">
      <c r="B1412" s="4" t="s">
        <v>704</v>
      </c>
      <c r="C1412" s="54">
        <v>97840</v>
      </c>
    </row>
    <row r="1413" spans="2:3">
      <c r="B1413" s="4" t="s">
        <v>715</v>
      </c>
      <c r="C1413" s="54">
        <v>97921</v>
      </c>
    </row>
    <row r="1414" spans="2:3">
      <c r="B1414" s="4" t="s">
        <v>495</v>
      </c>
      <c r="C1414" s="54">
        <v>95221</v>
      </c>
    </row>
    <row r="1415" spans="2:3">
      <c r="B1415" s="4" t="s">
        <v>352</v>
      </c>
      <c r="C1415" s="54">
        <v>93610</v>
      </c>
    </row>
    <row r="1416" spans="2:3">
      <c r="B1416" s="4" t="s">
        <v>2316</v>
      </c>
      <c r="C1416" s="54">
        <v>95901</v>
      </c>
    </row>
    <row r="1417" spans="2:3">
      <c r="B1417" s="4" t="s">
        <v>38</v>
      </c>
      <c r="C1417" s="54">
        <v>90114</v>
      </c>
    </row>
    <row r="1418" spans="2:3">
      <c r="B1418" s="4" t="s">
        <v>536</v>
      </c>
      <c r="C1418" s="54">
        <v>96001</v>
      </c>
    </row>
    <row r="1419" spans="2:3">
      <c r="B1419" s="4" t="s">
        <v>538</v>
      </c>
      <c r="C1419" s="54">
        <v>96004</v>
      </c>
    </row>
    <row r="1420" spans="2:3">
      <c r="B1420" s="4" t="s">
        <v>540</v>
      </c>
      <c r="C1420" s="54">
        <v>96008</v>
      </c>
    </row>
    <row r="1421" spans="2:3">
      <c r="B1421" s="4" t="s">
        <v>128</v>
      </c>
      <c r="C1421" s="54">
        <v>91108</v>
      </c>
    </row>
    <row r="1422" spans="2:3">
      <c r="B1422" s="4" t="s">
        <v>467</v>
      </c>
      <c r="C1422" s="54">
        <v>94941</v>
      </c>
    </row>
    <row r="1423" spans="2:3">
      <c r="B1423" s="4" t="s">
        <v>482</v>
      </c>
      <c r="C1423" s="54">
        <v>95122</v>
      </c>
    </row>
    <row r="1424" spans="2:3">
      <c r="B1424" s="4" t="s">
        <v>2317</v>
      </c>
      <c r="C1424" s="54">
        <v>92607</v>
      </c>
    </row>
    <row r="1425" spans="2:3">
      <c r="B1425" s="4" t="s">
        <v>582</v>
      </c>
      <c r="C1425" s="54">
        <v>96431</v>
      </c>
    </row>
    <row r="1426" spans="2:3">
      <c r="B1426" s="4" t="s">
        <v>2318</v>
      </c>
      <c r="C1426" s="54">
        <v>90709</v>
      </c>
    </row>
    <row r="1427" spans="2:3">
      <c r="B1427" s="4" t="s">
        <v>166</v>
      </c>
      <c r="C1427" s="54">
        <v>91341</v>
      </c>
    </row>
    <row r="1428" spans="2:3">
      <c r="B1428" s="4" t="s">
        <v>445</v>
      </c>
      <c r="C1428" s="54">
        <v>94551</v>
      </c>
    </row>
    <row r="1429" spans="2:3">
      <c r="B1429" s="4" t="s">
        <v>2319</v>
      </c>
      <c r="C1429" s="54">
        <v>99022</v>
      </c>
    </row>
    <row r="1430" spans="2:3">
      <c r="B1430" s="4" t="s">
        <v>545</v>
      </c>
      <c r="C1430" s="54">
        <v>96031</v>
      </c>
    </row>
    <row r="1431" spans="2:3">
      <c r="B1431" s="4" t="s">
        <v>27</v>
      </c>
      <c r="C1431" s="54">
        <v>71786</v>
      </c>
    </row>
    <row r="1432" spans="2:3">
      <c r="B1432" s="4" t="s">
        <v>551</v>
      </c>
      <c r="C1432" s="54">
        <v>96101</v>
      </c>
    </row>
    <row r="1433" spans="2:3">
      <c r="B1433" s="4" t="s">
        <v>552</v>
      </c>
      <c r="C1433" s="54">
        <v>96102</v>
      </c>
    </row>
    <row r="1434" spans="2:3">
      <c r="B1434" s="4" t="s">
        <v>295</v>
      </c>
      <c r="C1434" s="54">
        <v>93011</v>
      </c>
    </row>
    <row r="1435" spans="2:3">
      <c r="B1435" s="4" t="s">
        <v>802</v>
      </c>
      <c r="C1435" s="54">
        <v>99017</v>
      </c>
    </row>
    <row r="1436" spans="2:3">
      <c r="B1436" s="4" t="s">
        <v>801</v>
      </c>
      <c r="C1436" s="54">
        <v>99013</v>
      </c>
    </row>
    <row r="1437" spans="2:3">
      <c r="B1437" s="4" t="s">
        <v>800</v>
      </c>
      <c r="C1437" s="54">
        <v>99011</v>
      </c>
    </row>
    <row r="1438" spans="2:3">
      <c r="B1438" s="4" t="s">
        <v>555</v>
      </c>
      <c r="C1438" s="54">
        <v>96201</v>
      </c>
    </row>
    <row r="1439" spans="2:3">
      <c r="B1439" s="4" t="s">
        <v>556</v>
      </c>
      <c r="C1439" s="54">
        <v>96204</v>
      </c>
    </row>
    <row r="1440" spans="2:3">
      <c r="B1440" s="4" t="s">
        <v>141</v>
      </c>
      <c r="C1440" s="54">
        <v>91161</v>
      </c>
    </row>
    <row r="1441" spans="2:3">
      <c r="B1441" s="4" t="s">
        <v>562</v>
      </c>
      <c r="C1441" s="54">
        <v>96301</v>
      </c>
    </row>
    <row r="1442" spans="2:3">
      <c r="B1442" s="4" t="s">
        <v>564</v>
      </c>
      <c r="C1442" s="54">
        <v>96304</v>
      </c>
    </row>
    <row r="1443" spans="2:3">
      <c r="B1443" s="4" t="s">
        <v>566</v>
      </c>
      <c r="C1443" s="54">
        <v>96310</v>
      </c>
    </row>
    <row r="1444" spans="2:3">
      <c r="B1444" s="4" t="s">
        <v>565</v>
      </c>
      <c r="C1444" s="54">
        <v>96305</v>
      </c>
    </row>
    <row r="1445" spans="2:3">
      <c r="B1445" s="4" t="s">
        <v>465</v>
      </c>
      <c r="C1445" s="54">
        <v>94927</v>
      </c>
    </row>
    <row r="1446" spans="2:3">
      <c r="B1446" s="4" t="s">
        <v>464</v>
      </c>
      <c r="C1446" s="54">
        <v>94923</v>
      </c>
    </row>
    <row r="1447" spans="2:3">
      <c r="B1447" s="4" t="s">
        <v>463</v>
      </c>
      <c r="C1447" s="54">
        <v>94921</v>
      </c>
    </row>
    <row r="1448" spans="2:3">
      <c r="B1448" s="4" t="s">
        <v>182</v>
      </c>
      <c r="C1448" s="54">
        <v>91611</v>
      </c>
    </row>
    <row r="1449" spans="2:3">
      <c r="B1449" s="4" t="s">
        <v>150</v>
      </c>
      <c r="C1449" s="54">
        <v>91217</v>
      </c>
    </row>
    <row r="1450" spans="2:3">
      <c r="B1450" s="4" t="s">
        <v>153</v>
      </c>
      <c r="C1450" s="54">
        <v>91233</v>
      </c>
    </row>
    <row r="1451" spans="2:3">
      <c r="B1451" s="4" t="s">
        <v>152</v>
      </c>
      <c r="C1451" s="54">
        <v>91231</v>
      </c>
    </row>
    <row r="1452" spans="2:3">
      <c r="B1452" s="4" t="s">
        <v>822</v>
      </c>
      <c r="C1452" s="54">
        <v>99206</v>
      </c>
    </row>
    <row r="1453" spans="2:3">
      <c r="B1453" s="4" t="s">
        <v>60</v>
      </c>
      <c r="C1453" s="54">
        <v>90461</v>
      </c>
    </row>
    <row r="1454" spans="2:3">
      <c r="B1454" s="4" t="s">
        <v>786</v>
      </c>
      <c r="C1454" s="54">
        <v>98631</v>
      </c>
    </row>
    <row r="1455" spans="2:3">
      <c r="B1455" s="4" t="s">
        <v>561</v>
      </c>
      <c r="C1455" s="54">
        <v>96251</v>
      </c>
    </row>
    <row r="1456" spans="2:3">
      <c r="B1456" s="4" t="s">
        <v>867</v>
      </c>
      <c r="C1456" s="54">
        <v>99623</v>
      </c>
    </row>
    <row r="1457" spans="2:3">
      <c r="B1457" s="4" t="s">
        <v>866</v>
      </c>
      <c r="C1457" s="54">
        <v>99621</v>
      </c>
    </row>
    <row r="1458" spans="2:3">
      <c r="B1458" s="4" t="s">
        <v>163</v>
      </c>
      <c r="C1458" s="54">
        <v>91321</v>
      </c>
    </row>
    <row r="1459" spans="2:3">
      <c r="B1459" s="4" t="s">
        <v>787</v>
      </c>
      <c r="C1459" s="54">
        <v>98637</v>
      </c>
    </row>
    <row r="1460" spans="2:3">
      <c r="B1460" s="4" t="s">
        <v>366</v>
      </c>
      <c r="C1460" s="54">
        <v>93691</v>
      </c>
    </row>
    <row r="1461" spans="2:3">
      <c r="B1461" s="4" t="s">
        <v>164</v>
      </c>
      <c r="C1461" s="54">
        <v>91327</v>
      </c>
    </row>
    <row r="1462" spans="2:3">
      <c r="B1462" s="4" t="s">
        <v>450</v>
      </c>
      <c r="C1462" s="54">
        <v>94621</v>
      </c>
    </row>
    <row r="1463" spans="2:3">
      <c r="B1463" s="4" t="s">
        <v>219</v>
      </c>
      <c r="C1463" s="54">
        <v>92017</v>
      </c>
    </row>
    <row r="1464" spans="2:3">
      <c r="B1464" s="4" t="s">
        <v>218</v>
      </c>
      <c r="C1464" s="54">
        <v>92011</v>
      </c>
    </row>
    <row r="1465" spans="2:3">
      <c r="B1465" s="4" t="s">
        <v>892</v>
      </c>
      <c r="C1465" s="59">
        <v>99991</v>
      </c>
    </row>
    <row r="1466" spans="2:3">
      <c r="B1466" s="4" t="s">
        <v>893</v>
      </c>
      <c r="C1466" s="59">
        <v>99999</v>
      </c>
    </row>
    <row r="1467" spans="2:3">
      <c r="B1467" s="4" t="s">
        <v>280</v>
      </c>
      <c r="C1467" s="54">
        <v>92811</v>
      </c>
    </row>
    <row r="1468" spans="2:3">
      <c r="B1468" s="4" t="s">
        <v>217</v>
      </c>
      <c r="C1468" s="54">
        <v>92005</v>
      </c>
    </row>
    <row r="1469" spans="2:3">
      <c r="B1469" s="4" t="s">
        <v>577</v>
      </c>
      <c r="C1469" s="54">
        <v>96401</v>
      </c>
    </row>
    <row r="1470" spans="2:3">
      <c r="B1470" s="4" t="s">
        <v>578</v>
      </c>
      <c r="C1470" s="54">
        <v>96404</v>
      </c>
    </row>
    <row r="1471" spans="2:3">
      <c r="B1471" s="4" t="s">
        <v>581</v>
      </c>
      <c r="C1471" s="54">
        <v>96421</v>
      </c>
    </row>
    <row r="1472" spans="2:3">
      <c r="B1472" s="4" t="s">
        <v>502</v>
      </c>
      <c r="C1472" s="54">
        <v>95405</v>
      </c>
    </row>
    <row r="1473" spans="2:3">
      <c r="B1473" s="4" t="s">
        <v>385</v>
      </c>
      <c r="C1473" s="54">
        <v>94005</v>
      </c>
    </row>
    <row r="1474" spans="2:3">
      <c r="B1474" s="4" t="s">
        <v>493</v>
      </c>
      <c r="C1474" s="54">
        <v>95205</v>
      </c>
    </row>
    <row r="1475" spans="2:3">
      <c r="B1475" s="4" t="s">
        <v>252</v>
      </c>
      <c r="C1475" s="54">
        <v>92507</v>
      </c>
    </row>
    <row r="1476" spans="2:3">
      <c r="B1476" s="4" t="s">
        <v>254</v>
      </c>
      <c r="C1476" s="54">
        <v>92511</v>
      </c>
    </row>
    <row r="1477" spans="2:3">
      <c r="B1477" s="4" t="s">
        <v>587</v>
      </c>
      <c r="C1477" s="54">
        <v>96502</v>
      </c>
    </row>
    <row r="1478" spans="2:3">
      <c r="B1478" s="4" t="s">
        <v>586</v>
      </c>
      <c r="C1478" s="54">
        <v>96501</v>
      </c>
    </row>
    <row r="1479" spans="2:3">
      <c r="B1479" s="4" t="s">
        <v>589</v>
      </c>
      <c r="C1479" s="54">
        <v>96504</v>
      </c>
    </row>
    <row r="1480" spans="2:3">
      <c r="B1480" s="4" t="s">
        <v>713</v>
      </c>
      <c r="C1480" s="54">
        <v>97913</v>
      </c>
    </row>
    <row r="1481" spans="2:3">
      <c r="B1481" s="4" t="s">
        <v>69</v>
      </c>
      <c r="C1481" s="54">
        <v>90621</v>
      </c>
    </row>
    <row r="1482" spans="2:3">
      <c r="B1482" s="4" t="s">
        <v>183</v>
      </c>
      <c r="C1482" s="54">
        <v>91621</v>
      </c>
    </row>
    <row r="1483" spans="2:3">
      <c r="B1483" s="4" t="s">
        <v>754</v>
      </c>
      <c r="C1483" s="54">
        <v>98231</v>
      </c>
    </row>
    <row r="1484" spans="2:3">
      <c r="B1484" s="4" t="s">
        <v>207</v>
      </c>
      <c r="C1484" s="54">
        <v>91871</v>
      </c>
    </row>
    <row r="1485" spans="2:3">
      <c r="B1485" s="4" t="s">
        <v>842</v>
      </c>
      <c r="C1485" s="54">
        <v>99311</v>
      </c>
    </row>
    <row r="1486" spans="2:3">
      <c r="B1486" s="4" t="s">
        <v>617</v>
      </c>
      <c r="C1486" s="54">
        <v>96751</v>
      </c>
    </row>
    <row r="1487" spans="2:3">
      <c r="B1487" s="4" t="s">
        <v>874</v>
      </c>
      <c r="C1487" s="54">
        <v>99717</v>
      </c>
    </row>
    <row r="1488" spans="2:3">
      <c r="B1488" s="4" t="s">
        <v>873</v>
      </c>
      <c r="C1488" s="54">
        <v>99711</v>
      </c>
    </row>
    <row r="1489" spans="2:3">
      <c r="B1489" s="4" t="s">
        <v>598</v>
      </c>
      <c r="C1489" s="54">
        <v>96601</v>
      </c>
    </row>
    <row r="1490" spans="2:3">
      <c r="B1490" s="4" t="s">
        <v>599</v>
      </c>
      <c r="C1490" s="54">
        <v>96604</v>
      </c>
    </row>
    <row r="1491" spans="2:3">
      <c r="B1491" s="4" t="s">
        <v>105</v>
      </c>
      <c r="C1491" s="54">
        <v>91012</v>
      </c>
    </row>
    <row r="1492" spans="2:3">
      <c r="B1492" s="4" t="s">
        <v>50</v>
      </c>
      <c r="C1492" s="54">
        <v>90305</v>
      </c>
    </row>
    <row r="1493" spans="2:3">
      <c r="B1493" s="4" t="s">
        <v>771</v>
      </c>
      <c r="C1493" s="54">
        <v>98427</v>
      </c>
    </row>
    <row r="1494" spans="2:3">
      <c r="B1494" s="4" t="s">
        <v>770</v>
      </c>
      <c r="C1494" s="54">
        <v>98421</v>
      </c>
    </row>
    <row r="1495" spans="2:3">
      <c r="B1495" s="4" t="s">
        <v>527</v>
      </c>
      <c r="C1495" s="54">
        <v>95821</v>
      </c>
    </row>
    <row r="1496" spans="2:3">
      <c r="B1496" s="4" t="s">
        <v>112</v>
      </c>
      <c r="C1496" s="54">
        <v>91027</v>
      </c>
    </row>
    <row r="1497" spans="2:3">
      <c r="B1497" s="4" t="s">
        <v>109</v>
      </c>
      <c r="C1497" s="54">
        <v>91021</v>
      </c>
    </row>
    <row r="1498" spans="2:3">
      <c r="B1498" s="4" t="s">
        <v>402</v>
      </c>
      <c r="C1498" s="54">
        <v>94161</v>
      </c>
    </row>
    <row r="1499" spans="2:3">
      <c r="B1499" s="4" t="s">
        <v>773</v>
      </c>
      <c r="C1499" s="54">
        <v>98441</v>
      </c>
    </row>
    <row r="1500" spans="2:3">
      <c r="B1500" s="4" t="s">
        <v>119</v>
      </c>
      <c r="C1500" s="54">
        <v>91067</v>
      </c>
    </row>
    <row r="1501" spans="2:3">
      <c r="B1501" s="4" t="s">
        <v>118</v>
      </c>
      <c r="C1501" s="54">
        <v>91061</v>
      </c>
    </row>
    <row r="1502" spans="2:3">
      <c r="B1502" s="4" t="s">
        <v>458</v>
      </c>
      <c r="C1502" s="54">
        <v>94812</v>
      </c>
    </row>
    <row r="1503" spans="2:3">
      <c r="B1503" s="4" t="s">
        <v>535</v>
      </c>
      <c r="C1503" s="54">
        <v>95921</v>
      </c>
    </row>
    <row r="1504" spans="2:3">
      <c r="B1504" s="4" t="s">
        <v>609</v>
      </c>
      <c r="C1504" s="54">
        <v>96701</v>
      </c>
    </row>
    <row r="1505" spans="2:3">
      <c r="B1505" s="4" t="s">
        <v>610</v>
      </c>
      <c r="C1505" s="54">
        <v>96704</v>
      </c>
    </row>
    <row r="1506" spans="2:3">
      <c r="B1506" s="4" t="s">
        <v>611</v>
      </c>
      <c r="C1506" s="54">
        <v>96708</v>
      </c>
    </row>
    <row r="1507" spans="2:3">
      <c r="B1507" s="4" t="s">
        <v>618</v>
      </c>
      <c r="C1507" s="54">
        <v>96801</v>
      </c>
    </row>
    <row r="1508" spans="2:3">
      <c r="B1508" s="4" t="s">
        <v>619</v>
      </c>
      <c r="C1508" s="54">
        <v>96804</v>
      </c>
    </row>
    <row r="1509" spans="2:3">
      <c r="B1509" s="4" t="s">
        <v>620</v>
      </c>
      <c r="C1509" s="54">
        <v>96808</v>
      </c>
    </row>
    <row r="1510" spans="2:3">
      <c r="B1510" s="4" t="s">
        <v>626</v>
      </c>
      <c r="C1510" s="54">
        <v>96912</v>
      </c>
    </row>
    <row r="1511" spans="2:3">
      <c r="B1511" s="4" t="s">
        <v>378</v>
      </c>
      <c r="C1511" s="54">
        <v>93913</v>
      </c>
    </row>
    <row r="1512" spans="2:3">
      <c r="B1512" s="4" t="s">
        <v>377</v>
      </c>
      <c r="C1512" s="54">
        <v>93911</v>
      </c>
    </row>
    <row r="1513" spans="2:3">
      <c r="B1513" s="4" t="s">
        <v>624</v>
      </c>
      <c r="C1513" s="54">
        <v>96901</v>
      </c>
    </row>
    <row r="1514" spans="2:3">
      <c r="B1514" s="4" t="s">
        <v>2320</v>
      </c>
      <c r="C1514" s="54">
        <v>97841</v>
      </c>
    </row>
    <row r="1515" spans="2:3">
      <c r="B1515" s="4" t="s">
        <v>313</v>
      </c>
      <c r="C1515" s="54">
        <v>93202</v>
      </c>
    </row>
    <row r="1516" spans="2:3">
      <c r="B1516" s="4" t="s">
        <v>2321</v>
      </c>
      <c r="C1516" s="54">
        <v>93609</v>
      </c>
    </row>
    <row r="1517" spans="2:3">
      <c r="B1517" s="4" t="s">
        <v>628</v>
      </c>
      <c r="C1517" s="54">
        <v>97001</v>
      </c>
    </row>
    <row r="1518" spans="2:3">
      <c r="B1518" s="4" t="s">
        <v>630</v>
      </c>
      <c r="C1518" s="54">
        <v>97004</v>
      </c>
    </row>
    <row r="1519" spans="2:3">
      <c r="B1519" s="4" t="s">
        <v>629</v>
      </c>
      <c r="C1519" s="54">
        <v>97002</v>
      </c>
    </row>
    <row r="1520" spans="2:3">
      <c r="B1520" s="4" t="s">
        <v>637</v>
      </c>
      <c r="C1520" s="54">
        <v>97015</v>
      </c>
    </row>
    <row r="1521" spans="2:3">
      <c r="B1521" s="4" t="s">
        <v>58</v>
      </c>
      <c r="C1521" s="54">
        <v>90441</v>
      </c>
    </row>
    <row r="1522" spans="2:3">
      <c r="B1522" s="4" t="s">
        <v>707</v>
      </c>
      <c r="C1522" s="54">
        <v>97853</v>
      </c>
    </row>
    <row r="1523" spans="2:3">
      <c r="B1523" s="4" t="s">
        <v>706</v>
      </c>
      <c r="C1523" s="54">
        <v>97851</v>
      </c>
    </row>
    <row r="1524" spans="2:3">
      <c r="B1524" s="4" t="s">
        <v>639</v>
      </c>
      <c r="C1524" s="54">
        <v>97101</v>
      </c>
    </row>
    <row r="1525" spans="2:3">
      <c r="B1525" s="4" t="s">
        <v>640</v>
      </c>
      <c r="C1525" s="54">
        <v>97104</v>
      </c>
    </row>
    <row r="1526" spans="2:3">
      <c r="B1526" s="4" t="s">
        <v>644</v>
      </c>
      <c r="C1526" s="54">
        <v>97201</v>
      </c>
    </row>
    <row r="1527" spans="2:3">
      <c r="B1527" s="4" t="s">
        <v>649</v>
      </c>
      <c r="C1527" s="54">
        <v>97301</v>
      </c>
    </row>
    <row r="1528" spans="2:3">
      <c r="B1528" s="4" t="s">
        <v>650</v>
      </c>
      <c r="C1528" s="54">
        <v>97304</v>
      </c>
    </row>
    <row r="1529" spans="2:3">
      <c r="B1529" s="4" t="s">
        <v>846</v>
      </c>
      <c r="C1529" s="54">
        <v>99405</v>
      </c>
    </row>
    <row r="1530" spans="2:3">
      <c r="B1530" s="4" t="s">
        <v>28</v>
      </c>
      <c r="C1530" s="54">
        <v>72265</v>
      </c>
    </row>
    <row r="1531" spans="2:3">
      <c r="B1531" s="4" t="s">
        <v>332</v>
      </c>
      <c r="C1531" s="54">
        <v>93406</v>
      </c>
    </row>
    <row r="1532" spans="2:3">
      <c r="B1532" s="4" t="s">
        <v>394</v>
      </c>
      <c r="C1532" s="54">
        <v>94112</v>
      </c>
    </row>
    <row r="1533" spans="2:3">
      <c r="B1533" s="4" t="s">
        <v>869</v>
      </c>
      <c r="C1533" s="54">
        <v>99651</v>
      </c>
    </row>
    <row r="1534" spans="2:3">
      <c r="B1534" s="4" t="s">
        <v>781</v>
      </c>
      <c r="C1534" s="54">
        <v>98607</v>
      </c>
    </row>
    <row r="1535" spans="2:3">
      <c r="B1535" s="4" t="s">
        <v>783</v>
      </c>
      <c r="C1535" s="54">
        <v>98611</v>
      </c>
    </row>
    <row r="1536" spans="2:3">
      <c r="B1536" s="4" t="s">
        <v>186</v>
      </c>
      <c r="C1536" s="54">
        <v>91641</v>
      </c>
    </row>
    <row r="1537" spans="2:3">
      <c r="B1537" s="4" t="s">
        <v>487</v>
      </c>
      <c r="C1537" s="54">
        <v>95161</v>
      </c>
    </row>
    <row r="1538" spans="2:3">
      <c r="B1538" s="4" t="s">
        <v>573</v>
      </c>
      <c r="C1538" s="54">
        <v>96361</v>
      </c>
    </row>
    <row r="1539" spans="2:3">
      <c r="B1539" s="4" t="s">
        <v>391</v>
      </c>
      <c r="C1539" s="54">
        <v>94108</v>
      </c>
    </row>
    <row r="1540" spans="2:3">
      <c r="B1540" s="4" t="s">
        <v>572</v>
      </c>
      <c r="C1540" s="54">
        <v>96351</v>
      </c>
    </row>
    <row r="1541" spans="2:3">
      <c r="B1541" s="4" t="s">
        <v>326</v>
      </c>
      <c r="C1541" s="54">
        <v>93331</v>
      </c>
    </row>
    <row r="1542" spans="2:3">
      <c r="B1542" s="4" t="s">
        <v>544</v>
      </c>
      <c r="C1542" s="54">
        <v>96021</v>
      </c>
    </row>
    <row r="1543" spans="2:3">
      <c r="B1543" s="4" t="s">
        <v>507</v>
      </c>
      <c r="C1543" s="54">
        <v>95421</v>
      </c>
    </row>
    <row r="1544" spans="2:3">
      <c r="B1544" s="4" t="s">
        <v>652</v>
      </c>
      <c r="C1544" s="54">
        <v>97401</v>
      </c>
    </row>
    <row r="1545" spans="2:3">
      <c r="B1545" s="4" t="s">
        <v>654</v>
      </c>
      <c r="C1545" s="54">
        <v>97404</v>
      </c>
    </row>
    <row r="1546" spans="2:3">
      <c r="B1546" s="4" t="s">
        <v>653</v>
      </c>
      <c r="C1546" s="54">
        <v>97402</v>
      </c>
    </row>
    <row r="1547" spans="2:3">
      <c r="B1547" s="4" t="s">
        <v>215</v>
      </c>
      <c r="C1547" s="54">
        <v>91921</v>
      </c>
    </row>
    <row r="1548" spans="2:3">
      <c r="B1548" s="4" t="s">
        <v>532</v>
      </c>
      <c r="C1548" s="54">
        <v>95908</v>
      </c>
    </row>
    <row r="1549" spans="2:3">
      <c r="B1549" s="4" t="s">
        <v>848</v>
      </c>
      <c r="C1549" s="54">
        <v>99413</v>
      </c>
    </row>
    <row r="1550" spans="2:3">
      <c r="B1550" s="4" t="s">
        <v>847</v>
      </c>
      <c r="C1550" s="54">
        <v>99411</v>
      </c>
    </row>
    <row r="1551" spans="2:3">
      <c r="B1551" s="4" t="s">
        <v>669</v>
      </c>
      <c r="C1551" s="54">
        <v>97501</v>
      </c>
    </row>
    <row r="1552" spans="2:3">
      <c r="B1552" s="4" t="s">
        <v>57</v>
      </c>
      <c r="C1552" s="54">
        <v>90431</v>
      </c>
    </row>
    <row r="1553" spans="2:3">
      <c r="B1553" s="4" t="s">
        <v>494</v>
      </c>
      <c r="C1553" s="54">
        <v>95211</v>
      </c>
    </row>
    <row r="1554" spans="2:3">
      <c r="B1554" s="4" t="s">
        <v>489</v>
      </c>
      <c r="C1554" s="54">
        <v>95181</v>
      </c>
    </row>
    <row r="1555" spans="2:3">
      <c r="B1555" s="4" t="s">
        <v>329</v>
      </c>
      <c r="C1555" s="54">
        <v>93351</v>
      </c>
    </row>
    <row r="1556" spans="2:3">
      <c r="B1556" s="4" t="s">
        <v>455</v>
      </c>
      <c r="C1556" s="54">
        <v>94711</v>
      </c>
    </row>
    <row r="1557" spans="2:3">
      <c r="B1557" s="4" t="s">
        <v>828</v>
      </c>
      <c r="C1557" s="54">
        <v>99213</v>
      </c>
    </row>
    <row r="1558" spans="2:3">
      <c r="B1558" s="4" t="s">
        <v>826</v>
      </c>
      <c r="C1558" s="54">
        <v>99211</v>
      </c>
    </row>
    <row r="1559" spans="2:3">
      <c r="B1559" s="4" t="s">
        <v>829</v>
      </c>
      <c r="C1559" s="54">
        <v>99218</v>
      </c>
    </row>
    <row r="1560" spans="2:3">
      <c r="B1560" s="4" t="s">
        <v>682</v>
      </c>
      <c r="C1560" s="54">
        <v>97641</v>
      </c>
    </row>
    <row r="1561" spans="2:3">
      <c r="B1561" s="4" t="s">
        <v>679</v>
      </c>
      <c r="C1561" s="54">
        <v>97627</v>
      </c>
    </row>
    <row r="1562" spans="2:3">
      <c r="B1562" s="4" t="s">
        <v>678</v>
      </c>
      <c r="C1562" s="54">
        <v>97623</v>
      </c>
    </row>
    <row r="1563" spans="2:3">
      <c r="B1563" s="4" t="s">
        <v>677</v>
      </c>
      <c r="C1563" s="54">
        <v>97621</v>
      </c>
    </row>
    <row r="1564" spans="2:3">
      <c r="B1564" s="4" t="s">
        <v>673</v>
      </c>
      <c r="C1564" s="54">
        <v>97601</v>
      </c>
    </row>
    <row r="1565" spans="2:3">
      <c r="B1565" s="4" t="s">
        <v>365</v>
      </c>
      <c r="C1565" s="54">
        <v>93681</v>
      </c>
    </row>
    <row r="1566" spans="2:3">
      <c r="B1566" s="4" t="s">
        <v>710</v>
      </c>
      <c r="C1566" s="54">
        <v>97877</v>
      </c>
    </row>
    <row r="1567" spans="2:3">
      <c r="B1567" s="4" t="s">
        <v>709</v>
      </c>
      <c r="C1567" s="54">
        <v>97871</v>
      </c>
    </row>
    <row r="1568" spans="2:3">
      <c r="B1568" s="4" t="s">
        <v>852</v>
      </c>
      <c r="C1568" s="54">
        <v>99502</v>
      </c>
    </row>
    <row r="1569" spans="2:3">
      <c r="B1569" s="4" t="s">
        <v>714</v>
      </c>
      <c r="C1569" s="54">
        <v>97917</v>
      </c>
    </row>
    <row r="1570" spans="2:3">
      <c r="B1570" s="4" t="s">
        <v>712</v>
      </c>
      <c r="C1570" s="54">
        <v>97911</v>
      </c>
    </row>
    <row r="1571" spans="2:3">
      <c r="B1571" s="4" t="s">
        <v>600</v>
      </c>
      <c r="C1571" s="54">
        <v>96611</v>
      </c>
    </row>
    <row r="1572" spans="2:3">
      <c r="B1572" s="4" t="s">
        <v>616</v>
      </c>
      <c r="C1572" s="54">
        <v>96741</v>
      </c>
    </row>
    <row r="1573" spans="2:3">
      <c r="B1573" s="4" t="s">
        <v>685</v>
      </c>
      <c r="C1573" s="54">
        <v>97701</v>
      </c>
    </row>
    <row r="1574" spans="2:3">
      <c r="B1574" s="4" t="s">
        <v>257</v>
      </c>
      <c r="C1574" s="54">
        <v>92541</v>
      </c>
    </row>
    <row r="1575" spans="2:3">
      <c r="B1575" s="4" t="s">
        <v>409</v>
      </c>
      <c r="C1575" s="54">
        <v>94209</v>
      </c>
    </row>
    <row r="1576" spans="2:3">
      <c r="B1576" s="4" t="s">
        <v>411</v>
      </c>
      <c r="C1576" s="54">
        <v>94221</v>
      </c>
    </row>
    <row r="1577" spans="2:3">
      <c r="B1577" s="4" t="s">
        <v>571</v>
      </c>
      <c r="C1577" s="54">
        <v>96341</v>
      </c>
    </row>
    <row r="1578" spans="2:3">
      <c r="B1578" s="4" t="s">
        <v>371</v>
      </c>
      <c r="C1578" s="54">
        <v>93821</v>
      </c>
    </row>
    <row r="1579" spans="2:3">
      <c r="B1579" s="4" t="s">
        <v>531</v>
      </c>
      <c r="C1579" s="54">
        <v>95853</v>
      </c>
    </row>
    <row r="1580" spans="2:3">
      <c r="B1580" s="4" t="s">
        <v>530</v>
      </c>
      <c r="C1580" s="54">
        <v>95851</v>
      </c>
    </row>
    <row r="1581" spans="2:3">
      <c r="B1581" s="4" t="s">
        <v>693</v>
      </c>
      <c r="C1581" s="54">
        <v>97801</v>
      </c>
    </row>
    <row r="1582" spans="2:3">
      <c r="B1582" s="4" t="s">
        <v>695</v>
      </c>
      <c r="C1582" s="54">
        <v>97803</v>
      </c>
    </row>
    <row r="1583" spans="2:3">
      <c r="B1583" s="4" t="s">
        <v>696</v>
      </c>
      <c r="C1583" s="54">
        <v>97805</v>
      </c>
    </row>
    <row r="1584" spans="2:3">
      <c r="B1584" s="4" t="s">
        <v>691</v>
      </c>
      <c r="C1584" s="54">
        <v>97727</v>
      </c>
    </row>
    <row r="1585" spans="2:3">
      <c r="B1585" s="4" t="s">
        <v>711</v>
      </c>
      <c r="C1585" s="54">
        <v>97901</v>
      </c>
    </row>
    <row r="1586" spans="2:3">
      <c r="B1586" s="4" t="s">
        <v>688</v>
      </c>
      <c r="C1586" s="54">
        <v>97713</v>
      </c>
    </row>
    <row r="1587" spans="2:3">
      <c r="B1587" s="4" t="s">
        <v>687</v>
      </c>
      <c r="C1587" s="54">
        <v>97711</v>
      </c>
    </row>
    <row r="1588" spans="2:3">
      <c r="B1588" s="4" t="s">
        <v>734</v>
      </c>
      <c r="C1588" s="54">
        <v>98071</v>
      </c>
    </row>
    <row r="1589" spans="2:3">
      <c r="B1589" s="4" t="s">
        <v>327</v>
      </c>
      <c r="C1589" s="54">
        <v>93333</v>
      </c>
    </row>
    <row r="1590" spans="2:3">
      <c r="B1590" s="4" t="s">
        <v>324</v>
      </c>
      <c r="C1590" s="54">
        <v>93321</v>
      </c>
    </row>
    <row r="1591" spans="2:3">
      <c r="B1591" s="4" t="s">
        <v>325</v>
      </c>
      <c r="C1591" s="54">
        <v>93323</v>
      </c>
    </row>
    <row r="1592" spans="2:3">
      <c r="B1592" s="4" t="s">
        <v>820</v>
      </c>
      <c r="C1592" s="54">
        <v>99203</v>
      </c>
    </row>
    <row r="1593" spans="2:3">
      <c r="B1593" s="4" t="s">
        <v>849</v>
      </c>
      <c r="C1593" s="54">
        <v>99421</v>
      </c>
    </row>
    <row r="1594" spans="2:3">
      <c r="B1594" s="4" t="s">
        <v>308</v>
      </c>
      <c r="C1594" s="54">
        <v>93161</v>
      </c>
    </row>
    <row r="1595" spans="2:3">
      <c r="B1595" s="4" t="s">
        <v>755</v>
      </c>
      <c r="C1595" s="54">
        <v>98237</v>
      </c>
    </row>
    <row r="1596" spans="2:3">
      <c r="B1596" s="4" t="s">
        <v>758</v>
      </c>
      <c r="C1596" s="54">
        <v>98261</v>
      </c>
    </row>
    <row r="1597" spans="2:3">
      <c r="B1597" s="4" t="s">
        <v>2322</v>
      </c>
      <c r="C1597" s="54">
        <v>98002</v>
      </c>
    </row>
    <row r="1598" spans="2:3">
      <c r="B1598" s="4" t="s">
        <v>722</v>
      </c>
      <c r="C1598" s="54">
        <v>98001</v>
      </c>
    </row>
    <row r="1599" spans="2:3">
      <c r="B1599" s="4" t="s">
        <v>724</v>
      </c>
      <c r="C1599" s="54">
        <v>98004</v>
      </c>
    </row>
    <row r="1600" spans="2:3">
      <c r="B1600" s="4" t="s">
        <v>723</v>
      </c>
      <c r="C1600" s="54">
        <v>98003</v>
      </c>
    </row>
    <row r="1601" spans="2:3">
      <c r="B1601" s="4" t="s">
        <v>725</v>
      </c>
      <c r="C1601" s="54">
        <v>98008</v>
      </c>
    </row>
    <row r="1602" spans="2:3">
      <c r="B1602" s="4" t="s">
        <v>708</v>
      </c>
      <c r="C1602" s="54">
        <v>97861</v>
      </c>
    </row>
    <row r="1603" spans="2:3">
      <c r="B1603" s="4" t="s">
        <v>651</v>
      </c>
      <c r="C1603" s="54">
        <v>97311</v>
      </c>
    </row>
    <row r="1604" spans="2:3">
      <c r="B1604" s="4" t="s">
        <v>336</v>
      </c>
      <c r="C1604" s="54">
        <v>93431</v>
      </c>
    </row>
    <row r="1605" spans="2:3">
      <c r="B1605" s="4" t="s">
        <v>149</v>
      </c>
      <c r="C1605" s="54">
        <v>91214</v>
      </c>
    </row>
    <row r="1606" spans="2:3">
      <c r="B1606" s="4" t="s">
        <v>737</v>
      </c>
      <c r="C1606" s="54">
        <v>98101</v>
      </c>
    </row>
    <row r="1607" spans="2:3">
      <c r="B1607" s="4" t="s">
        <v>739</v>
      </c>
      <c r="C1607" s="54">
        <v>98103</v>
      </c>
    </row>
    <row r="1608" spans="2:3">
      <c r="B1608" s="4" t="s">
        <v>747</v>
      </c>
      <c r="C1608" s="54">
        <v>98147</v>
      </c>
    </row>
    <row r="1609" spans="2:3">
      <c r="B1609" s="4" t="s">
        <v>746</v>
      </c>
      <c r="C1609" s="54">
        <v>98141</v>
      </c>
    </row>
    <row r="1610" spans="2:3">
      <c r="B1610" s="4" t="s">
        <v>703</v>
      </c>
      <c r="C1610" s="54">
        <v>97837</v>
      </c>
    </row>
    <row r="1611" spans="2:3">
      <c r="B1611" s="4" t="s">
        <v>753</v>
      </c>
      <c r="C1611" s="54">
        <v>98221</v>
      </c>
    </row>
    <row r="1612" spans="2:3">
      <c r="B1612" s="4" t="s">
        <v>727</v>
      </c>
      <c r="C1612" s="54">
        <v>98013</v>
      </c>
    </row>
    <row r="1613" spans="2:3">
      <c r="B1613" s="4" t="s">
        <v>726</v>
      </c>
      <c r="C1613" s="54">
        <v>98011</v>
      </c>
    </row>
    <row r="1614" spans="2:3">
      <c r="B1614" s="4" t="s">
        <v>672</v>
      </c>
      <c r="C1614" s="54">
        <v>97531</v>
      </c>
    </row>
    <row r="1615" spans="2:3">
      <c r="B1615" s="4" t="s">
        <v>749</v>
      </c>
      <c r="C1615" s="54">
        <v>98201</v>
      </c>
    </row>
    <row r="1616" spans="2:3">
      <c r="B1616" s="4" t="s">
        <v>686</v>
      </c>
      <c r="C1616" s="54">
        <v>97705</v>
      </c>
    </row>
    <row r="1617" spans="2:3">
      <c r="B1617" s="4" t="s">
        <v>2323</v>
      </c>
      <c r="C1617" s="54">
        <v>96318</v>
      </c>
    </row>
    <row r="1618" spans="2:3">
      <c r="B1618" s="4" t="s">
        <v>498</v>
      </c>
      <c r="C1618" s="54">
        <v>95317</v>
      </c>
    </row>
    <row r="1619" spans="2:3">
      <c r="B1619" s="4" t="s">
        <v>497</v>
      </c>
      <c r="C1619" s="54">
        <v>95311</v>
      </c>
    </row>
    <row r="1620" spans="2:3">
      <c r="B1620" s="4" t="s">
        <v>170</v>
      </c>
      <c r="C1620" s="54">
        <v>91421</v>
      </c>
    </row>
    <row r="1621" spans="2:3">
      <c r="B1621" s="4" t="s">
        <v>760</v>
      </c>
      <c r="C1621" s="54">
        <v>98301</v>
      </c>
    </row>
    <row r="1622" spans="2:3">
      <c r="B1622" s="4" t="s">
        <v>761</v>
      </c>
      <c r="C1622" s="54">
        <v>98304</v>
      </c>
    </row>
    <row r="1623" spans="2:3">
      <c r="B1623" s="4" t="s">
        <v>413</v>
      </c>
      <c r="C1623" s="54">
        <v>94241</v>
      </c>
    </row>
    <row r="1624" spans="2:3">
      <c r="B1624" s="4" t="s">
        <v>608</v>
      </c>
      <c r="C1624" s="54">
        <v>96681</v>
      </c>
    </row>
    <row r="1625" spans="2:3">
      <c r="B1625" s="4" t="s">
        <v>483</v>
      </c>
      <c r="C1625" s="54">
        <v>95123</v>
      </c>
    </row>
    <row r="1626" spans="2:3">
      <c r="B1626" s="4" t="s">
        <v>481</v>
      </c>
      <c r="C1626" s="54">
        <v>95121</v>
      </c>
    </row>
    <row r="1627" spans="2:3">
      <c r="B1627" s="4" t="s">
        <v>858</v>
      </c>
      <c r="C1627" s="54">
        <v>99531</v>
      </c>
    </row>
    <row r="1628" spans="2:3">
      <c r="B1628" s="4" t="s">
        <v>607</v>
      </c>
      <c r="C1628" s="54">
        <v>96671</v>
      </c>
    </row>
    <row r="1629" spans="2:3">
      <c r="B1629" s="4" t="s">
        <v>117</v>
      </c>
      <c r="C1629" s="54">
        <v>91057</v>
      </c>
    </row>
    <row r="1630" spans="2:3">
      <c r="B1630" s="4" t="s">
        <v>122</v>
      </c>
      <c r="C1630" s="54">
        <v>91081</v>
      </c>
    </row>
    <row r="1631" spans="2:3">
      <c r="B1631" s="4" t="s">
        <v>585</v>
      </c>
      <c r="C1631" s="54">
        <v>96461</v>
      </c>
    </row>
    <row r="1632" spans="2:3">
      <c r="B1632" s="4" t="s">
        <v>230</v>
      </c>
      <c r="C1632" s="54">
        <v>92317</v>
      </c>
    </row>
    <row r="1633" spans="2:3">
      <c r="B1633" s="4" t="s">
        <v>229</v>
      </c>
      <c r="C1633" s="54">
        <v>92311</v>
      </c>
    </row>
    <row r="1634" spans="2:3">
      <c r="B1634" s="4" t="s">
        <v>655</v>
      </c>
      <c r="C1634" s="54">
        <v>97405</v>
      </c>
    </row>
    <row r="1635" spans="2:3">
      <c r="B1635" s="4" t="s">
        <v>214</v>
      </c>
      <c r="C1635" s="54">
        <v>91917</v>
      </c>
    </row>
    <row r="1636" spans="2:3">
      <c r="B1636" s="4" t="s">
        <v>213</v>
      </c>
      <c r="C1636" s="54">
        <v>91911</v>
      </c>
    </row>
    <row r="1637" spans="2:3">
      <c r="B1637" s="4" t="s">
        <v>667</v>
      </c>
      <c r="C1637" s="54">
        <v>97481</v>
      </c>
    </row>
    <row r="1638" spans="2:3">
      <c r="B1638" s="4" t="s">
        <v>136</v>
      </c>
      <c r="C1638" s="54">
        <v>91138</v>
      </c>
    </row>
    <row r="1639" spans="2:3">
      <c r="B1639" s="4" t="s">
        <v>480</v>
      </c>
      <c r="C1639" s="54">
        <v>95113</v>
      </c>
    </row>
    <row r="1640" spans="2:3">
      <c r="B1640" s="4" t="s">
        <v>479</v>
      </c>
      <c r="C1640" s="54">
        <v>95111</v>
      </c>
    </row>
    <row r="1641" spans="2:3">
      <c r="B1641" s="4" t="s">
        <v>472</v>
      </c>
      <c r="C1641" s="54">
        <v>95009</v>
      </c>
    </row>
    <row r="1642" spans="2:3">
      <c r="B1642" s="4" t="s">
        <v>387</v>
      </c>
      <c r="C1642" s="54">
        <v>94021</v>
      </c>
    </row>
    <row r="1643" spans="2:3">
      <c r="B1643" s="4" t="s">
        <v>376</v>
      </c>
      <c r="C1643" s="54">
        <v>93910</v>
      </c>
    </row>
    <row r="1644" spans="2:3">
      <c r="B1644" s="4" t="s">
        <v>2324</v>
      </c>
      <c r="C1644" s="54">
        <v>91013</v>
      </c>
    </row>
    <row r="1645" spans="2:3">
      <c r="B1645" s="4" t="s">
        <v>92</v>
      </c>
      <c r="C1645" s="54">
        <v>90918</v>
      </c>
    </row>
    <row r="1646" spans="2:3">
      <c r="B1646" s="4" t="s">
        <v>567</v>
      </c>
      <c r="C1646" s="54">
        <v>96311</v>
      </c>
    </row>
    <row r="1647" spans="2:3">
      <c r="B1647" s="4" t="s">
        <v>283</v>
      </c>
      <c r="C1647" s="54">
        <v>92841</v>
      </c>
    </row>
    <row r="1648" spans="2:3">
      <c r="B1648" s="4" t="s">
        <v>863</v>
      </c>
      <c r="C1648" s="54">
        <v>99609</v>
      </c>
    </row>
    <row r="1649" spans="2:3">
      <c r="B1649" s="4" t="s">
        <v>107</v>
      </c>
      <c r="C1649" s="54">
        <v>91017</v>
      </c>
    </row>
    <row r="1650" spans="2:3">
      <c r="B1650" s="4" t="s">
        <v>104</v>
      </c>
      <c r="C1650" s="54">
        <v>91011</v>
      </c>
    </row>
    <row r="1651" spans="2:3">
      <c r="B1651" s="4" t="s">
        <v>471</v>
      </c>
      <c r="C1651" s="54">
        <v>95008</v>
      </c>
    </row>
    <row r="1652" spans="2:3">
      <c r="B1652" s="4" t="s">
        <v>51</v>
      </c>
      <c r="C1652" s="54">
        <v>90307</v>
      </c>
    </row>
    <row r="1653" spans="2:3">
      <c r="B1653" s="4" t="s">
        <v>29</v>
      </c>
      <c r="C1653" s="54">
        <v>72657</v>
      </c>
    </row>
    <row r="1654" spans="2:3">
      <c r="B1654" s="4" t="s">
        <v>730</v>
      </c>
      <c r="C1654" s="54">
        <v>98031</v>
      </c>
    </row>
    <row r="1655" spans="2:3">
      <c r="B1655" s="4" t="s">
        <v>744</v>
      </c>
      <c r="C1655" s="54">
        <v>98121</v>
      </c>
    </row>
    <row r="1656" spans="2:3">
      <c r="B1656" s="4" t="s">
        <v>580</v>
      </c>
      <c r="C1656" s="54">
        <v>96411</v>
      </c>
    </row>
    <row r="1657" spans="2:3">
      <c r="B1657" s="4" t="s">
        <v>272</v>
      </c>
      <c r="C1657" s="54">
        <v>92661</v>
      </c>
    </row>
    <row r="1658" spans="2:3">
      <c r="B1658" s="4" t="s">
        <v>553</v>
      </c>
      <c r="C1658" s="54">
        <v>96111</v>
      </c>
    </row>
    <row r="1659" spans="2:3">
      <c r="B1659" s="4" t="s">
        <v>113</v>
      </c>
      <c r="C1659" s="54">
        <v>91032</v>
      </c>
    </row>
    <row r="1660" spans="2:3">
      <c r="B1660" s="4" t="s">
        <v>702</v>
      </c>
      <c r="C1660" s="54">
        <v>97831</v>
      </c>
    </row>
    <row r="1661" spans="2:3">
      <c r="B1661" s="4" t="s">
        <v>548</v>
      </c>
      <c r="C1661" s="54">
        <v>96061</v>
      </c>
    </row>
    <row r="1662" spans="2:3">
      <c r="B1662" s="4" t="s">
        <v>775</v>
      </c>
      <c r="C1662" s="54">
        <v>98481</v>
      </c>
    </row>
    <row r="1663" spans="2:3">
      <c r="B1663" s="4" t="s">
        <v>351</v>
      </c>
      <c r="C1663" s="54">
        <v>93602</v>
      </c>
    </row>
    <row r="1664" spans="2:3">
      <c r="B1664" s="4" t="s">
        <v>767</v>
      </c>
      <c r="C1664" s="54">
        <v>98401</v>
      </c>
    </row>
    <row r="1665" spans="2:3">
      <c r="B1665" s="4" t="s">
        <v>883</v>
      </c>
      <c r="C1665" s="54">
        <v>99821</v>
      </c>
    </row>
    <row r="1666" spans="2:3">
      <c r="B1666" s="4" t="s">
        <v>557</v>
      </c>
      <c r="C1666" s="54">
        <v>96211</v>
      </c>
    </row>
    <row r="1667" spans="2:3">
      <c r="B1667" s="4" t="s">
        <v>462</v>
      </c>
      <c r="C1667" s="54">
        <v>94917</v>
      </c>
    </row>
    <row r="1668" spans="2:3">
      <c r="B1668" s="4" t="s">
        <v>461</v>
      </c>
      <c r="C1668" s="54">
        <v>94911</v>
      </c>
    </row>
    <row r="1669" spans="2:3">
      <c r="B1669" s="4" t="s">
        <v>268</v>
      </c>
      <c r="C1669" s="54">
        <v>92621</v>
      </c>
    </row>
    <row r="1670" spans="2:3">
      <c r="B1670" s="4" t="s">
        <v>776</v>
      </c>
      <c r="C1670" s="54">
        <v>98501</v>
      </c>
    </row>
    <row r="1671" spans="2:3">
      <c r="B1671" s="4" t="s">
        <v>716</v>
      </c>
      <c r="C1671" s="54">
        <v>97931</v>
      </c>
    </row>
    <row r="1672" spans="2:3">
      <c r="B1672" s="4" t="s">
        <v>379</v>
      </c>
      <c r="C1672" s="54">
        <v>93914</v>
      </c>
    </row>
    <row r="1673" spans="2:3">
      <c r="B1673" s="4" t="s">
        <v>72</v>
      </c>
      <c r="C1673" s="54">
        <v>90651</v>
      </c>
    </row>
    <row r="1674" spans="2:3">
      <c r="B1674" s="4" t="s">
        <v>405</v>
      </c>
      <c r="C1674" s="54">
        <v>94172</v>
      </c>
    </row>
    <row r="1675" spans="2:3">
      <c r="B1675" s="4" t="s">
        <v>404</v>
      </c>
      <c r="C1675" s="54">
        <v>94171</v>
      </c>
    </row>
    <row r="1676" spans="2:3">
      <c r="B1676" s="4" t="s">
        <v>115</v>
      </c>
      <c r="C1676" s="54">
        <v>91047</v>
      </c>
    </row>
    <row r="1677" spans="2:3">
      <c r="B1677" s="4" t="s">
        <v>114</v>
      </c>
      <c r="C1677" s="54">
        <v>91041</v>
      </c>
    </row>
    <row r="1678" spans="2:3">
      <c r="B1678" s="4" t="s">
        <v>643</v>
      </c>
      <c r="C1678" s="54">
        <v>97131</v>
      </c>
    </row>
    <row r="1679" spans="2:3">
      <c r="B1679" s="4" t="s">
        <v>780</v>
      </c>
      <c r="C1679" s="54">
        <v>98601</v>
      </c>
    </row>
    <row r="1680" spans="2:3">
      <c r="B1680" s="4" t="s">
        <v>790</v>
      </c>
      <c r="C1680" s="54">
        <v>98701</v>
      </c>
    </row>
    <row r="1681" spans="2:3">
      <c r="B1681" s="4" t="s">
        <v>613</v>
      </c>
      <c r="C1681" s="54">
        <v>96721</v>
      </c>
    </row>
    <row r="1682" spans="2:3">
      <c r="B1682" s="4" t="s">
        <v>473</v>
      </c>
      <c r="C1682" s="54">
        <v>95011</v>
      </c>
    </row>
    <row r="1683" spans="2:3">
      <c r="B1683" s="4" t="s">
        <v>245</v>
      </c>
      <c r="C1683" s="54">
        <v>92451</v>
      </c>
    </row>
    <row r="1684" spans="2:3">
      <c r="B1684" s="4" t="s">
        <v>323</v>
      </c>
      <c r="C1684" s="54">
        <v>93317</v>
      </c>
    </row>
    <row r="1685" spans="2:3">
      <c r="B1685" s="4" t="s">
        <v>322</v>
      </c>
      <c r="C1685" s="54">
        <v>93311</v>
      </c>
    </row>
    <row r="1686" spans="2:3">
      <c r="B1686" s="4" t="s">
        <v>48</v>
      </c>
      <c r="C1686" s="54">
        <v>90211</v>
      </c>
    </row>
    <row r="1687" spans="2:3">
      <c r="B1687" s="4" t="s">
        <v>563</v>
      </c>
      <c r="C1687" s="54">
        <v>96302</v>
      </c>
    </row>
    <row r="1688" spans="2:3">
      <c r="B1688" s="4" t="s">
        <v>310</v>
      </c>
      <c r="C1688" s="54">
        <v>93181</v>
      </c>
    </row>
    <row r="1689" spans="2:3">
      <c r="B1689" s="4" t="s">
        <v>225</v>
      </c>
      <c r="C1689" s="54">
        <v>92113</v>
      </c>
    </row>
    <row r="1690" spans="2:3">
      <c r="B1690" s="4" t="s">
        <v>288</v>
      </c>
      <c r="C1690" s="54">
        <v>92913</v>
      </c>
    </row>
    <row r="1691" spans="2:3">
      <c r="B1691" s="4" t="s">
        <v>287</v>
      </c>
      <c r="C1691" s="54">
        <v>92911</v>
      </c>
    </row>
    <row r="1692" spans="2:3">
      <c r="B1692" s="4" t="s">
        <v>341</v>
      </c>
      <c r="C1692" s="54">
        <v>93471</v>
      </c>
    </row>
    <row r="1693" spans="2:3">
      <c r="B1693" s="4" t="s">
        <v>34</v>
      </c>
      <c r="C1693" s="54">
        <v>90098</v>
      </c>
    </row>
    <row r="1694" spans="2:3">
      <c r="B1694" s="4" t="s">
        <v>642</v>
      </c>
      <c r="C1694" s="54">
        <v>97121</v>
      </c>
    </row>
    <row r="1695" spans="2:3">
      <c r="B1695" s="4" t="s">
        <v>239</v>
      </c>
      <c r="C1695" s="54">
        <v>92414</v>
      </c>
    </row>
    <row r="1696" spans="2:3">
      <c r="B1696" s="4" t="s">
        <v>292</v>
      </c>
      <c r="C1696" s="54">
        <v>92941</v>
      </c>
    </row>
    <row r="1697" spans="2:3">
      <c r="B1697" s="4" t="s">
        <v>111</v>
      </c>
      <c r="C1697" s="54">
        <v>91026</v>
      </c>
    </row>
    <row r="1698" spans="2:3">
      <c r="B1698" s="4" t="s">
        <v>793</v>
      </c>
      <c r="C1698" s="54">
        <v>98801</v>
      </c>
    </row>
    <row r="1699" spans="2:3">
      <c r="B1699" s="4" t="s">
        <v>255</v>
      </c>
      <c r="C1699" s="54">
        <v>92521</v>
      </c>
    </row>
    <row r="1700" spans="2:3">
      <c r="B1700" s="4" t="s">
        <v>2325</v>
      </c>
      <c r="C1700" s="54">
        <v>93417</v>
      </c>
    </row>
    <row r="1701" spans="2:3">
      <c r="B1701" s="4" t="s">
        <v>318</v>
      </c>
      <c r="C1701" s="54">
        <v>93219</v>
      </c>
    </row>
    <row r="1702" spans="2:3">
      <c r="B1702" s="4" t="s">
        <v>2326</v>
      </c>
      <c r="C1702" s="54">
        <v>92513</v>
      </c>
    </row>
    <row r="1703" spans="2:3">
      <c r="B1703" s="4" t="s">
        <v>684</v>
      </c>
      <c r="C1703" s="54">
        <v>97661</v>
      </c>
    </row>
    <row r="1704" spans="2:3">
      <c r="B1704" s="4" t="s">
        <v>466</v>
      </c>
      <c r="C1704" s="54">
        <v>94931</v>
      </c>
    </row>
    <row r="1705" spans="2:3">
      <c r="B1705" s="4" t="s">
        <v>558</v>
      </c>
      <c r="C1705" s="54">
        <v>96221</v>
      </c>
    </row>
    <row r="1706" spans="2:3">
      <c r="B1706" s="4" t="s">
        <v>670</v>
      </c>
      <c r="C1706" s="54">
        <v>97511</v>
      </c>
    </row>
    <row r="1707" spans="2:3">
      <c r="B1707" s="4" t="s">
        <v>469</v>
      </c>
      <c r="C1707" s="54">
        <v>95002</v>
      </c>
    </row>
    <row r="1708" spans="2:3">
      <c r="B1708" s="4" t="s">
        <v>757</v>
      </c>
      <c r="C1708" s="54">
        <v>98251</v>
      </c>
    </row>
    <row r="1709" spans="2:3">
      <c r="B1709" s="4" t="s">
        <v>796</v>
      </c>
      <c r="C1709" s="54">
        <v>98901</v>
      </c>
    </row>
    <row r="1710" spans="2:3">
      <c r="B1710" s="4" t="s">
        <v>797</v>
      </c>
      <c r="C1710" s="54">
        <v>98904</v>
      </c>
    </row>
    <row r="1711" spans="2:3">
      <c r="B1711" s="4" t="s">
        <v>799</v>
      </c>
      <c r="C1711" s="54">
        <v>99001</v>
      </c>
    </row>
    <row r="1712" spans="2:3">
      <c r="B1712" s="4" t="s">
        <v>809</v>
      </c>
      <c r="C1712" s="54">
        <v>99061</v>
      </c>
    </row>
    <row r="1713" spans="2:3">
      <c r="B1713" s="4" t="s">
        <v>2327</v>
      </c>
      <c r="C1713" s="54">
        <v>93309</v>
      </c>
    </row>
    <row r="1714" spans="2:3">
      <c r="B1714" s="4" t="s">
        <v>148</v>
      </c>
      <c r="C1714" s="54">
        <v>91213</v>
      </c>
    </row>
    <row r="1715" spans="2:3">
      <c r="B1715" s="4" t="s">
        <v>147</v>
      </c>
      <c r="C1715" s="54">
        <v>91211</v>
      </c>
    </row>
    <row r="1716" spans="2:3">
      <c r="B1716" s="4" t="s">
        <v>813</v>
      </c>
      <c r="C1716" s="54">
        <v>99101</v>
      </c>
    </row>
    <row r="1717" spans="2:3">
      <c r="B1717" s="4" t="s">
        <v>814</v>
      </c>
      <c r="C1717" s="54">
        <v>99104</v>
      </c>
    </row>
    <row r="1718" spans="2:3">
      <c r="B1718" s="4" t="s">
        <v>258</v>
      </c>
      <c r="C1718" s="54">
        <v>92551</v>
      </c>
    </row>
    <row r="1719" spans="2:3">
      <c r="B1719" s="4" t="s">
        <v>569</v>
      </c>
      <c r="C1719" s="54">
        <v>96321</v>
      </c>
    </row>
    <row r="1720" spans="2:3">
      <c r="B1720" s="4" t="s">
        <v>270</v>
      </c>
      <c r="C1720" s="54">
        <v>92641</v>
      </c>
    </row>
    <row r="1721" spans="2:3">
      <c r="B1721" s="4" t="s">
        <v>55</v>
      </c>
      <c r="C1721" s="54">
        <v>90417</v>
      </c>
    </row>
    <row r="1722" spans="2:3">
      <c r="B1722" s="4" t="s">
        <v>54</v>
      </c>
      <c r="C1722" s="54">
        <v>90413</v>
      </c>
    </row>
    <row r="1723" spans="2:3">
      <c r="B1723" s="4" t="s">
        <v>53</v>
      </c>
      <c r="C1723" s="54">
        <v>90411</v>
      </c>
    </row>
    <row r="1724" spans="2:3">
      <c r="B1724" s="4" t="s">
        <v>765</v>
      </c>
      <c r="C1724" s="54">
        <v>98321</v>
      </c>
    </row>
    <row r="1725" spans="2:3">
      <c r="B1725" s="4" t="s">
        <v>818</v>
      </c>
      <c r="C1725" s="54">
        <v>99201</v>
      </c>
    </row>
    <row r="1726" spans="2:3">
      <c r="B1726" s="4" t="s">
        <v>821</v>
      </c>
      <c r="C1726" s="54">
        <v>99204</v>
      </c>
    </row>
    <row r="1727" spans="2:3">
      <c r="B1727" s="4" t="s">
        <v>823</v>
      </c>
      <c r="C1727" s="54">
        <v>99207</v>
      </c>
    </row>
    <row r="1728" spans="2:3">
      <c r="B1728" s="4" t="s">
        <v>838</v>
      </c>
      <c r="C1728" s="54">
        <v>99281</v>
      </c>
    </row>
    <row r="1729" spans="2:3">
      <c r="B1729" s="4" t="s">
        <v>340</v>
      </c>
      <c r="C1729" s="54">
        <v>93461</v>
      </c>
    </row>
    <row r="1730" spans="2:3">
      <c r="B1730" s="4" t="s">
        <v>307</v>
      </c>
      <c r="C1730" s="54">
        <v>93157</v>
      </c>
    </row>
    <row r="1731" spans="2:3">
      <c r="B1731" s="4" t="s">
        <v>306</v>
      </c>
      <c r="C1731" s="54">
        <v>93151</v>
      </c>
    </row>
    <row r="1732" spans="2:3">
      <c r="B1732" s="4" t="s">
        <v>778</v>
      </c>
      <c r="C1732" s="54">
        <v>98517</v>
      </c>
    </row>
    <row r="1733" spans="2:3">
      <c r="B1733" s="4" t="s">
        <v>777</v>
      </c>
      <c r="C1733" s="54">
        <v>98511</v>
      </c>
    </row>
    <row r="1734" spans="2:3">
      <c r="B1734" s="4" t="s">
        <v>870</v>
      </c>
      <c r="C1734" s="54">
        <v>99661</v>
      </c>
    </row>
    <row r="1735" spans="2:3">
      <c r="B1735" s="4" t="s">
        <v>388</v>
      </c>
      <c r="C1735" s="54">
        <v>94031</v>
      </c>
    </row>
    <row r="1736" spans="2:3">
      <c r="B1736" s="4" t="s">
        <v>840</v>
      </c>
      <c r="C1736" s="54">
        <v>99301</v>
      </c>
    </row>
    <row r="1737" spans="2:3">
      <c r="B1737" s="4" t="s">
        <v>841</v>
      </c>
      <c r="C1737" s="54">
        <v>99304</v>
      </c>
    </row>
    <row r="1738" spans="2:3">
      <c r="B1738" s="4" t="s">
        <v>843</v>
      </c>
      <c r="C1738" s="54">
        <v>99321</v>
      </c>
    </row>
    <row r="1739" spans="2:3">
      <c r="B1739" s="4" t="s">
        <v>304</v>
      </c>
      <c r="C1739" s="54">
        <v>93137</v>
      </c>
    </row>
    <row r="1740" spans="2:3">
      <c r="B1740" s="4" t="s">
        <v>303</v>
      </c>
      <c r="C1740" s="54">
        <v>93131</v>
      </c>
    </row>
    <row r="1741" spans="2:3">
      <c r="B1741" s="4" t="s">
        <v>844</v>
      </c>
      <c r="C1741" s="54">
        <v>99401</v>
      </c>
    </row>
    <row r="1742" spans="2:3">
      <c r="B1742" s="4" t="s">
        <v>845</v>
      </c>
      <c r="C1742" s="54">
        <v>99404</v>
      </c>
    </row>
    <row r="1743" spans="2:3">
      <c r="B1743" s="4" t="s">
        <v>79</v>
      </c>
      <c r="C1743" s="54">
        <v>90741</v>
      </c>
    </row>
    <row r="1744" spans="2:3">
      <c r="B1744" s="4" t="s">
        <v>76</v>
      </c>
      <c r="C1744" s="54">
        <v>90711</v>
      </c>
    </row>
    <row r="1745" spans="2:3">
      <c r="B1745" s="4" t="s">
        <v>851</v>
      </c>
      <c r="C1745" s="54">
        <v>99501</v>
      </c>
    </row>
    <row r="1746" spans="2:3">
      <c r="B1746" s="4" t="s">
        <v>854</v>
      </c>
      <c r="C1746" s="54">
        <v>99509</v>
      </c>
    </row>
    <row r="1747" spans="2:3">
      <c r="B1747" s="4" t="s">
        <v>158</v>
      </c>
      <c r="C1747" s="59">
        <v>91302</v>
      </c>
    </row>
    <row r="1748" spans="2:3">
      <c r="B1748" s="4" t="s">
        <v>807</v>
      </c>
      <c r="C1748" s="54">
        <v>99047</v>
      </c>
    </row>
    <row r="1749" spans="2:3">
      <c r="B1749" s="4" t="s">
        <v>806</v>
      </c>
      <c r="C1749" s="54">
        <v>99041</v>
      </c>
    </row>
    <row r="1750" spans="2:3">
      <c r="B1750" s="4" t="s">
        <v>859</v>
      </c>
      <c r="C1750" s="54">
        <v>99601</v>
      </c>
    </row>
    <row r="1751" spans="2:3">
      <c r="B1751" s="4" t="s">
        <v>862</v>
      </c>
      <c r="C1751" s="54">
        <v>99604</v>
      </c>
    </row>
    <row r="1752" spans="2:3">
      <c r="B1752" s="4" t="s">
        <v>429</v>
      </c>
      <c r="C1752" s="54">
        <v>94412</v>
      </c>
    </row>
    <row r="1753" spans="2:3">
      <c r="B1753" s="4" t="s">
        <v>428</v>
      </c>
      <c r="C1753" s="54">
        <v>94411</v>
      </c>
    </row>
    <row r="1754" spans="2:3">
      <c r="B1754" s="4" t="s">
        <v>138</v>
      </c>
      <c r="C1754" s="54">
        <v>91147</v>
      </c>
    </row>
    <row r="1755" spans="2:3">
      <c r="B1755" s="4" t="s">
        <v>137</v>
      </c>
      <c r="C1755" s="54">
        <v>91141</v>
      </c>
    </row>
    <row r="1756" spans="2:3">
      <c r="B1756" s="4" t="s">
        <v>810</v>
      </c>
      <c r="C1756" s="54">
        <v>99071</v>
      </c>
    </row>
    <row r="1757" spans="2:3">
      <c r="B1757" s="4" t="s">
        <v>412</v>
      </c>
      <c r="C1757" s="54">
        <v>94231</v>
      </c>
    </row>
    <row r="1758" spans="2:3">
      <c r="B1758" s="4" t="s">
        <v>832</v>
      </c>
      <c r="C1758" s="54">
        <v>99231</v>
      </c>
    </row>
    <row r="1759" spans="2:3">
      <c r="B1759" s="4" t="s">
        <v>812</v>
      </c>
      <c r="C1759" s="54">
        <v>99091</v>
      </c>
    </row>
    <row r="1760" spans="2:3">
      <c r="B1760" s="4" t="s">
        <v>132</v>
      </c>
      <c r="C1760" s="54">
        <v>91120</v>
      </c>
    </row>
    <row r="1761" spans="2:3">
      <c r="B1761" s="4" t="s">
        <v>2328</v>
      </c>
      <c r="C1761" s="54">
        <v>92444</v>
      </c>
    </row>
    <row r="1762" spans="2:3">
      <c r="B1762" s="4" t="s">
        <v>62</v>
      </c>
      <c r="C1762" s="54">
        <v>90507</v>
      </c>
    </row>
    <row r="1763" spans="2:3">
      <c r="B1763" s="4" t="s">
        <v>64</v>
      </c>
      <c r="C1763" s="54">
        <v>90521</v>
      </c>
    </row>
    <row r="1764" spans="2:3">
      <c r="B1764" s="4" t="s">
        <v>262</v>
      </c>
      <c r="C1764" s="54">
        <v>92602</v>
      </c>
    </row>
    <row r="1765" spans="2:3">
      <c r="B1765" s="4" t="s">
        <v>181</v>
      </c>
      <c r="C1765" s="54">
        <v>91608</v>
      </c>
    </row>
    <row r="1766" spans="2:3">
      <c r="B1766" s="4" t="s">
        <v>131</v>
      </c>
      <c r="C1766" s="54">
        <v>91119</v>
      </c>
    </row>
    <row r="1767" spans="2:3">
      <c r="B1767" s="4" t="s">
        <v>127</v>
      </c>
      <c r="C1767" s="54">
        <v>91107</v>
      </c>
    </row>
    <row r="1768" spans="2:3">
      <c r="B1768" s="4" t="s">
        <v>200</v>
      </c>
      <c r="C1768" s="54">
        <v>91818</v>
      </c>
    </row>
    <row r="1769" spans="2:3">
      <c r="B1769" s="4" t="s">
        <v>201</v>
      </c>
      <c r="C1769" s="54">
        <v>91819</v>
      </c>
    </row>
    <row r="1770" spans="2:3">
      <c r="B1770" s="4" t="s">
        <v>574</v>
      </c>
      <c r="C1770" s="54">
        <v>96371</v>
      </c>
    </row>
    <row r="1771" spans="2:3">
      <c r="B1771" s="4" t="s">
        <v>583</v>
      </c>
      <c r="C1771" s="54">
        <v>96441</v>
      </c>
    </row>
    <row r="1772" spans="2:3">
      <c r="B1772" s="4" t="s">
        <v>93</v>
      </c>
      <c r="C1772" s="54">
        <v>90921</v>
      </c>
    </row>
    <row r="1773" spans="2:3">
      <c r="B1773" s="4" t="s">
        <v>240</v>
      </c>
      <c r="C1773" s="54">
        <v>92417</v>
      </c>
    </row>
    <row r="1774" spans="2:3">
      <c r="B1774" s="4" t="s">
        <v>237</v>
      </c>
      <c r="C1774" s="54">
        <v>92403</v>
      </c>
    </row>
    <row r="1775" spans="2:3">
      <c r="B1775" s="4" t="s">
        <v>238</v>
      </c>
      <c r="C1775" s="54">
        <v>92411</v>
      </c>
    </row>
    <row r="1776" spans="2:3">
      <c r="B1776" s="4" t="s">
        <v>871</v>
      </c>
      <c r="C1776" s="54">
        <v>99701</v>
      </c>
    </row>
    <row r="1777" spans="2:3">
      <c r="B1777" s="4" t="s">
        <v>876</v>
      </c>
      <c r="C1777" s="54">
        <v>99727</v>
      </c>
    </row>
    <row r="1778" spans="2:3">
      <c r="B1778" s="4" t="s">
        <v>875</v>
      </c>
      <c r="C1778" s="54">
        <v>99721</v>
      </c>
    </row>
    <row r="1779" spans="2:3">
      <c r="B1779" s="4" t="s">
        <v>526</v>
      </c>
      <c r="C1779" s="54">
        <v>95813</v>
      </c>
    </row>
    <row r="1780" spans="2:3">
      <c r="B1780" s="4" t="s">
        <v>525</v>
      </c>
      <c r="C1780" s="54">
        <v>95811</v>
      </c>
    </row>
    <row r="1781" spans="2:3">
      <c r="B1781" s="4" t="s">
        <v>588</v>
      </c>
      <c r="C1781" s="54">
        <v>96503</v>
      </c>
    </row>
    <row r="1782" spans="2:3">
      <c r="B1782" s="4" t="s">
        <v>596</v>
      </c>
      <c r="C1782" s="54">
        <v>96531</v>
      </c>
    </row>
    <row r="1783" spans="2:3">
      <c r="B1783" s="4" t="s">
        <v>877</v>
      </c>
      <c r="C1783" s="54">
        <v>99801</v>
      </c>
    </row>
    <row r="1784" spans="2:3">
      <c r="B1784" s="4" t="s">
        <v>879</v>
      </c>
      <c r="C1784" s="54">
        <v>99804</v>
      </c>
    </row>
    <row r="1785" spans="2:3">
      <c r="B1785" s="4" t="s">
        <v>878</v>
      </c>
      <c r="C1785" s="54">
        <v>99802</v>
      </c>
    </row>
    <row r="1786" spans="2:3">
      <c r="B1786" s="4" t="s">
        <v>881</v>
      </c>
      <c r="C1786" s="54">
        <v>99812</v>
      </c>
    </row>
    <row r="1787" spans="2:3">
      <c r="B1787" s="4" t="s">
        <v>880</v>
      </c>
      <c r="C1787" s="54">
        <v>99811</v>
      </c>
    </row>
    <row r="1788" spans="2:3">
      <c r="B1788" s="4" t="s">
        <v>490</v>
      </c>
      <c r="C1788" s="54">
        <v>95191</v>
      </c>
    </row>
    <row r="1789" spans="2:3">
      <c r="B1789" s="4" t="s">
        <v>86</v>
      </c>
      <c r="C1789" s="54">
        <v>90812</v>
      </c>
    </row>
    <row r="1790" spans="2:3">
      <c r="B1790" s="4" t="s">
        <v>648</v>
      </c>
      <c r="C1790" s="54">
        <v>97221</v>
      </c>
    </row>
    <row r="1791" spans="2:3">
      <c r="B1791" s="4" t="s">
        <v>805</v>
      </c>
      <c r="C1791" s="54">
        <v>99031</v>
      </c>
    </row>
    <row r="1792" spans="2:3">
      <c r="B1792" s="4" t="s">
        <v>334</v>
      </c>
      <c r="C1792" s="54">
        <v>93413</v>
      </c>
    </row>
    <row r="1793" spans="2:3">
      <c r="B1793" s="4" t="s">
        <v>333</v>
      </c>
      <c r="C1793" s="54">
        <v>93411</v>
      </c>
    </row>
    <row r="1794" spans="2:3">
      <c r="B1794" s="4" t="s">
        <v>663</v>
      </c>
      <c r="C1794" s="54">
        <v>97451</v>
      </c>
    </row>
    <row r="1795" spans="2:3">
      <c r="B1795" s="4" t="s">
        <v>451</v>
      </c>
      <c r="C1795" s="54">
        <v>94631</v>
      </c>
    </row>
    <row r="1796" spans="2:3">
      <c r="B1796" s="4" t="s">
        <v>126</v>
      </c>
      <c r="C1796" s="54">
        <v>91104</v>
      </c>
    </row>
    <row r="1797" spans="2:3">
      <c r="B1797" s="4" t="s">
        <v>129</v>
      </c>
      <c r="C1797" s="54">
        <v>91109</v>
      </c>
    </row>
    <row r="1798" spans="2:3">
      <c r="B1798" s="4" t="s">
        <v>142</v>
      </c>
      <c r="C1798" s="54">
        <v>91171</v>
      </c>
    </row>
    <row r="1799" spans="2:3">
      <c r="B1799" s="4" t="s">
        <v>602</v>
      </c>
      <c r="C1799" s="54">
        <v>96621</v>
      </c>
    </row>
    <row r="1800" spans="2:3">
      <c r="B1800" s="4" t="s">
        <v>592</v>
      </c>
      <c r="C1800" s="54">
        <v>96511</v>
      </c>
    </row>
    <row r="1801" spans="2:3">
      <c r="B1801" s="4" t="s">
        <v>887</v>
      </c>
      <c r="C1801" s="54">
        <v>99901</v>
      </c>
    </row>
    <row r="1802" spans="2:3">
      <c r="B1802" s="4" t="s">
        <v>2329</v>
      </c>
      <c r="C1802" s="54">
        <v>98604</v>
      </c>
    </row>
    <row r="1803" spans="2:3">
      <c r="B1803" s="4" t="s">
        <v>782</v>
      </c>
      <c r="C1803" s="54">
        <v>98608</v>
      </c>
    </row>
    <row r="1804" spans="2:3">
      <c r="B1804" s="4" t="s">
        <v>888</v>
      </c>
      <c r="C1804" s="54">
        <v>99911</v>
      </c>
    </row>
    <row r="1805" spans="2:3">
      <c r="B1805" s="4" t="s">
        <v>30</v>
      </c>
      <c r="C1805" s="54">
        <v>90001</v>
      </c>
    </row>
    <row r="1806" spans="2:3">
      <c r="B1806" s="4" t="s">
        <v>31</v>
      </c>
      <c r="C1806" s="54">
        <v>90002</v>
      </c>
    </row>
    <row r="1807" spans="2:3">
      <c r="B1807" s="4" t="s">
        <v>194</v>
      </c>
      <c r="C1807" s="54">
        <v>91719</v>
      </c>
    </row>
    <row r="1808" spans="2:3">
      <c r="B1808" s="4" t="s">
        <v>349</v>
      </c>
      <c r="C1808" s="54">
        <v>93541</v>
      </c>
    </row>
    <row r="1809" spans="2:3">
      <c r="B1809" s="4" t="s">
        <v>833</v>
      </c>
      <c r="C1809" s="54">
        <v>99241</v>
      </c>
    </row>
  </sheetData>
  <pageMargins left="0" right="0" top="0.75" bottom="0.75" header="0.3" footer="0.3"/>
  <pageSetup scale="4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39"/>
  <sheetViews>
    <sheetView workbookViewId="0"/>
  </sheetViews>
  <sheetFormatPr defaultRowHeight="15"/>
  <cols>
    <col min="1" max="1" width="12.140625" style="125" bestFit="1" customWidth="1"/>
    <col min="2" max="2" width="55.5703125" style="125" bestFit="1" customWidth="1"/>
    <col min="3" max="3" width="27" style="126" bestFit="1" customWidth="1"/>
    <col min="4" max="4" width="9.140625" style="125"/>
  </cols>
  <sheetData>
    <row r="1" spans="1:4">
      <c r="A1" s="123" t="s">
        <v>2330</v>
      </c>
      <c r="B1" s="123" t="s">
        <v>2331</v>
      </c>
      <c r="C1" s="124" t="s">
        <v>2332</v>
      </c>
      <c r="D1" s="125" t="s">
        <v>2333</v>
      </c>
    </row>
    <row r="2" spans="1:4">
      <c r="A2" s="132" t="s">
        <v>1356</v>
      </c>
      <c r="B2" s="131" t="s">
        <v>1355</v>
      </c>
      <c r="C2" s="130">
        <v>0</v>
      </c>
    </row>
    <row r="3" spans="1:4">
      <c r="A3" s="125">
        <v>70505</v>
      </c>
      <c r="B3" s="125" t="s">
        <v>1391</v>
      </c>
      <c r="C3" s="126">
        <v>195765.21000000002</v>
      </c>
    </row>
    <row r="4" spans="1:4">
      <c r="A4" s="125">
        <v>71786</v>
      </c>
      <c r="B4" s="125" t="s">
        <v>2155</v>
      </c>
      <c r="C4" s="126">
        <v>7060.1</v>
      </c>
    </row>
    <row r="5" spans="1:4">
      <c r="A5" s="125">
        <v>72265</v>
      </c>
      <c r="B5" s="125" t="s">
        <v>1392</v>
      </c>
      <c r="C5" s="126">
        <v>61817.369999999995</v>
      </c>
    </row>
    <row r="6" spans="1:4">
      <c r="A6" s="125">
        <v>72593</v>
      </c>
      <c r="B6" s="125" t="s">
        <v>1393</v>
      </c>
      <c r="C6" s="126">
        <v>1530.78</v>
      </c>
    </row>
    <row r="7" spans="1:4">
      <c r="A7" s="125">
        <v>72657</v>
      </c>
      <c r="B7" s="125" t="s">
        <v>1394</v>
      </c>
      <c r="C7" s="126">
        <v>16620.140000000003</v>
      </c>
    </row>
    <row r="8" spans="1:4">
      <c r="A8" s="125">
        <v>90001</v>
      </c>
      <c r="B8" s="125" t="s">
        <v>1395</v>
      </c>
      <c r="C8" s="126">
        <v>386652.24000000005</v>
      </c>
    </row>
    <row r="9" spans="1:4">
      <c r="A9" s="125">
        <v>90002</v>
      </c>
      <c r="B9" s="125" t="s">
        <v>1396</v>
      </c>
      <c r="C9" s="126">
        <v>6252.5200000000013</v>
      </c>
    </row>
    <row r="10" spans="1:4">
      <c r="A10" s="125">
        <v>90011</v>
      </c>
      <c r="B10" s="125" t="s">
        <v>1397</v>
      </c>
      <c r="C10" s="126">
        <v>84204.77</v>
      </c>
    </row>
    <row r="11" spans="1:4">
      <c r="A11" s="125">
        <v>90092</v>
      </c>
      <c r="B11" s="125" t="s">
        <v>1398</v>
      </c>
      <c r="C11" s="126">
        <v>186641.43</v>
      </c>
    </row>
    <row r="12" spans="1:4">
      <c r="A12" s="125">
        <v>90096</v>
      </c>
      <c r="B12" s="125" t="s">
        <v>1399</v>
      </c>
      <c r="C12" s="126">
        <v>535126.60000000009</v>
      </c>
    </row>
    <row r="13" spans="1:4">
      <c r="A13" s="125">
        <v>90098</v>
      </c>
      <c r="B13" s="125" t="s">
        <v>1400</v>
      </c>
      <c r="C13" s="126">
        <v>140183.54999999999</v>
      </c>
    </row>
    <row r="14" spans="1:4">
      <c r="A14" s="125">
        <v>90099</v>
      </c>
      <c r="B14" s="125" t="s">
        <v>1401</v>
      </c>
      <c r="C14" s="126">
        <v>271208.03000000003</v>
      </c>
    </row>
    <row r="15" spans="1:4">
      <c r="A15" s="125">
        <v>90101</v>
      </c>
      <c r="B15" s="125" t="s">
        <v>1402</v>
      </c>
      <c r="C15" s="126">
        <v>2960721.15</v>
      </c>
    </row>
    <row r="16" spans="1:4">
      <c r="A16" s="125">
        <v>90111</v>
      </c>
      <c r="B16" s="125" t="s">
        <v>1403</v>
      </c>
      <c r="C16" s="126">
        <v>2229765.8200000003</v>
      </c>
    </row>
    <row r="17" spans="1:3">
      <c r="A17" s="125">
        <v>90114</v>
      </c>
      <c r="B17" s="125" t="s">
        <v>1404</v>
      </c>
      <c r="C17" s="126">
        <v>1108463.6299999999</v>
      </c>
    </row>
    <row r="18" spans="1:3">
      <c r="A18" s="125">
        <v>90117</v>
      </c>
      <c r="B18" s="125" t="s">
        <v>1405</v>
      </c>
      <c r="C18" s="126">
        <v>80146.720000000001</v>
      </c>
    </row>
    <row r="19" spans="1:3">
      <c r="A19" s="125">
        <v>90121</v>
      </c>
      <c r="B19" s="125" t="s">
        <v>1406</v>
      </c>
      <c r="C19" s="126">
        <v>452142.02</v>
      </c>
    </row>
    <row r="20" spans="1:3">
      <c r="A20" s="125">
        <v>90131</v>
      </c>
      <c r="B20" s="125" t="s">
        <v>1407</v>
      </c>
      <c r="C20" s="126">
        <v>207243.40000000002</v>
      </c>
    </row>
    <row r="21" spans="1:3">
      <c r="A21" s="125">
        <v>90141</v>
      </c>
      <c r="B21" s="125" t="s">
        <v>1408</v>
      </c>
      <c r="C21" s="126">
        <v>62654.990000000005</v>
      </c>
    </row>
    <row r="22" spans="1:3">
      <c r="A22" s="125">
        <v>90151</v>
      </c>
      <c r="B22" s="125" t="s">
        <v>1409</v>
      </c>
      <c r="C22" s="126">
        <v>3085.3200000000011</v>
      </c>
    </row>
    <row r="23" spans="1:3">
      <c r="A23" s="125">
        <v>90161</v>
      </c>
      <c r="B23" s="125" t="s">
        <v>1410</v>
      </c>
      <c r="C23" s="126">
        <v>15626.57</v>
      </c>
    </row>
    <row r="24" spans="1:3">
      <c r="A24" s="125">
        <v>90201</v>
      </c>
      <c r="B24" s="125" t="s">
        <v>1411</v>
      </c>
      <c r="C24" s="126">
        <v>536124.22</v>
      </c>
    </row>
    <row r="25" spans="1:3">
      <c r="A25" s="125">
        <v>90203</v>
      </c>
      <c r="B25" s="125" t="s">
        <v>1412</v>
      </c>
      <c r="C25" s="126">
        <v>91056.15</v>
      </c>
    </row>
    <row r="26" spans="1:3">
      <c r="A26" s="125">
        <v>90205</v>
      </c>
      <c r="B26" s="125" t="s">
        <v>1413</v>
      </c>
      <c r="C26" s="126">
        <v>14232.99</v>
      </c>
    </row>
    <row r="27" spans="1:3">
      <c r="A27" s="125">
        <v>90206</v>
      </c>
      <c r="B27" s="125" t="s">
        <v>1414</v>
      </c>
      <c r="C27" s="126">
        <v>184249.21999999997</v>
      </c>
    </row>
    <row r="28" spans="1:3">
      <c r="A28" s="125">
        <v>90211</v>
      </c>
      <c r="B28" s="125" t="s">
        <v>1415</v>
      </c>
      <c r="C28" s="126">
        <v>71260.37</v>
      </c>
    </row>
    <row r="29" spans="1:3">
      <c r="A29" s="125">
        <v>90301</v>
      </c>
      <c r="B29" s="125" t="s">
        <v>1416</v>
      </c>
      <c r="C29" s="126">
        <v>280575.03000000003</v>
      </c>
    </row>
    <row r="30" spans="1:3">
      <c r="A30" s="125">
        <v>90305</v>
      </c>
      <c r="B30" s="125" t="s">
        <v>1417</v>
      </c>
      <c r="C30" s="126">
        <v>85892.08</v>
      </c>
    </row>
    <row r="31" spans="1:3">
      <c r="A31" s="125">
        <v>90307</v>
      </c>
      <c r="B31" s="125" t="s">
        <v>1418</v>
      </c>
      <c r="C31" s="126">
        <v>4130.3200000000006</v>
      </c>
    </row>
    <row r="32" spans="1:3">
      <c r="A32" s="125">
        <v>90401</v>
      </c>
      <c r="B32" s="125" t="s">
        <v>1419</v>
      </c>
      <c r="C32" s="126">
        <v>624954.77000000014</v>
      </c>
    </row>
    <row r="33" spans="1:3">
      <c r="A33" s="125">
        <v>90411</v>
      </c>
      <c r="B33" s="125" t="s">
        <v>1420</v>
      </c>
      <c r="C33" s="126">
        <v>152316.79999999999</v>
      </c>
    </row>
    <row r="34" spans="1:3">
      <c r="A34" s="125">
        <v>90413</v>
      </c>
      <c r="B34" s="125" t="s">
        <v>1421</v>
      </c>
      <c r="C34" s="126">
        <v>17002.28</v>
      </c>
    </row>
    <row r="35" spans="1:3">
      <c r="A35" s="125">
        <v>90417</v>
      </c>
      <c r="B35" s="125" t="s">
        <v>1422</v>
      </c>
      <c r="C35" s="126">
        <v>8372.39</v>
      </c>
    </row>
    <row r="36" spans="1:3">
      <c r="A36" s="125">
        <v>90421</v>
      </c>
      <c r="B36" s="125" t="s">
        <v>1423</v>
      </c>
      <c r="C36" s="126">
        <v>8533.869999999999</v>
      </c>
    </row>
    <row r="37" spans="1:3">
      <c r="A37" s="125">
        <v>90431</v>
      </c>
      <c r="B37" s="125" t="s">
        <v>1424</v>
      </c>
      <c r="C37" s="126">
        <v>21843.879999999997</v>
      </c>
    </row>
    <row r="38" spans="1:3">
      <c r="A38" s="125">
        <v>90441</v>
      </c>
      <c r="B38" s="125" t="s">
        <v>1425</v>
      </c>
      <c r="C38" s="126">
        <v>4909.9899999999989</v>
      </c>
    </row>
    <row r="39" spans="1:3">
      <c r="A39" s="125">
        <v>90451</v>
      </c>
      <c r="B39" s="125" t="s">
        <v>1426</v>
      </c>
      <c r="C39" s="126">
        <v>7776.4400000000014</v>
      </c>
    </row>
    <row r="40" spans="1:3">
      <c r="A40" s="125">
        <v>90461</v>
      </c>
      <c r="B40" s="125" t="s">
        <v>1427</v>
      </c>
      <c r="C40" s="126">
        <v>3690.6500000000005</v>
      </c>
    </row>
    <row r="41" spans="1:3">
      <c r="A41" s="125">
        <v>90501</v>
      </c>
      <c r="B41" s="125" t="s">
        <v>1428</v>
      </c>
      <c r="C41" s="126">
        <v>670210.41999999993</v>
      </c>
    </row>
    <row r="42" spans="1:3">
      <c r="A42" s="125">
        <v>90507</v>
      </c>
      <c r="B42" s="125" t="s">
        <v>62</v>
      </c>
      <c r="C42" s="126">
        <v>10407.639999999998</v>
      </c>
    </row>
    <row r="43" spans="1:3">
      <c r="A43" s="125">
        <v>90511</v>
      </c>
      <c r="B43" s="125" t="s">
        <v>1429</v>
      </c>
      <c r="C43" s="126">
        <v>52403.39</v>
      </c>
    </row>
    <row r="44" spans="1:3">
      <c r="A44" s="125">
        <v>90521</v>
      </c>
      <c r="B44" s="125" t="s">
        <v>1430</v>
      </c>
      <c r="C44" s="126">
        <v>56198.41</v>
      </c>
    </row>
    <row r="45" spans="1:3">
      <c r="A45" s="125">
        <v>90601</v>
      </c>
      <c r="B45" s="125" t="s">
        <v>1431</v>
      </c>
      <c r="C45" s="126">
        <v>540984.88</v>
      </c>
    </row>
    <row r="46" spans="1:3">
      <c r="A46" s="125">
        <v>90602</v>
      </c>
      <c r="B46" s="125" t="s">
        <v>923</v>
      </c>
      <c r="C46" s="126">
        <v>34827.93</v>
      </c>
    </row>
    <row r="47" spans="1:3">
      <c r="A47" s="125">
        <v>90605</v>
      </c>
      <c r="B47" s="125" t="s">
        <v>1432</v>
      </c>
      <c r="C47" s="126">
        <v>25460.899999999998</v>
      </c>
    </row>
    <row r="48" spans="1:3">
      <c r="A48" s="125">
        <v>90611</v>
      </c>
      <c r="B48" s="125" t="s">
        <v>1433</v>
      </c>
      <c r="C48" s="126">
        <v>64370.780000000006</v>
      </c>
    </row>
    <row r="49" spans="1:3">
      <c r="A49" s="125">
        <v>90617</v>
      </c>
      <c r="B49" s="125" t="s">
        <v>1434</v>
      </c>
      <c r="C49" s="126">
        <v>15820.72</v>
      </c>
    </row>
    <row r="50" spans="1:3">
      <c r="A50" s="125">
        <v>90621</v>
      </c>
      <c r="B50" s="125" t="s">
        <v>1435</v>
      </c>
      <c r="C50" s="126">
        <v>27531.68</v>
      </c>
    </row>
    <row r="51" spans="1:3">
      <c r="A51" s="125">
        <v>90631</v>
      </c>
      <c r="B51" s="125" t="s">
        <v>1436</v>
      </c>
      <c r="C51" s="126">
        <v>175401.58999999997</v>
      </c>
    </row>
    <row r="52" spans="1:3">
      <c r="A52" s="125">
        <v>90641</v>
      </c>
      <c r="B52" s="125" t="s">
        <v>1437</v>
      </c>
      <c r="C52" s="126">
        <v>6943.8999999999987</v>
      </c>
    </row>
    <row r="53" spans="1:3">
      <c r="A53" s="125">
        <v>90651</v>
      </c>
      <c r="B53" s="125" t="s">
        <v>1438</v>
      </c>
      <c r="C53" s="126">
        <v>98054.44</v>
      </c>
    </row>
    <row r="54" spans="1:3">
      <c r="A54" s="125">
        <v>90701</v>
      </c>
      <c r="B54" s="125" t="s">
        <v>1439</v>
      </c>
      <c r="C54" s="126">
        <v>1110621.1499999994</v>
      </c>
    </row>
    <row r="55" spans="1:3">
      <c r="A55" s="125">
        <v>90704</v>
      </c>
      <c r="B55" s="125" t="s">
        <v>1440</v>
      </c>
      <c r="C55" s="126">
        <v>23859.120000000003</v>
      </c>
    </row>
    <row r="56" spans="1:3">
      <c r="A56" s="125">
        <v>90705</v>
      </c>
      <c r="B56" s="125" t="s">
        <v>1441</v>
      </c>
      <c r="C56" s="126">
        <v>23099.5</v>
      </c>
    </row>
    <row r="57" spans="1:3">
      <c r="A57" s="125">
        <v>90709</v>
      </c>
      <c r="B57" s="125" t="s">
        <v>1442</v>
      </c>
      <c r="C57" s="126">
        <v>61709.799999999996</v>
      </c>
    </row>
    <row r="58" spans="1:3">
      <c r="A58" s="125">
        <v>90711</v>
      </c>
      <c r="B58" s="125" t="s">
        <v>1443</v>
      </c>
      <c r="C58" s="126">
        <v>774256.15</v>
      </c>
    </row>
    <row r="59" spans="1:3">
      <c r="A59" s="125">
        <v>90721</v>
      </c>
      <c r="B59" s="125" t="s">
        <v>1444</v>
      </c>
      <c r="C59" s="126">
        <v>15288.730000000001</v>
      </c>
    </row>
    <row r="60" spans="1:3">
      <c r="A60" s="125">
        <v>90731</v>
      </c>
      <c r="B60" s="125" t="s">
        <v>1445</v>
      </c>
      <c r="C60" s="126">
        <v>79539.97</v>
      </c>
    </row>
    <row r="61" spans="1:3">
      <c r="A61" s="125">
        <v>90741</v>
      </c>
      <c r="B61" s="125" t="s">
        <v>1446</v>
      </c>
      <c r="C61" s="126">
        <v>6432.99</v>
      </c>
    </row>
    <row r="62" spans="1:3">
      <c r="A62" s="125">
        <v>90751</v>
      </c>
      <c r="B62" s="125" t="s">
        <v>1447</v>
      </c>
      <c r="C62" s="126">
        <v>27590.68</v>
      </c>
    </row>
    <row r="63" spans="1:3">
      <c r="A63" s="125">
        <v>90801</v>
      </c>
      <c r="B63" s="125" t="s">
        <v>1448</v>
      </c>
      <c r="C63" s="126">
        <v>521155.69000000006</v>
      </c>
    </row>
    <row r="64" spans="1:3">
      <c r="A64" s="125">
        <v>90804</v>
      </c>
      <c r="B64" s="125" t="s">
        <v>1449</v>
      </c>
      <c r="C64" s="126">
        <v>2751.1200000000008</v>
      </c>
    </row>
    <row r="65" spans="1:3">
      <c r="A65" s="125">
        <v>90805</v>
      </c>
      <c r="B65" s="125" t="s">
        <v>1450</v>
      </c>
      <c r="C65" s="126">
        <v>35600.44</v>
      </c>
    </row>
    <row r="66" spans="1:3">
      <c r="A66" s="125">
        <v>90808</v>
      </c>
      <c r="B66" s="125" t="s">
        <v>1451</v>
      </c>
      <c r="C66" s="126">
        <v>56029.3</v>
      </c>
    </row>
    <row r="67" spans="1:3">
      <c r="A67" s="125">
        <v>90811</v>
      </c>
      <c r="B67" s="125" t="s">
        <v>1452</v>
      </c>
      <c r="C67" s="126">
        <v>11655.32</v>
      </c>
    </row>
    <row r="68" spans="1:3">
      <c r="A68" s="125">
        <v>90812</v>
      </c>
      <c r="B68" s="125" t="s">
        <v>1453</v>
      </c>
      <c r="C68" s="126">
        <v>105039.99</v>
      </c>
    </row>
    <row r="69" spans="1:3">
      <c r="A69" s="125">
        <v>90813</v>
      </c>
      <c r="B69" s="125" t="s">
        <v>1454</v>
      </c>
      <c r="C69" s="126">
        <v>2060.62</v>
      </c>
    </row>
    <row r="70" spans="1:3">
      <c r="A70" s="125">
        <v>90861</v>
      </c>
      <c r="B70" s="125" t="s">
        <v>1455</v>
      </c>
      <c r="C70" s="126">
        <v>3702.7200000000007</v>
      </c>
    </row>
    <row r="71" spans="1:3">
      <c r="A71" s="125">
        <v>90901</v>
      </c>
      <c r="B71" s="125" t="s">
        <v>1456</v>
      </c>
      <c r="C71" s="126">
        <v>980897.39</v>
      </c>
    </row>
    <row r="72" spans="1:3">
      <c r="A72" s="125">
        <v>90911</v>
      </c>
      <c r="B72" s="125" t="s">
        <v>1457</v>
      </c>
      <c r="C72" s="126">
        <v>159535.13999999998</v>
      </c>
    </row>
    <row r="73" spans="1:3">
      <c r="A73" s="125">
        <v>90917</v>
      </c>
      <c r="B73" s="125" t="s">
        <v>1458</v>
      </c>
      <c r="C73" s="126">
        <v>5783.6</v>
      </c>
    </row>
    <row r="74" spans="1:3">
      <c r="A74" s="125">
        <v>90918</v>
      </c>
      <c r="B74" s="125" t="s">
        <v>1459</v>
      </c>
      <c r="C74" s="126">
        <v>4772.9300000000012</v>
      </c>
    </row>
    <row r="75" spans="1:3">
      <c r="A75" s="125">
        <v>90921</v>
      </c>
      <c r="B75" s="125" t="s">
        <v>1460</v>
      </c>
      <c r="C75" s="126">
        <v>59485.69</v>
      </c>
    </row>
    <row r="76" spans="1:3">
      <c r="A76" s="125">
        <v>90931</v>
      </c>
      <c r="B76" s="125" t="s">
        <v>1461</v>
      </c>
      <c r="C76" s="126">
        <v>16167.949999999997</v>
      </c>
    </row>
    <row r="77" spans="1:3">
      <c r="A77" s="125">
        <v>90941</v>
      </c>
      <c r="B77" s="125" t="s">
        <v>1462</v>
      </c>
      <c r="C77" s="126">
        <v>35454.619999999995</v>
      </c>
    </row>
    <row r="78" spans="1:3">
      <c r="A78" s="125">
        <v>91001</v>
      </c>
      <c r="B78" s="125" t="s">
        <v>1463</v>
      </c>
      <c r="C78" s="126">
        <v>2867177.59</v>
      </c>
    </row>
    <row r="79" spans="1:3">
      <c r="A79" s="125">
        <v>91002</v>
      </c>
      <c r="B79" s="125" t="s">
        <v>1464</v>
      </c>
      <c r="C79" s="126">
        <v>257314.64999999997</v>
      </c>
    </row>
    <row r="80" spans="1:3">
      <c r="A80" s="125">
        <v>91003</v>
      </c>
      <c r="B80" s="125" t="s">
        <v>1465</v>
      </c>
      <c r="C80" s="126">
        <v>268788.57</v>
      </c>
    </row>
    <row r="81" spans="1:3">
      <c r="A81" s="125">
        <v>91004</v>
      </c>
      <c r="B81" s="125" t="s">
        <v>1466</v>
      </c>
      <c r="C81" s="126">
        <v>13567.85</v>
      </c>
    </row>
    <row r="82" spans="1:3">
      <c r="A82" s="125">
        <v>91006</v>
      </c>
      <c r="B82" s="125" t="s">
        <v>1467</v>
      </c>
      <c r="C82" s="126">
        <v>446629.41</v>
      </c>
    </row>
    <row r="83" spans="1:3">
      <c r="A83" s="125">
        <v>91007</v>
      </c>
      <c r="B83" s="125" t="s">
        <v>1468</v>
      </c>
      <c r="C83" s="126">
        <v>9502.15</v>
      </c>
    </row>
    <row r="84" spans="1:3">
      <c r="A84" s="125">
        <v>91008</v>
      </c>
      <c r="B84" s="125" t="s">
        <v>1469</v>
      </c>
      <c r="C84" s="126">
        <v>68974.3</v>
      </c>
    </row>
    <row r="85" spans="1:3">
      <c r="A85" s="125">
        <v>91009</v>
      </c>
      <c r="B85" s="125" t="s">
        <v>1470</v>
      </c>
      <c r="C85" s="126">
        <v>11391.89</v>
      </c>
    </row>
    <row r="86" spans="1:3">
      <c r="A86" s="125">
        <v>91010</v>
      </c>
      <c r="B86" s="125" t="s">
        <v>1471</v>
      </c>
      <c r="C86" s="126">
        <v>32517.29</v>
      </c>
    </row>
    <row r="87" spans="1:3">
      <c r="A87" s="125">
        <v>91011</v>
      </c>
      <c r="B87" s="125" t="s">
        <v>1472</v>
      </c>
      <c r="C87" s="126">
        <v>159847.21000000002</v>
      </c>
    </row>
    <row r="88" spans="1:3">
      <c r="A88" s="125">
        <v>91012</v>
      </c>
      <c r="B88" s="125" t="s">
        <v>1473</v>
      </c>
      <c r="C88" s="126">
        <v>8622.4599999999991</v>
      </c>
    </row>
    <row r="89" spans="1:3">
      <c r="A89" s="125">
        <v>91013</v>
      </c>
      <c r="B89" s="125" t="s">
        <v>1474</v>
      </c>
      <c r="C89" s="126">
        <v>29321.600000000002</v>
      </c>
    </row>
    <row r="90" spans="1:3">
      <c r="A90" s="125">
        <v>91014</v>
      </c>
      <c r="B90" s="125" t="s">
        <v>1475</v>
      </c>
      <c r="C90" s="126">
        <v>97691.510000000009</v>
      </c>
    </row>
    <row r="91" spans="1:3">
      <c r="A91" s="125">
        <v>91015</v>
      </c>
      <c r="B91" s="125" t="s">
        <v>2334</v>
      </c>
      <c r="C91" s="126">
        <v>3402</v>
      </c>
    </row>
    <row r="92" spans="1:3">
      <c r="A92" s="125">
        <v>91017</v>
      </c>
      <c r="B92" s="125" t="s">
        <v>1476</v>
      </c>
      <c r="C92" s="126">
        <v>12461.869999999999</v>
      </c>
    </row>
    <row r="93" spans="1:3">
      <c r="A93" s="125">
        <v>91020</v>
      </c>
      <c r="B93" s="125" t="s">
        <v>1477</v>
      </c>
      <c r="C93" s="126">
        <v>10948.67</v>
      </c>
    </row>
    <row r="94" spans="1:3">
      <c r="A94" s="125">
        <v>91021</v>
      </c>
      <c r="B94" s="125" t="s">
        <v>1478</v>
      </c>
      <c r="C94" s="126">
        <v>387781.66</v>
      </c>
    </row>
    <row r="95" spans="1:3">
      <c r="A95" s="125">
        <v>91024</v>
      </c>
      <c r="B95" s="125" t="s">
        <v>1479</v>
      </c>
      <c r="C95" s="126">
        <v>34457.870000000003</v>
      </c>
    </row>
    <row r="96" spans="1:3">
      <c r="A96" s="125">
        <v>91026</v>
      </c>
      <c r="B96" s="125" t="s">
        <v>111</v>
      </c>
      <c r="C96" s="126">
        <v>40780.620000000003</v>
      </c>
    </row>
    <row r="97" spans="1:3">
      <c r="A97" s="125">
        <v>91027</v>
      </c>
      <c r="B97" s="125" t="s">
        <v>1480</v>
      </c>
      <c r="C97" s="126">
        <v>15968.389999999998</v>
      </c>
    </row>
    <row r="98" spans="1:3">
      <c r="A98" s="125">
        <v>91032</v>
      </c>
      <c r="B98" s="125" t="s">
        <v>1481</v>
      </c>
      <c r="C98" s="126">
        <v>16167.770000000002</v>
      </c>
    </row>
    <row r="99" spans="1:3">
      <c r="A99" s="125">
        <v>91041</v>
      </c>
      <c r="B99" s="125" t="s">
        <v>1482</v>
      </c>
      <c r="C99" s="126">
        <v>157510.79</v>
      </c>
    </row>
    <row r="100" spans="1:3">
      <c r="A100" s="125">
        <v>91042</v>
      </c>
      <c r="B100" s="125" t="s">
        <v>1483</v>
      </c>
      <c r="C100" s="126">
        <v>99550.59</v>
      </c>
    </row>
    <row r="101" spans="1:3">
      <c r="A101" s="125">
        <v>91047</v>
      </c>
      <c r="B101" s="125" t="s">
        <v>1484</v>
      </c>
      <c r="C101" s="126">
        <v>16395.95</v>
      </c>
    </row>
    <row r="102" spans="1:3">
      <c r="A102" s="125">
        <v>91051</v>
      </c>
      <c r="B102" s="125" t="s">
        <v>1485</v>
      </c>
      <c r="C102" s="126">
        <v>30963.920000000006</v>
      </c>
    </row>
    <row r="103" spans="1:3">
      <c r="A103" s="125">
        <v>91057</v>
      </c>
      <c r="B103" s="125" t="s">
        <v>1486</v>
      </c>
      <c r="C103" s="126">
        <v>9616.17</v>
      </c>
    </row>
    <row r="104" spans="1:3">
      <c r="A104" s="125">
        <v>91061</v>
      </c>
      <c r="B104" s="125" t="s">
        <v>1487</v>
      </c>
      <c r="C104" s="126">
        <v>172504.15000000002</v>
      </c>
    </row>
    <row r="105" spans="1:3">
      <c r="A105" s="125">
        <v>91067</v>
      </c>
      <c r="B105" s="125" t="s">
        <v>1488</v>
      </c>
      <c r="C105" s="126">
        <v>9046.159999999998</v>
      </c>
    </row>
    <row r="106" spans="1:3">
      <c r="A106" s="125">
        <v>91071</v>
      </c>
      <c r="B106" s="125" t="s">
        <v>1489</v>
      </c>
      <c r="C106" s="126">
        <v>93244.52</v>
      </c>
    </row>
    <row r="107" spans="1:3">
      <c r="A107" s="125">
        <v>91077</v>
      </c>
      <c r="B107" s="125" t="s">
        <v>1490</v>
      </c>
      <c r="C107" s="126">
        <v>3277.2500000000005</v>
      </c>
    </row>
    <row r="108" spans="1:3">
      <c r="A108" s="125">
        <v>91081</v>
      </c>
      <c r="B108" s="125" t="s">
        <v>1491</v>
      </c>
      <c r="C108" s="126">
        <v>169111.91999999998</v>
      </c>
    </row>
    <row r="109" spans="1:3">
      <c r="A109" s="125">
        <v>91091</v>
      </c>
      <c r="B109" s="125" t="s">
        <v>1492</v>
      </c>
      <c r="C109" s="126">
        <v>225749.38999999998</v>
      </c>
    </row>
    <row r="110" spans="1:3">
      <c r="A110" s="125">
        <v>91101</v>
      </c>
      <c r="B110" s="125" t="s">
        <v>1493</v>
      </c>
      <c r="C110" s="126">
        <v>5894550.5700000012</v>
      </c>
    </row>
    <row r="111" spans="1:3">
      <c r="A111" s="125">
        <v>91102</v>
      </c>
      <c r="B111" s="125" t="s">
        <v>1494</v>
      </c>
      <c r="C111" s="126">
        <v>156560.34</v>
      </c>
    </row>
    <row r="112" spans="1:3">
      <c r="A112" s="125">
        <v>91104</v>
      </c>
      <c r="B112" s="125" t="s">
        <v>1495</v>
      </c>
      <c r="C112" s="126">
        <v>5627.5300000000007</v>
      </c>
    </row>
    <row r="113" spans="1:3">
      <c r="A113" s="125">
        <v>91107</v>
      </c>
      <c r="B113" s="125" t="s">
        <v>1496</v>
      </c>
      <c r="C113" s="126">
        <v>36616.22</v>
      </c>
    </row>
    <row r="114" spans="1:3">
      <c r="A114" s="125">
        <v>91108</v>
      </c>
      <c r="B114" s="125" t="s">
        <v>1497</v>
      </c>
      <c r="C114" s="126">
        <v>613475.99</v>
      </c>
    </row>
    <row r="115" spans="1:3">
      <c r="A115" s="125">
        <v>91109</v>
      </c>
      <c r="B115" s="125" t="s">
        <v>1498</v>
      </c>
      <c r="C115" s="126">
        <v>45066.209999999992</v>
      </c>
    </row>
    <row r="116" spans="1:3">
      <c r="A116" s="125">
        <v>91111</v>
      </c>
      <c r="B116" s="125" t="s">
        <v>1499</v>
      </c>
      <c r="C116" s="126">
        <v>110902.83</v>
      </c>
    </row>
    <row r="117" spans="1:3">
      <c r="A117" s="125">
        <v>91120</v>
      </c>
      <c r="B117" s="125" t="s">
        <v>1500</v>
      </c>
      <c r="C117" s="126">
        <v>45448.52</v>
      </c>
    </row>
    <row r="118" spans="1:3">
      <c r="A118" s="125">
        <v>91121</v>
      </c>
      <c r="B118" s="125" t="s">
        <v>1501</v>
      </c>
      <c r="C118" s="126">
        <v>4272051.3500000006</v>
      </c>
    </row>
    <row r="119" spans="1:3">
      <c r="A119" s="125">
        <v>91127</v>
      </c>
      <c r="B119" s="125" t="s">
        <v>1502</v>
      </c>
      <c r="C119" s="126">
        <v>146935.43</v>
      </c>
    </row>
    <row r="120" spans="1:3">
      <c r="A120" s="125">
        <v>91128</v>
      </c>
      <c r="B120" s="125" t="s">
        <v>1503</v>
      </c>
      <c r="C120" s="126">
        <v>238305.36999999997</v>
      </c>
    </row>
    <row r="121" spans="1:3">
      <c r="A121" s="125">
        <v>91138</v>
      </c>
      <c r="B121" s="125" t="s">
        <v>1504</v>
      </c>
      <c r="C121" s="126">
        <v>220646.32000000004</v>
      </c>
    </row>
    <row r="122" spans="1:3">
      <c r="A122" s="125">
        <v>91141</v>
      </c>
      <c r="B122" s="125" t="s">
        <v>1505</v>
      </c>
      <c r="C122" s="126">
        <v>236315.18</v>
      </c>
    </row>
    <row r="123" spans="1:3">
      <c r="A123" s="125">
        <v>91147</v>
      </c>
      <c r="B123" s="125" t="s">
        <v>1506</v>
      </c>
      <c r="C123" s="126">
        <v>12125.199999999999</v>
      </c>
    </row>
    <row r="124" spans="1:3">
      <c r="A124" s="125">
        <v>91151</v>
      </c>
      <c r="B124" s="125" t="s">
        <v>1507</v>
      </c>
      <c r="C124" s="126">
        <v>254759.84000000003</v>
      </c>
    </row>
    <row r="125" spans="1:3">
      <c r="A125" s="125">
        <v>91154</v>
      </c>
      <c r="B125" s="125" t="s">
        <v>1508</v>
      </c>
      <c r="C125" s="126">
        <v>10901.680000000002</v>
      </c>
    </row>
    <row r="126" spans="1:3">
      <c r="A126" s="125">
        <v>91161</v>
      </c>
      <c r="B126" s="125" t="s">
        <v>1509</v>
      </c>
      <c r="C126" s="126">
        <v>44456.920000000006</v>
      </c>
    </row>
    <row r="127" spans="1:3">
      <c r="A127" s="125">
        <v>91171</v>
      </c>
      <c r="B127" s="125" t="s">
        <v>1510</v>
      </c>
      <c r="C127" s="126">
        <v>93650.89</v>
      </c>
    </row>
    <row r="128" spans="1:3">
      <c r="A128" s="125">
        <v>91201</v>
      </c>
      <c r="B128" s="125" t="s">
        <v>1511</v>
      </c>
      <c r="C128" s="126">
        <v>970290.71999999974</v>
      </c>
    </row>
    <row r="129" spans="1:3">
      <c r="A129" s="125">
        <v>91202</v>
      </c>
      <c r="B129" s="125" t="s">
        <v>1512</v>
      </c>
      <c r="C129" s="126">
        <v>96478.459999999992</v>
      </c>
    </row>
    <row r="130" spans="1:3">
      <c r="A130" s="125">
        <v>91203</v>
      </c>
      <c r="B130" s="125" t="s">
        <v>1513</v>
      </c>
      <c r="C130" s="126">
        <v>127249.16000000002</v>
      </c>
    </row>
    <row r="131" spans="1:3">
      <c r="A131" s="125">
        <v>91206</v>
      </c>
      <c r="B131" s="125" t="s">
        <v>1514</v>
      </c>
      <c r="C131" s="126">
        <v>388200.35</v>
      </c>
    </row>
    <row r="132" spans="1:3">
      <c r="A132" s="125">
        <v>91208</v>
      </c>
      <c r="B132" s="125" t="s">
        <v>1515</v>
      </c>
      <c r="C132" s="126">
        <v>6397.7599999999993</v>
      </c>
    </row>
    <row r="133" spans="1:3">
      <c r="A133" s="125">
        <v>91211</v>
      </c>
      <c r="B133" s="125" t="s">
        <v>1516</v>
      </c>
      <c r="C133" s="126">
        <v>223513.02000000002</v>
      </c>
    </row>
    <row r="134" spans="1:3">
      <c r="A134" s="125">
        <v>91213</v>
      </c>
      <c r="B134" s="125" t="s">
        <v>1517</v>
      </c>
      <c r="C134" s="126">
        <v>12090.400000000001</v>
      </c>
    </row>
    <row r="135" spans="1:3">
      <c r="A135" s="125">
        <v>91214</v>
      </c>
      <c r="B135" s="125" t="s">
        <v>1518</v>
      </c>
      <c r="C135" s="126">
        <v>9668.68</v>
      </c>
    </row>
    <row r="136" spans="1:3">
      <c r="A136" s="125">
        <v>91217</v>
      </c>
      <c r="B136" s="125" t="s">
        <v>1519</v>
      </c>
      <c r="C136" s="126">
        <v>14934.26</v>
      </c>
    </row>
    <row r="137" spans="1:3">
      <c r="A137" s="125">
        <v>91221</v>
      </c>
      <c r="B137" s="125" t="s">
        <v>1520</v>
      </c>
      <c r="C137" s="126">
        <v>59449.12999999999</v>
      </c>
    </row>
    <row r="138" spans="1:3">
      <c r="A138" s="125">
        <v>91231</v>
      </c>
      <c r="B138" s="125" t="s">
        <v>1521</v>
      </c>
      <c r="C138" s="126">
        <v>867955.41</v>
      </c>
    </row>
    <row r="139" spans="1:3">
      <c r="A139" s="125">
        <v>91233</v>
      </c>
      <c r="B139" s="125" t="s">
        <v>1522</v>
      </c>
      <c r="C139" s="126">
        <v>21828.269999999997</v>
      </c>
    </row>
    <row r="140" spans="1:3">
      <c r="A140" s="125">
        <v>91241</v>
      </c>
      <c r="B140" s="125" t="s">
        <v>1523</v>
      </c>
      <c r="C140" s="126">
        <v>17215.53</v>
      </c>
    </row>
    <row r="141" spans="1:3">
      <c r="A141" s="125">
        <v>91251</v>
      </c>
      <c r="B141" s="125" t="s">
        <v>1524</v>
      </c>
      <c r="C141" s="126">
        <v>11338.78</v>
      </c>
    </row>
    <row r="142" spans="1:3">
      <c r="A142" s="125">
        <v>91261</v>
      </c>
      <c r="B142" s="125" t="s">
        <v>1525</v>
      </c>
      <c r="C142" s="126">
        <v>4665.82</v>
      </c>
    </row>
    <row r="143" spans="1:3">
      <c r="A143" s="125">
        <v>91301</v>
      </c>
      <c r="B143" s="125" t="s">
        <v>1526</v>
      </c>
      <c r="C143" s="126">
        <v>3428603.0299999993</v>
      </c>
    </row>
    <row r="144" spans="1:3">
      <c r="A144" s="125">
        <v>91302</v>
      </c>
      <c r="B144" s="125" t="s">
        <v>1527</v>
      </c>
      <c r="C144" s="126">
        <v>259187.16</v>
      </c>
    </row>
    <row r="145" spans="1:3">
      <c r="A145" s="125">
        <v>91306</v>
      </c>
      <c r="B145" s="125" t="s">
        <v>1528</v>
      </c>
      <c r="C145" s="126">
        <v>766697.58</v>
      </c>
    </row>
    <row r="146" spans="1:3">
      <c r="A146" s="125">
        <v>91308</v>
      </c>
      <c r="B146" s="125" t="s">
        <v>1529</v>
      </c>
      <c r="C146" s="126">
        <v>80232.03</v>
      </c>
    </row>
    <row r="147" spans="1:3">
      <c r="A147" s="125">
        <v>91311</v>
      </c>
      <c r="B147" s="125" t="s">
        <v>1530</v>
      </c>
      <c r="C147" s="126">
        <v>3305761.2899999996</v>
      </c>
    </row>
    <row r="148" spans="1:3">
      <c r="A148" s="125">
        <v>91317</v>
      </c>
      <c r="B148" s="125" t="s">
        <v>1531</v>
      </c>
      <c r="C148" s="126">
        <v>50865.250000000007</v>
      </c>
    </row>
    <row r="149" spans="1:3">
      <c r="A149" s="125">
        <v>91321</v>
      </c>
      <c r="B149" s="125" t="s">
        <v>1532</v>
      </c>
      <c r="C149" s="126">
        <v>37213.020000000004</v>
      </c>
    </row>
    <row r="150" spans="1:3">
      <c r="A150" s="125">
        <v>91327</v>
      </c>
      <c r="B150" s="125" t="s">
        <v>1533</v>
      </c>
      <c r="C150" s="126">
        <v>4494.54</v>
      </c>
    </row>
    <row r="151" spans="1:3">
      <c r="A151" s="125">
        <v>91331</v>
      </c>
      <c r="B151" s="125" t="s">
        <v>1534</v>
      </c>
      <c r="C151" s="126">
        <v>1190887.2599999998</v>
      </c>
    </row>
    <row r="152" spans="1:3">
      <c r="A152" s="125">
        <v>91341</v>
      </c>
      <c r="B152" s="125" t="s">
        <v>1535</v>
      </c>
      <c r="C152" s="126">
        <v>9160.6</v>
      </c>
    </row>
    <row r="153" spans="1:3">
      <c r="A153" s="125">
        <v>91401</v>
      </c>
      <c r="B153" s="125" t="s">
        <v>1536</v>
      </c>
      <c r="C153" s="126">
        <v>1559429.54</v>
      </c>
    </row>
    <row r="154" spans="1:3">
      <c r="A154" s="125">
        <v>91411</v>
      </c>
      <c r="B154" s="125" t="s">
        <v>1537</v>
      </c>
      <c r="C154" s="126">
        <v>168365.22</v>
      </c>
    </row>
    <row r="155" spans="1:3">
      <c r="A155" s="125">
        <v>91417</v>
      </c>
      <c r="B155" s="125" t="s">
        <v>1538</v>
      </c>
      <c r="C155" s="126">
        <v>5288.7199999999993</v>
      </c>
    </row>
    <row r="156" spans="1:3">
      <c r="A156" s="125">
        <v>91421</v>
      </c>
      <c r="B156" s="125" t="s">
        <v>1539</v>
      </c>
      <c r="C156" s="126">
        <v>36488.130000000005</v>
      </c>
    </row>
    <row r="157" spans="1:3">
      <c r="A157" s="125">
        <v>91423</v>
      </c>
      <c r="B157" s="125" t="s">
        <v>1540</v>
      </c>
      <c r="C157" s="126">
        <v>20619.55</v>
      </c>
    </row>
    <row r="158" spans="1:3">
      <c r="A158" s="125">
        <v>91431</v>
      </c>
      <c r="B158" s="125" t="s">
        <v>1541</v>
      </c>
      <c r="C158" s="126">
        <v>80269.81</v>
      </c>
    </row>
    <row r="159" spans="1:3">
      <c r="A159" s="125">
        <v>91441</v>
      </c>
      <c r="B159" s="125" t="s">
        <v>1542</v>
      </c>
      <c r="C159" s="126">
        <v>316617.68</v>
      </c>
    </row>
    <row r="160" spans="1:3">
      <c r="A160" s="125">
        <v>91451</v>
      </c>
      <c r="B160" s="125" t="s">
        <v>1543</v>
      </c>
      <c r="C160" s="126">
        <v>670223.22</v>
      </c>
    </row>
    <row r="161" spans="1:3">
      <c r="A161" s="125">
        <v>91457</v>
      </c>
      <c r="B161" s="125" t="s">
        <v>1544</v>
      </c>
      <c r="C161" s="126">
        <v>30669.55</v>
      </c>
    </row>
    <row r="162" spans="1:3">
      <c r="A162" s="125">
        <v>91461</v>
      </c>
      <c r="B162" s="125" t="s">
        <v>1545</v>
      </c>
      <c r="C162" s="126">
        <v>2932.1999999999994</v>
      </c>
    </row>
    <row r="163" spans="1:3">
      <c r="A163" s="125">
        <v>91501</v>
      </c>
      <c r="B163" s="125" t="s">
        <v>1546</v>
      </c>
      <c r="C163" s="126">
        <v>231245.95999999996</v>
      </c>
    </row>
    <row r="164" spans="1:3">
      <c r="A164" s="125">
        <v>91504</v>
      </c>
      <c r="B164" s="125" t="s">
        <v>1547</v>
      </c>
      <c r="C164" s="126">
        <v>6531.2399999999989</v>
      </c>
    </row>
    <row r="165" spans="1:3">
      <c r="A165" s="125">
        <v>91601</v>
      </c>
      <c r="B165" s="125" t="s">
        <v>1548</v>
      </c>
      <c r="C165" s="126">
        <v>1323805.4799999997</v>
      </c>
    </row>
    <row r="166" spans="1:3">
      <c r="A166" s="125">
        <v>91604</v>
      </c>
      <c r="B166" s="125" t="s">
        <v>1549</v>
      </c>
      <c r="C166" s="126">
        <v>50507.07</v>
      </c>
    </row>
    <row r="167" spans="1:3">
      <c r="A167" s="125">
        <v>91608</v>
      </c>
      <c r="B167" s="125" t="s">
        <v>1550</v>
      </c>
      <c r="C167" s="126">
        <v>45013.06</v>
      </c>
    </row>
    <row r="168" spans="1:3">
      <c r="A168" s="125">
        <v>91611</v>
      </c>
      <c r="B168" s="125" t="s">
        <v>1551</v>
      </c>
      <c r="C168" s="126">
        <v>598448.54</v>
      </c>
    </row>
    <row r="169" spans="1:3">
      <c r="A169" s="125">
        <v>91621</v>
      </c>
      <c r="B169" s="125" t="s">
        <v>1552</v>
      </c>
      <c r="C169" s="126">
        <v>108513.93999999999</v>
      </c>
    </row>
    <row r="170" spans="1:3">
      <c r="A170" s="125">
        <v>91631</v>
      </c>
      <c r="B170" s="125" t="s">
        <v>1553</v>
      </c>
      <c r="C170" s="126">
        <v>219721.63</v>
      </c>
    </row>
    <row r="171" spans="1:3">
      <c r="A171" s="125">
        <v>91633</v>
      </c>
      <c r="B171" s="125" t="s">
        <v>1554</v>
      </c>
      <c r="C171" s="126">
        <v>11021.91</v>
      </c>
    </row>
    <row r="172" spans="1:3">
      <c r="A172" s="125">
        <v>91641</v>
      </c>
      <c r="B172" s="125" t="s">
        <v>1555</v>
      </c>
      <c r="C172" s="126">
        <v>104378.45</v>
      </c>
    </row>
    <row r="173" spans="1:3">
      <c r="A173" s="125">
        <v>91651</v>
      </c>
      <c r="B173" s="125" t="s">
        <v>1556</v>
      </c>
      <c r="C173" s="126">
        <v>205102.34999999998</v>
      </c>
    </row>
    <row r="174" spans="1:3">
      <c r="A174" s="125">
        <v>91661</v>
      </c>
      <c r="B174" s="125" t="s">
        <v>1557</v>
      </c>
      <c r="C174" s="126">
        <v>56240.800000000003</v>
      </c>
    </row>
    <row r="175" spans="1:3">
      <c r="A175" s="125">
        <v>91671</v>
      </c>
      <c r="B175" s="125" t="s">
        <v>1558</v>
      </c>
      <c r="C175" s="126">
        <v>43651.26</v>
      </c>
    </row>
    <row r="176" spans="1:3">
      <c r="A176" s="125">
        <v>91681</v>
      </c>
      <c r="B176" s="125" t="s">
        <v>1559</v>
      </c>
      <c r="C176" s="126">
        <v>387831.85</v>
      </c>
    </row>
    <row r="177" spans="1:3">
      <c r="A177" s="125">
        <v>91691</v>
      </c>
      <c r="B177" s="125" t="s">
        <v>1560</v>
      </c>
      <c r="C177" s="126">
        <v>10219.230000000003</v>
      </c>
    </row>
    <row r="178" spans="1:3">
      <c r="A178" s="125">
        <v>91701</v>
      </c>
      <c r="B178" s="125" t="s">
        <v>1561</v>
      </c>
      <c r="C178" s="126">
        <v>542905.62</v>
      </c>
    </row>
    <row r="179" spans="1:3">
      <c r="A179" s="125">
        <v>91704</v>
      </c>
      <c r="B179" s="125" t="s">
        <v>1562</v>
      </c>
      <c r="C179" s="126">
        <v>7505.7499999999982</v>
      </c>
    </row>
    <row r="180" spans="1:3">
      <c r="A180" s="125">
        <v>91706</v>
      </c>
      <c r="B180" s="125" t="s">
        <v>1563</v>
      </c>
      <c r="C180" s="126">
        <v>121962.5</v>
      </c>
    </row>
    <row r="181" spans="1:3">
      <c r="A181" s="125">
        <v>91719</v>
      </c>
      <c r="B181" s="125" t="s">
        <v>1564</v>
      </c>
      <c r="C181" s="126">
        <v>19656.21</v>
      </c>
    </row>
    <row r="182" spans="1:3">
      <c r="A182" s="125">
        <v>91801</v>
      </c>
      <c r="B182" s="125" t="s">
        <v>1565</v>
      </c>
      <c r="C182" s="126">
        <v>3752769.06</v>
      </c>
    </row>
    <row r="183" spans="1:3">
      <c r="A183" s="125">
        <v>91804</v>
      </c>
      <c r="B183" s="125" t="s">
        <v>1566</v>
      </c>
      <c r="C183" s="126">
        <v>95886.299999999988</v>
      </c>
    </row>
    <row r="184" spans="1:3">
      <c r="A184" s="125">
        <v>91811</v>
      </c>
      <c r="B184" s="125" t="s">
        <v>1567</v>
      </c>
      <c r="C184" s="126">
        <v>1964157.7199999997</v>
      </c>
    </row>
    <row r="185" spans="1:3">
      <c r="A185" s="125">
        <v>91812</v>
      </c>
      <c r="B185" s="125" t="s">
        <v>1568</v>
      </c>
      <c r="C185" s="126">
        <v>26136.170000000006</v>
      </c>
    </row>
    <row r="186" spans="1:3">
      <c r="A186" s="125">
        <v>91813</v>
      </c>
      <c r="B186" s="125" t="s">
        <v>1569</v>
      </c>
      <c r="C186" s="126">
        <v>44451.83</v>
      </c>
    </row>
    <row r="187" spans="1:3">
      <c r="A187" s="125">
        <v>91818</v>
      </c>
      <c r="B187" s="125" t="s">
        <v>1570</v>
      </c>
      <c r="C187" s="126">
        <v>453408.54</v>
      </c>
    </row>
    <row r="188" spans="1:3">
      <c r="A188" s="125">
        <v>91819</v>
      </c>
      <c r="B188" s="125" t="s">
        <v>1571</v>
      </c>
      <c r="C188" s="126">
        <v>138657.20000000001</v>
      </c>
    </row>
    <row r="189" spans="1:3">
      <c r="A189" s="125">
        <v>91821</v>
      </c>
      <c r="B189" s="125" t="s">
        <v>1572</v>
      </c>
      <c r="C189" s="126">
        <v>71126.36</v>
      </c>
    </row>
    <row r="190" spans="1:3">
      <c r="A190" s="125">
        <v>91831</v>
      </c>
      <c r="B190" s="125" t="s">
        <v>1573</v>
      </c>
      <c r="C190" s="126">
        <v>150177.89000000001</v>
      </c>
    </row>
    <row r="191" spans="1:3">
      <c r="A191" s="125">
        <v>91841</v>
      </c>
      <c r="B191" s="125" t="s">
        <v>1574</v>
      </c>
      <c r="C191" s="126">
        <v>126479.15999999997</v>
      </c>
    </row>
    <row r="192" spans="1:3">
      <c r="A192" s="125">
        <v>91851</v>
      </c>
      <c r="B192" s="125" t="s">
        <v>1575</v>
      </c>
      <c r="C192" s="126">
        <v>326836.36</v>
      </c>
    </row>
    <row r="193" spans="1:3">
      <c r="A193" s="125">
        <v>91861</v>
      </c>
      <c r="B193" s="125" t="s">
        <v>1576</v>
      </c>
      <c r="C193" s="126">
        <v>8022.880000000001</v>
      </c>
    </row>
    <row r="194" spans="1:3">
      <c r="A194" s="125">
        <v>91871</v>
      </c>
      <c r="B194" s="125" t="s">
        <v>1577</v>
      </c>
      <c r="C194" s="126">
        <v>588754.54</v>
      </c>
    </row>
    <row r="195" spans="1:3">
      <c r="A195" s="125">
        <v>91881</v>
      </c>
      <c r="B195" s="125" t="s">
        <v>1578</v>
      </c>
      <c r="C195" s="126">
        <v>6384.2999999999993</v>
      </c>
    </row>
    <row r="196" spans="1:3">
      <c r="A196" s="125">
        <v>91901</v>
      </c>
      <c r="B196" s="125" t="s">
        <v>1579</v>
      </c>
      <c r="C196" s="126">
        <v>1652492.4700000002</v>
      </c>
    </row>
    <row r="197" spans="1:3">
      <c r="A197" s="125">
        <v>91903</v>
      </c>
      <c r="B197" s="125" t="s">
        <v>1580</v>
      </c>
      <c r="C197" s="126">
        <v>5738.8700000000008</v>
      </c>
    </row>
    <row r="198" spans="1:3">
      <c r="A198" s="125">
        <v>91904</v>
      </c>
      <c r="B198" s="125" t="s">
        <v>1581</v>
      </c>
      <c r="C198" s="126">
        <v>13231.24</v>
      </c>
    </row>
    <row r="199" spans="1:3">
      <c r="A199" s="125">
        <v>91908</v>
      </c>
      <c r="B199" s="125" t="s">
        <v>1582</v>
      </c>
      <c r="C199" s="126">
        <v>5210.9399999999996</v>
      </c>
    </row>
    <row r="200" spans="1:3">
      <c r="A200" s="125">
        <v>91911</v>
      </c>
      <c r="B200" s="125" t="s">
        <v>1583</v>
      </c>
      <c r="C200" s="126">
        <v>224256.72000000003</v>
      </c>
    </row>
    <row r="201" spans="1:3">
      <c r="A201" s="125">
        <v>91917</v>
      </c>
      <c r="B201" s="125" t="s">
        <v>1584</v>
      </c>
      <c r="C201" s="126">
        <v>6386.670000000001</v>
      </c>
    </row>
    <row r="202" spans="1:3">
      <c r="A202" s="125">
        <v>91921</v>
      </c>
      <c r="B202" s="125" t="s">
        <v>1585</v>
      </c>
      <c r="C202" s="126">
        <v>160504.93</v>
      </c>
    </row>
    <row r="203" spans="1:3">
      <c r="A203" s="125">
        <v>92001</v>
      </c>
      <c r="B203" s="125" t="s">
        <v>1586</v>
      </c>
      <c r="C203" s="126">
        <v>790603.02999999991</v>
      </c>
    </row>
    <row r="204" spans="1:3">
      <c r="A204" s="125">
        <v>92005</v>
      </c>
      <c r="B204" s="125" t="s">
        <v>1587</v>
      </c>
      <c r="C204" s="126">
        <v>20947.199999999997</v>
      </c>
    </row>
    <row r="205" spans="1:3">
      <c r="A205" s="125">
        <v>92011</v>
      </c>
      <c r="B205" s="125" t="s">
        <v>1588</v>
      </c>
      <c r="C205" s="126">
        <v>90382.9</v>
      </c>
    </row>
    <row r="206" spans="1:3">
      <c r="A206" s="125">
        <v>92017</v>
      </c>
      <c r="B206" s="125" t="s">
        <v>1589</v>
      </c>
      <c r="C206" s="126">
        <v>16941.37</v>
      </c>
    </row>
    <row r="207" spans="1:3">
      <c r="A207" s="125">
        <v>92021</v>
      </c>
      <c r="B207" s="125" t="s">
        <v>1590</v>
      </c>
      <c r="C207" s="126">
        <v>72634.77</v>
      </c>
    </row>
    <row r="208" spans="1:3">
      <c r="A208" s="125">
        <v>92101</v>
      </c>
      <c r="B208" s="125" t="s">
        <v>1591</v>
      </c>
      <c r="C208" s="126">
        <v>368518.74</v>
      </c>
    </row>
    <row r="209" spans="1:3">
      <c r="A209" s="125">
        <v>92104</v>
      </c>
      <c r="B209" s="125" t="s">
        <v>1592</v>
      </c>
      <c r="C209" s="126">
        <v>5180.28</v>
      </c>
    </row>
    <row r="210" spans="1:3">
      <c r="A210" s="125">
        <v>92109</v>
      </c>
      <c r="B210" s="125" t="s">
        <v>1593</v>
      </c>
      <c r="C210" s="126">
        <v>79222.569999999992</v>
      </c>
    </row>
    <row r="211" spans="1:3">
      <c r="A211" s="125">
        <v>92111</v>
      </c>
      <c r="B211" s="125" t="s">
        <v>1594</v>
      </c>
      <c r="C211" s="126">
        <v>231048.73</v>
      </c>
    </row>
    <row r="212" spans="1:3">
      <c r="A212" s="125">
        <v>92113</v>
      </c>
      <c r="B212" s="125" t="s">
        <v>1595</v>
      </c>
      <c r="C212" s="126">
        <v>10340.590000000002</v>
      </c>
    </row>
    <row r="213" spans="1:3">
      <c r="A213" s="125">
        <v>92201</v>
      </c>
      <c r="B213" s="125" t="s">
        <v>1596</v>
      </c>
      <c r="C213" s="126">
        <v>452317.97000000003</v>
      </c>
    </row>
    <row r="214" spans="1:3">
      <c r="A214" s="125">
        <v>92301</v>
      </c>
      <c r="B214" s="125" t="s">
        <v>1597</v>
      </c>
      <c r="C214" s="126">
        <v>2376667.8199999994</v>
      </c>
    </row>
    <row r="215" spans="1:3">
      <c r="A215" s="125">
        <v>92302</v>
      </c>
      <c r="B215" s="125" t="s">
        <v>1598</v>
      </c>
      <c r="C215" s="126">
        <v>124071.08</v>
      </c>
    </row>
    <row r="216" spans="1:3">
      <c r="A216" s="125">
        <v>92311</v>
      </c>
      <c r="B216" s="125" t="s">
        <v>1599</v>
      </c>
      <c r="C216" s="126">
        <v>989308.2</v>
      </c>
    </row>
    <row r="217" spans="1:3">
      <c r="A217" s="125">
        <v>92317</v>
      </c>
      <c r="B217" s="125" t="s">
        <v>1600</v>
      </c>
      <c r="C217" s="126">
        <v>22749.040000000001</v>
      </c>
    </row>
    <row r="218" spans="1:3">
      <c r="A218" s="125">
        <v>92321</v>
      </c>
      <c r="B218" s="125" t="s">
        <v>1601</v>
      </c>
      <c r="C218" s="126">
        <v>553265.69999999995</v>
      </c>
    </row>
    <row r="219" spans="1:3">
      <c r="A219" s="125">
        <v>92327</v>
      </c>
      <c r="B219" s="125" t="s">
        <v>1602</v>
      </c>
      <c r="C219" s="126">
        <v>5653.369999999999</v>
      </c>
    </row>
    <row r="220" spans="1:3">
      <c r="A220" s="125">
        <v>92331</v>
      </c>
      <c r="B220" s="125" t="s">
        <v>1603</v>
      </c>
      <c r="C220" s="126">
        <v>60877.5</v>
      </c>
    </row>
    <row r="221" spans="1:3">
      <c r="A221" s="125">
        <v>92341</v>
      </c>
      <c r="B221" s="125" t="s">
        <v>1604</v>
      </c>
      <c r="C221" s="126">
        <v>3179.09</v>
      </c>
    </row>
    <row r="222" spans="1:3">
      <c r="A222" s="125">
        <v>92351</v>
      </c>
      <c r="B222" s="125" t="s">
        <v>1605</v>
      </c>
      <c r="C222" s="126">
        <v>9506.67</v>
      </c>
    </row>
    <row r="223" spans="1:3">
      <c r="A223" s="125">
        <v>92401</v>
      </c>
      <c r="B223" s="125" t="s">
        <v>1606</v>
      </c>
      <c r="C223" s="126">
        <v>1303902.4800000002</v>
      </c>
    </row>
    <row r="224" spans="1:3">
      <c r="A224" s="125">
        <v>92403</v>
      </c>
      <c r="B224" s="125" t="s">
        <v>1607</v>
      </c>
      <c r="C224" s="126">
        <v>5891.95</v>
      </c>
    </row>
    <row r="225" spans="1:3">
      <c r="A225" s="125">
        <v>92411</v>
      </c>
      <c r="B225" s="125" t="s">
        <v>1608</v>
      </c>
      <c r="C225" s="126">
        <v>203731.75000000003</v>
      </c>
    </row>
    <row r="226" spans="1:3">
      <c r="A226" s="125">
        <v>92417</v>
      </c>
      <c r="B226" s="125" t="s">
        <v>1609</v>
      </c>
      <c r="C226" s="126">
        <v>5972.1200000000008</v>
      </c>
    </row>
    <row r="227" spans="1:3">
      <c r="A227" s="125">
        <v>92421</v>
      </c>
      <c r="B227" s="125" t="s">
        <v>1610</v>
      </c>
      <c r="C227" s="126">
        <v>7579.9000000000005</v>
      </c>
    </row>
    <row r="228" spans="1:3">
      <c r="A228" s="125">
        <v>92427</v>
      </c>
      <c r="B228" s="125" t="s">
        <v>1611</v>
      </c>
      <c r="C228" s="126">
        <v>1462.7</v>
      </c>
    </row>
    <row r="229" spans="1:3">
      <c r="A229" s="125">
        <v>92431</v>
      </c>
      <c r="B229" s="125" t="s">
        <v>1612</v>
      </c>
      <c r="C229" s="126">
        <v>22456.17</v>
      </c>
    </row>
    <row r="230" spans="1:3">
      <c r="A230" s="125">
        <v>92441</v>
      </c>
      <c r="B230" s="125" t="s">
        <v>1613</v>
      </c>
      <c r="C230" s="126">
        <v>38184.479999999996</v>
      </c>
    </row>
    <row r="231" spans="1:3">
      <c r="A231" s="125">
        <v>92444</v>
      </c>
      <c r="B231" s="125" t="s">
        <v>1614</v>
      </c>
      <c r="C231" s="126">
        <v>2108.3200000000002</v>
      </c>
    </row>
    <row r="232" spans="1:3">
      <c r="A232" s="125">
        <v>92451</v>
      </c>
      <c r="B232" s="125" t="s">
        <v>1615</v>
      </c>
      <c r="C232" s="126">
        <v>77937.69</v>
      </c>
    </row>
    <row r="233" spans="1:3">
      <c r="A233" s="125">
        <v>92461</v>
      </c>
      <c r="B233" s="125" t="s">
        <v>1616</v>
      </c>
      <c r="C233" s="126">
        <v>40871.760000000002</v>
      </c>
    </row>
    <row r="234" spans="1:3">
      <c r="A234" s="125">
        <v>92501</v>
      </c>
      <c r="B234" s="125" t="s">
        <v>1617</v>
      </c>
      <c r="C234" s="126">
        <v>1869584.19</v>
      </c>
    </row>
    <row r="235" spans="1:3">
      <c r="A235" s="125">
        <v>92502</v>
      </c>
      <c r="B235" s="125" t="s">
        <v>1618</v>
      </c>
      <c r="C235" s="126">
        <v>14163.860000000004</v>
      </c>
    </row>
    <row r="236" spans="1:3">
      <c r="A236" s="125">
        <v>92504</v>
      </c>
      <c r="B236" s="125" t="s">
        <v>1619</v>
      </c>
      <c r="C236" s="126">
        <v>49663.95</v>
      </c>
    </row>
    <row r="237" spans="1:3">
      <c r="A237" s="125">
        <v>92505</v>
      </c>
      <c r="B237" s="125" t="s">
        <v>1620</v>
      </c>
      <c r="C237" s="126">
        <v>119135.69999999998</v>
      </c>
    </row>
    <row r="238" spans="1:3">
      <c r="A238" s="125">
        <v>92506</v>
      </c>
      <c r="B238" s="125" t="s">
        <v>1621</v>
      </c>
      <c r="C238" s="126">
        <v>26569.89</v>
      </c>
    </row>
    <row r="239" spans="1:3">
      <c r="A239" s="125">
        <v>92507</v>
      </c>
      <c r="B239" s="125" t="s">
        <v>1622</v>
      </c>
      <c r="C239" s="126">
        <v>40749.97</v>
      </c>
    </row>
    <row r="240" spans="1:3">
      <c r="A240" s="125">
        <v>92508</v>
      </c>
      <c r="B240" s="125" t="s">
        <v>1623</v>
      </c>
      <c r="C240" s="126">
        <v>152020.5</v>
      </c>
    </row>
    <row r="241" spans="1:3">
      <c r="A241" s="125">
        <v>92511</v>
      </c>
      <c r="B241" s="125" t="s">
        <v>1624</v>
      </c>
      <c r="C241" s="126">
        <v>1524503.0899999999</v>
      </c>
    </row>
    <row r="242" spans="1:3">
      <c r="A242" s="125">
        <v>92513</v>
      </c>
      <c r="B242" s="125" t="s">
        <v>1625</v>
      </c>
      <c r="C242" s="126">
        <v>1669953.62</v>
      </c>
    </row>
    <row r="243" spans="1:3">
      <c r="A243" s="125">
        <v>92521</v>
      </c>
      <c r="B243" s="125" t="s">
        <v>1626</v>
      </c>
      <c r="C243" s="126">
        <v>37384.129999999997</v>
      </c>
    </row>
    <row r="244" spans="1:3">
      <c r="A244" s="125">
        <v>92531</v>
      </c>
      <c r="B244" s="125" t="s">
        <v>1627</v>
      </c>
      <c r="C244" s="126">
        <v>358463.95999999996</v>
      </c>
    </row>
    <row r="245" spans="1:3">
      <c r="A245" s="125">
        <v>92541</v>
      </c>
      <c r="B245" s="125" t="s">
        <v>1628</v>
      </c>
      <c r="C245" s="126">
        <v>58963.51999999999</v>
      </c>
    </row>
    <row r="246" spans="1:3">
      <c r="A246" s="125">
        <v>92551</v>
      </c>
      <c r="B246" s="125" t="s">
        <v>1629</v>
      </c>
      <c r="C246" s="126">
        <v>19992.34</v>
      </c>
    </row>
    <row r="247" spans="1:3">
      <c r="A247" s="125">
        <v>92561</v>
      </c>
      <c r="B247" s="125" t="s">
        <v>1630</v>
      </c>
      <c r="C247" s="126">
        <v>11715.66</v>
      </c>
    </row>
    <row r="248" spans="1:3">
      <c r="A248" s="125">
        <v>92571</v>
      </c>
      <c r="B248" s="125" t="s">
        <v>1631</v>
      </c>
      <c r="C248" s="126">
        <v>6486.43</v>
      </c>
    </row>
    <row r="249" spans="1:3">
      <c r="A249" s="125">
        <v>92601</v>
      </c>
      <c r="B249" s="125" t="s">
        <v>1632</v>
      </c>
      <c r="C249" s="126">
        <v>7108398.0499999998</v>
      </c>
    </row>
    <row r="250" spans="1:3">
      <c r="A250" s="125">
        <v>92602</v>
      </c>
      <c r="B250" s="125" t="s">
        <v>1633</v>
      </c>
      <c r="C250" s="126">
        <v>3604.4900000000002</v>
      </c>
    </row>
    <row r="251" spans="1:3">
      <c r="A251" s="125">
        <v>92604</v>
      </c>
      <c r="B251" s="125" t="s">
        <v>1634</v>
      </c>
      <c r="C251" s="126">
        <v>178690.81</v>
      </c>
    </row>
    <row r="252" spans="1:3">
      <c r="A252" s="125">
        <v>92607</v>
      </c>
      <c r="B252" s="125" t="s">
        <v>1635</v>
      </c>
      <c r="C252" s="126">
        <v>38426.509999999995</v>
      </c>
    </row>
    <row r="253" spans="1:3">
      <c r="A253" s="125">
        <v>92611</v>
      </c>
      <c r="B253" s="125" t="s">
        <v>1637</v>
      </c>
      <c r="C253" s="126">
        <v>5890415</v>
      </c>
    </row>
    <row r="254" spans="1:3">
      <c r="A254" s="125">
        <v>92613</v>
      </c>
      <c r="B254" s="125" t="s">
        <v>1638</v>
      </c>
      <c r="C254" s="126">
        <v>143120.74</v>
      </c>
    </row>
    <row r="255" spans="1:3">
      <c r="A255" s="125">
        <v>92614</v>
      </c>
      <c r="B255" s="125" t="s">
        <v>1639</v>
      </c>
      <c r="C255" s="126">
        <v>4788008.4000000004</v>
      </c>
    </row>
    <row r="256" spans="1:3">
      <c r="A256" s="125">
        <v>92621</v>
      </c>
      <c r="B256" s="125" t="s">
        <v>1640</v>
      </c>
      <c r="C256" s="126">
        <v>11242.970000000001</v>
      </c>
    </row>
    <row r="257" spans="1:3">
      <c r="A257" s="125">
        <v>92631</v>
      </c>
      <c r="B257" s="125" t="s">
        <v>1641</v>
      </c>
      <c r="C257" s="126">
        <v>397128.06999999995</v>
      </c>
    </row>
    <row r="258" spans="1:3">
      <c r="A258" s="125">
        <v>92641</v>
      </c>
      <c r="B258" s="125" t="s">
        <v>1642</v>
      </c>
      <c r="C258" s="126">
        <v>5720.12</v>
      </c>
    </row>
    <row r="259" spans="1:3">
      <c r="A259" s="125">
        <v>92651</v>
      </c>
      <c r="B259" s="125" t="s">
        <v>1643</v>
      </c>
      <c r="C259" s="126">
        <v>3150.9599999999996</v>
      </c>
    </row>
    <row r="260" spans="1:3">
      <c r="A260" s="125">
        <v>92661</v>
      </c>
      <c r="B260" s="125" t="s">
        <v>1644</v>
      </c>
      <c r="C260" s="126">
        <v>591164.32000000007</v>
      </c>
    </row>
    <row r="261" spans="1:3">
      <c r="A261" s="125">
        <v>92671</v>
      </c>
      <c r="B261" s="125" t="s">
        <v>1645</v>
      </c>
      <c r="C261" s="126">
        <v>5278.6399999999994</v>
      </c>
    </row>
    <row r="262" spans="1:3">
      <c r="A262" s="125">
        <v>92681</v>
      </c>
      <c r="B262" s="125" t="s">
        <v>1646</v>
      </c>
      <c r="C262" s="126">
        <v>11572</v>
      </c>
    </row>
    <row r="263" spans="1:3">
      <c r="A263" s="125">
        <v>92701</v>
      </c>
      <c r="B263" s="125" t="s">
        <v>1647</v>
      </c>
      <c r="C263" s="126">
        <v>1358590.69</v>
      </c>
    </row>
    <row r="264" spans="1:3">
      <c r="A264" s="125">
        <v>92704</v>
      </c>
      <c r="B264" s="125" t="s">
        <v>1648</v>
      </c>
      <c r="C264" s="126">
        <v>18894.43</v>
      </c>
    </row>
    <row r="265" spans="1:3">
      <c r="A265" s="125">
        <v>92801</v>
      </c>
      <c r="B265" s="125" t="s">
        <v>1649</v>
      </c>
      <c r="C265" s="126">
        <v>2417020.3099999996</v>
      </c>
    </row>
    <row r="266" spans="1:3">
      <c r="A266" s="125">
        <v>92802</v>
      </c>
      <c r="B266" s="125" t="s">
        <v>1650</v>
      </c>
      <c r="C266" s="126">
        <v>55827.79</v>
      </c>
    </row>
    <row r="267" spans="1:3">
      <c r="A267" s="125">
        <v>92804</v>
      </c>
      <c r="B267" s="125" t="s">
        <v>1651</v>
      </c>
      <c r="C267" s="126">
        <v>57776.62999999999</v>
      </c>
    </row>
    <row r="268" spans="1:3">
      <c r="A268" s="125">
        <v>92811</v>
      </c>
      <c r="B268" s="125" t="s">
        <v>1652</v>
      </c>
      <c r="C268" s="126">
        <v>442634.87</v>
      </c>
    </row>
    <row r="269" spans="1:3">
      <c r="A269" s="125">
        <v>92821</v>
      </c>
      <c r="B269" s="125" t="s">
        <v>1653</v>
      </c>
      <c r="C269" s="126">
        <v>481049.22</v>
      </c>
    </row>
    <row r="270" spans="1:3">
      <c r="A270" s="125">
        <v>92831</v>
      </c>
      <c r="B270" s="125" t="s">
        <v>1654</v>
      </c>
      <c r="C270" s="126">
        <v>122075.53</v>
      </c>
    </row>
    <row r="271" spans="1:3">
      <c r="A271" s="125">
        <v>92841</v>
      </c>
      <c r="B271" s="125" t="s">
        <v>1655</v>
      </c>
      <c r="C271" s="126">
        <v>116983.39</v>
      </c>
    </row>
    <row r="272" spans="1:3">
      <c r="A272" s="125">
        <v>92851</v>
      </c>
      <c r="B272" s="125" t="s">
        <v>1656</v>
      </c>
      <c r="C272" s="126">
        <v>187164.34</v>
      </c>
    </row>
    <row r="273" spans="1:3">
      <c r="A273" s="125">
        <v>92861</v>
      </c>
      <c r="B273" s="125" t="s">
        <v>1657</v>
      </c>
      <c r="C273" s="126">
        <v>121951.41999999998</v>
      </c>
    </row>
    <row r="274" spans="1:3">
      <c r="A274" s="125">
        <v>92901</v>
      </c>
      <c r="B274" s="125" t="s">
        <v>1658</v>
      </c>
      <c r="C274" s="126">
        <v>2645958.38</v>
      </c>
    </row>
    <row r="275" spans="1:3">
      <c r="A275" s="125">
        <v>92911</v>
      </c>
      <c r="B275" s="125" t="s">
        <v>1659</v>
      </c>
      <c r="C275" s="126">
        <v>924132.14000000013</v>
      </c>
    </row>
    <row r="276" spans="1:3">
      <c r="A276" s="125">
        <v>92913</v>
      </c>
      <c r="B276" s="125" t="s">
        <v>1660</v>
      </c>
      <c r="C276" s="126">
        <v>57759.520000000004</v>
      </c>
    </row>
    <row r="277" spans="1:3">
      <c r="A277" s="125">
        <v>92914</v>
      </c>
      <c r="B277" s="125" t="s">
        <v>1661</v>
      </c>
      <c r="C277" s="126">
        <v>10513.27</v>
      </c>
    </row>
    <row r="278" spans="1:3">
      <c r="A278" s="125">
        <v>92917</v>
      </c>
      <c r="B278" s="125" t="s">
        <v>1662</v>
      </c>
      <c r="C278" s="126">
        <v>16081.77</v>
      </c>
    </row>
    <row r="279" spans="1:3">
      <c r="A279" s="125">
        <v>92921</v>
      </c>
      <c r="B279" s="125" t="s">
        <v>1663</v>
      </c>
      <c r="C279" s="126">
        <v>41072.51</v>
      </c>
    </row>
    <row r="280" spans="1:3">
      <c r="A280" s="125">
        <v>92931</v>
      </c>
      <c r="B280" s="125" t="s">
        <v>1664</v>
      </c>
      <c r="C280" s="126">
        <v>1109331.3299999998</v>
      </c>
    </row>
    <row r="281" spans="1:3">
      <c r="A281" s="125">
        <v>92941</v>
      </c>
      <c r="B281" s="125" t="s">
        <v>292</v>
      </c>
      <c r="C281" s="126">
        <v>8546.51</v>
      </c>
    </row>
    <row r="282" spans="1:3">
      <c r="A282" s="125">
        <v>93001</v>
      </c>
      <c r="B282" s="125" t="s">
        <v>1665</v>
      </c>
      <c r="C282" s="126">
        <v>981066.02</v>
      </c>
    </row>
    <row r="283" spans="1:3">
      <c r="A283" s="125">
        <v>93009</v>
      </c>
      <c r="B283" s="125" t="s">
        <v>1666</v>
      </c>
      <c r="C283" s="126">
        <v>5347.5400000000009</v>
      </c>
    </row>
    <row r="284" spans="1:3">
      <c r="A284" s="125">
        <v>93011</v>
      </c>
      <c r="B284" s="125" t="s">
        <v>1667</v>
      </c>
      <c r="C284" s="126">
        <v>118523.35</v>
      </c>
    </row>
    <row r="285" spans="1:3">
      <c r="A285" s="125">
        <v>93021</v>
      </c>
      <c r="B285" s="125" t="s">
        <v>1668</v>
      </c>
      <c r="C285" s="126">
        <v>12993.630000000001</v>
      </c>
    </row>
    <row r="286" spans="1:3">
      <c r="A286" s="125">
        <v>93027</v>
      </c>
      <c r="B286" s="125" t="s">
        <v>1669</v>
      </c>
      <c r="C286" s="126">
        <v>8270.2200000000012</v>
      </c>
    </row>
    <row r="287" spans="1:3">
      <c r="A287" s="125">
        <v>93031</v>
      </c>
      <c r="B287" s="125" t="s">
        <v>1670</v>
      </c>
      <c r="C287" s="126">
        <v>20396.899999999998</v>
      </c>
    </row>
    <row r="288" spans="1:3">
      <c r="A288" s="125">
        <v>93101</v>
      </c>
      <c r="B288" s="125" t="s">
        <v>1671</v>
      </c>
      <c r="C288" s="126">
        <v>1521216.6700000002</v>
      </c>
    </row>
    <row r="289" spans="1:3">
      <c r="A289" s="125">
        <v>93103</v>
      </c>
      <c r="B289" s="125" t="s">
        <v>924</v>
      </c>
      <c r="C289" s="126">
        <v>5686.3199999999988</v>
      </c>
    </row>
    <row r="290" spans="1:3">
      <c r="A290" s="125">
        <v>93108</v>
      </c>
      <c r="B290" s="125" t="s">
        <v>1672</v>
      </c>
      <c r="C290" s="126">
        <v>1189196.73</v>
      </c>
    </row>
    <row r="291" spans="1:3">
      <c r="A291" s="125">
        <v>93111</v>
      </c>
      <c r="B291" s="125" t="s">
        <v>1673</v>
      </c>
      <c r="C291" s="126">
        <v>27143.07</v>
      </c>
    </row>
    <row r="292" spans="1:3">
      <c r="A292" s="125">
        <v>93121</v>
      </c>
      <c r="B292" s="125" t="s">
        <v>1674</v>
      </c>
      <c r="C292" s="126">
        <v>28305.74</v>
      </c>
    </row>
    <row r="293" spans="1:3">
      <c r="A293" s="125">
        <v>93127</v>
      </c>
      <c r="B293" s="125" t="s">
        <v>1675</v>
      </c>
      <c r="C293" s="126">
        <v>3239.02</v>
      </c>
    </row>
    <row r="294" spans="1:3">
      <c r="A294" s="125">
        <v>93131</v>
      </c>
      <c r="B294" s="125" t="s">
        <v>1676</v>
      </c>
      <c r="C294" s="126">
        <v>95091.23</v>
      </c>
    </row>
    <row r="295" spans="1:3">
      <c r="A295" s="125">
        <v>93137</v>
      </c>
      <c r="B295" s="125" t="s">
        <v>1677</v>
      </c>
      <c r="C295" s="126">
        <v>2530.41</v>
      </c>
    </row>
    <row r="296" spans="1:3">
      <c r="A296" s="125">
        <v>93141</v>
      </c>
      <c r="B296" s="125" t="s">
        <v>1678</v>
      </c>
      <c r="C296" s="126">
        <v>16198.560000000001</v>
      </c>
    </row>
    <row r="297" spans="1:3">
      <c r="A297" s="125">
        <v>93151</v>
      </c>
      <c r="B297" s="125" t="s">
        <v>1679</v>
      </c>
      <c r="C297" s="126">
        <v>156182.22000000003</v>
      </c>
    </row>
    <row r="298" spans="1:3">
      <c r="A298" s="125">
        <v>93157</v>
      </c>
      <c r="B298" s="125" t="s">
        <v>1680</v>
      </c>
      <c r="C298" s="126">
        <v>6044.9999999999991</v>
      </c>
    </row>
    <row r="299" spans="1:3">
      <c r="A299" s="125">
        <v>93161</v>
      </c>
      <c r="B299" s="125" t="s">
        <v>1681</v>
      </c>
      <c r="C299" s="126">
        <v>47956.099999999991</v>
      </c>
    </row>
    <row r="300" spans="1:3">
      <c r="A300" s="125">
        <v>93171</v>
      </c>
      <c r="B300" s="125" t="s">
        <v>1682</v>
      </c>
      <c r="C300" s="126">
        <v>3888.96</v>
      </c>
    </row>
    <row r="301" spans="1:3">
      <c r="A301" s="125">
        <v>93181</v>
      </c>
      <c r="B301" s="125" t="s">
        <v>1683</v>
      </c>
      <c r="C301" s="126">
        <v>5393.2499999999991</v>
      </c>
    </row>
    <row r="302" spans="1:3">
      <c r="A302" s="125">
        <v>93191</v>
      </c>
      <c r="B302" s="125" t="s">
        <v>1684</v>
      </c>
      <c r="C302" s="126">
        <v>16088.93</v>
      </c>
    </row>
    <row r="303" spans="1:3">
      <c r="A303" s="125">
        <v>93201</v>
      </c>
      <c r="B303" s="125" t="s">
        <v>1685</v>
      </c>
      <c r="C303" s="126">
        <v>7119269.8700000001</v>
      </c>
    </row>
    <row r="304" spans="1:3">
      <c r="A304" s="125">
        <v>93204</v>
      </c>
      <c r="B304" s="125" t="s">
        <v>1687</v>
      </c>
      <c r="C304" s="126">
        <v>157546.01999999999</v>
      </c>
    </row>
    <row r="305" spans="1:3">
      <c r="A305" s="125">
        <v>93209</v>
      </c>
      <c r="B305" s="125" t="s">
        <v>1688</v>
      </c>
      <c r="C305" s="126">
        <v>2094524.8200000003</v>
      </c>
    </row>
    <row r="306" spans="1:3">
      <c r="A306" s="125">
        <v>93211</v>
      </c>
      <c r="B306" s="125" t="s">
        <v>1689</v>
      </c>
      <c r="C306" s="126">
        <v>9330077.1099999994</v>
      </c>
    </row>
    <row r="307" spans="1:3">
      <c r="A307" s="125">
        <v>93212</v>
      </c>
      <c r="B307" s="125" t="s">
        <v>1690</v>
      </c>
      <c r="C307" s="126">
        <v>193583.83000000002</v>
      </c>
    </row>
    <row r="308" spans="1:3">
      <c r="A308" s="125">
        <v>93219</v>
      </c>
      <c r="B308" s="125" t="s">
        <v>1691</v>
      </c>
      <c r="C308" s="126">
        <v>120178.79000000001</v>
      </c>
    </row>
    <row r="309" spans="1:3">
      <c r="A309" s="125">
        <v>93301</v>
      </c>
      <c r="B309" s="125" t="s">
        <v>1692</v>
      </c>
      <c r="C309" s="126">
        <v>1153745.6500000001</v>
      </c>
    </row>
    <row r="310" spans="1:3">
      <c r="A310" s="125">
        <v>93304</v>
      </c>
      <c r="B310" s="125" t="s">
        <v>1693</v>
      </c>
      <c r="C310" s="126">
        <v>18289.23</v>
      </c>
    </row>
    <row r="311" spans="1:3">
      <c r="A311" s="125">
        <v>93305</v>
      </c>
      <c r="B311" s="125" t="s">
        <v>1694</v>
      </c>
      <c r="C311" s="126">
        <v>19564.66</v>
      </c>
    </row>
    <row r="312" spans="1:3">
      <c r="A312" s="125">
        <v>93309</v>
      </c>
      <c r="B312" s="125" t="s">
        <v>1695</v>
      </c>
      <c r="C312" s="126">
        <v>89050.64</v>
      </c>
    </row>
    <row r="313" spans="1:3">
      <c r="A313" s="125">
        <v>93311</v>
      </c>
      <c r="B313" s="125" t="s">
        <v>1696</v>
      </c>
      <c r="C313" s="126">
        <v>529431.75</v>
      </c>
    </row>
    <row r="314" spans="1:3">
      <c r="A314" s="125">
        <v>93317</v>
      </c>
      <c r="B314" s="125" t="s">
        <v>1697</v>
      </c>
      <c r="C314" s="126">
        <v>21779.42</v>
      </c>
    </row>
    <row r="315" spans="1:3">
      <c r="A315" s="125">
        <v>93321</v>
      </c>
      <c r="B315" s="125" t="s">
        <v>1698</v>
      </c>
      <c r="C315" s="126">
        <v>3205901.8899999997</v>
      </c>
    </row>
    <row r="316" spans="1:3">
      <c r="A316" s="125">
        <v>93323</v>
      </c>
      <c r="B316" s="125" t="s">
        <v>1699</v>
      </c>
      <c r="C316" s="126">
        <v>8923.11</v>
      </c>
    </row>
    <row r="317" spans="1:3">
      <c r="A317" s="125">
        <v>93331</v>
      </c>
      <c r="B317" s="125" t="s">
        <v>1700</v>
      </c>
      <c r="C317" s="126">
        <v>56936.17</v>
      </c>
    </row>
    <row r="318" spans="1:3">
      <c r="A318" s="125">
        <v>93333</v>
      </c>
      <c r="B318" s="125" t="s">
        <v>1701</v>
      </c>
      <c r="C318" s="126">
        <v>190543.43</v>
      </c>
    </row>
    <row r="319" spans="1:3">
      <c r="A319" s="125">
        <v>93341</v>
      </c>
      <c r="B319" s="125" t="s">
        <v>1702</v>
      </c>
      <c r="C319" s="126">
        <v>12932.78</v>
      </c>
    </row>
    <row r="320" spans="1:3">
      <c r="A320" s="125">
        <v>93351</v>
      </c>
      <c r="B320" s="125" t="s">
        <v>1703</v>
      </c>
      <c r="C320" s="126">
        <v>16318.86</v>
      </c>
    </row>
    <row r="321" spans="1:3">
      <c r="A321" s="125">
        <v>93401</v>
      </c>
      <c r="B321" s="125" t="s">
        <v>1704</v>
      </c>
      <c r="C321" s="126">
        <v>6356857.0799999982</v>
      </c>
    </row>
    <row r="322" spans="1:3">
      <c r="A322" s="125">
        <v>93402</v>
      </c>
      <c r="B322" s="125" t="s">
        <v>1705</v>
      </c>
      <c r="C322" s="126">
        <v>38603.799999999996</v>
      </c>
    </row>
    <row r="323" spans="1:3">
      <c r="A323" s="125">
        <v>93406</v>
      </c>
      <c r="B323" s="125" t="s">
        <v>1706</v>
      </c>
      <c r="C323" s="126">
        <v>289720.40000000002</v>
      </c>
    </row>
    <row r="324" spans="1:3">
      <c r="A324" s="125">
        <v>93408</v>
      </c>
      <c r="B324" s="125" t="s">
        <v>1707</v>
      </c>
      <c r="C324" s="126">
        <v>73961.63</v>
      </c>
    </row>
    <row r="325" spans="1:3">
      <c r="A325" s="125">
        <v>93411</v>
      </c>
      <c r="B325" s="125" t="s">
        <v>1708</v>
      </c>
      <c r="C325" s="126">
        <v>8222693.9100000001</v>
      </c>
    </row>
    <row r="326" spans="1:3">
      <c r="A326" s="125">
        <v>93413</v>
      </c>
      <c r="B326" s="125" t="s">
        <v>1709</v>
      </c>
      <c r="C326" s="126">
        <v>378795.94</v>
      </c>
    </row>
    <row r="327" spans="1:3">
      <c r="A327" s="125">
        <v>93417</v>
      </c>
      <c r="B327" s="125" t="s">
        <v>1710</v>
      </c>
      <c r="C327" s="126">
        <v>172878.16</v>
      </c>
    </row>
    <row r="328" spans="1:3">
      <c r="A328" s="125">
        <v>93421</v>
      </c>
      <c r="B328" s="125" t="s">
        <v>1711</v>
      </c>
      <c r="C328" s="126">
        <v>893357</v>
      </c>
    </row>
    <row r="329" spans="1:3">
      <c r="A329" s="125">
        <v>93431</v>
      </c>
      <c r="B329" s="125" t="s">
        <v>1712</v>
      </c>
      <c r="C329" s="126">
        <v>61080.389999999992</v>
      </c>
    </row>
    <row r="330" spans="1:3">
      <c r="A330" s="125">
        <v>93441</v>
      </c>
      <c r="B330" s="125" t="s">
        <v>1713</v>
      </c>
      <c r="C330" s="126">
        <v>77932.77</v>
      </c>
    </row>
    <row r="331" spans="1:3">
      <c r="A331" s="125">
        <v>93442</v>
      </c>
      <c r="B331" s="125" t="s">
        <v>1714</v>
      </c>
      <c r="C331" s="126">
        <v>57506.510000000009</v>
      </c>
    </row>
    <row r="332" spans="1:3">
      <c r="A332" s="125">
        <v>93451</v>
      </c>
      <c r="B332" s="125" t="s">
        <v>1715</v>
      </c>
      <c r="C332" s="126">
        <v>41774.850000000006</v>
      </c>
    </row>
    <row r="333" spans="1:3">
      <c r="A333" s="125">
        <v>93461</v>
      </c>
      <c r="B333" s="125" t="s">
        <v>1716</v>
      </c>
      <c r="C333" s="126">
        <v>8263.56</v>
      </c>
    </row>
    <row r="334" spans="1:3">
      <c r="A334" s="125">
        <v>93471</v>
      </c>
      <c r="B334" s="125" t="s">
        <v>1717</v>
      </c>
      <c r="C334" s="126">
        <v>8324.42</v>
      </c>
    </row>
    <row r="335" spans="1:3">
      <c r="A335" s="125">
        <v>93501</v>
      </c>
      <c r="B335" s="125" t="s">
        <v>1718</v>
      </c>
      <c r="C335" s="126">
        <v>1661032.8799999997</v>
      </c>
    </row>
    <row r="336" spans="1:3">
      <c r="A336" s="125">
        <v>93511</v>
      </c>
      <c r="B336" s="125" t="s">
        <v>1719</v>
      </c>
      <c r="C336" s="126">
        <v>45050.15</v>
      </c>
    </row>
    <row r="337" spans="1:3">
      <c r="A337" s="125">
        <v>93517</v>
      </c>
      <c r="B337" s="125" t="s">
        <v>1720</v>
      </c>
      <c r="C337" s="126">
        <v>4387.0800000000008</v>
      </c>
    </row>
    <row r="338" spans="1:3">
      <c r="A338" s="125">
        <v>93521</v>
      </c>
      <c r="B338" s="125" t="s">
        <v>1721</v>
      </c>
      <c r="C338" s="126">
        <v>213304.85</v>
      </c>
    </row>
    <row r="339" spans="1:3">
      <c r="A339" s="125">
        <v>93527</v>
      </c>
      <c r="B339" s="125" t="s">
        <v>1722</v>
      </c>
      <c r="C339" s="126">
        <v>9590.98</v>
      </c>
    </row>
    <row r="340" spans="1:3">
      <c r="A340" s="125">
        <v>93531</v>
      </c>
      <c r="B340" s="125" t="s">
        <v>1723</v>
      </c>
      <c r="C340" s="126">
        <v>11623.46</v>
      </c>
    </row>
    <row r="341" spans="1:3">
      <c r="A341" s="125">
        <v>93537</v>
      </c>
      <c r="B341" s="125" t="s">
        <v>1724</v>
      </c>
      <c r="C341" s="126">
        <v>4063.54</v>
      </c>
    </row>
    <row r="342" spans="1:3">
      <c r="A342" s="125">
        <v>93541</v>
      </c>
      <c r="B342" s="125" t="s">
        <v>1725</v>
      </c>
      <c r="C342" s="126">
        <v>49275.9</v>
      </c>
    </row>
    <row r="343" spans="1:3">
      <c r="A343" s="125">
        <v>93601</v>
      </c>
      <c r="B343" s="125" t="s">
        <v>1726</v>
      </c>
      <c r="C343" s="126">
        <v>5038239.96</v>
      </c>
    </row>
    <row r="344" spans="1:3">
      <c r="A344" s="125">
        <v>93602</v>
      </c>
      <c r="B344" s="125" t="s">
        <v>1727</v>
      </c>
      <c r="C344" s="126">
        <v>82188.28</v>
      </c>
    </row>
    <row r="345" spans="1:3">
      <c r="A345" s="125">
        <v>93609</v>
      </c>
      <c r="B345" s="125" t="s">
        <v>1728</v>
      </c>
      <c r="C345" s="126">
        <v>1743934.2899999998</v>
      </c>
    </row>
    <row r="346" spans="1:3">
      <c r="A346" s="125">
        <v>93610</v>
      </c>
      <c r="B346" s="125" t="s">
        <v>1729</v>
      </c>
      <c r="C346" s="126">
        <v>5845.829999999999</v>
      </c>
    </row>
    <row r="347" spans="1:3">
      <c r="A347" s="125">
        <v>93611</v>
      </c>
      <c r="B347" s="125" t="s">
        <v>1730</v>
      </c>
      <c r="C347" s="126">
        <v>3250732.8200000003</v>
      </c>
    </row>
    <row r="348" spans="1:3">
      <c r="A348" s="125">
        <v>93617</v>
      </c>
      <c r="B348" s="125" t="s">
        <v>1731</v>
      </c>
      <c r="C348" s="126">
        <v>49099.679999999993</v>
      </c>
    </row>
    <row r="349" spans="1:3">
      <c r="A349" s="125">
        <v>93618</v>
      </c>
      <c r="B349" s="125" t="s">
        <v>1732</v>
      </c>
      <c r="C349" s="126">
        <v>23981.690000000002</v>
      </c>
    </row>
    <row r="350" spans="1:3">
      <c r="A350" s="125">
        <v>93621</v>
      </c>
      <c r="B350" s="125" t="s">
        <v>1733</v>
      </c>
      <c r="C350" s="126">
        <v>412639.11999999994</v>
      </c>
    </row>
    <row r="351" spans="1:3">
      <c r="A351" s="125">
        <v>93623</v>
      </c>
      <c r="B351" s="125" t="s">
        <v>1734</v>
      </c>
      <c r="C351" s="126">
        <v>8719.73</v>
      </c>
    </row>
    <row r="352" spans="1:3">
      <c r="A352" s="125">
        <v>93631</v>
      </c>
      <c r="B352" s="125" t="s">
        <v>1735</v>
      </c>
      <c r="C352" s="126">
        <v>100500.61</v>
      </c>
    </row>
    <row r="353" spans="1:3">
      <c r="A353" s="125">
        <v>93641</v>
      </c>
      <c r="B353" s="125" t="s">
        <v>1736</v>
      </c>
      <c r="C353" s="126">
        <v>197852.16</v>
      </c>
    </row>
    <row r="354" spans="1:3">
      <c r="A354" s="125">
        <v>93647</v>
      </c>
      <c r="B354" s="125" t="s">
        <v>1737</v>
      </c>
      <c r="C354" s="126">
        <v>9062</v>
      </c>
    </row>
    <row r="355" spans="1:3">
      <c r="A355" s="125">
        <v>93651</v>
      </c>
      <c r="B355" s="125" t="s">
        <v>1738</v>
      </c>
      <c r="C355" s="126">
        <v>185953.30000000002</v>
      </c>
    </row>
    <row r="356" spans="1:3">
      <c r="A356" s="125">
        <v>93661</v>
      </c>
      <c r="B356" s="125" t="s">
        <v>1739</v>
      </c>
      <c r="C356" s="126">
        <v>66083.95</v>
      </c>
    </row>
    <row r="357" spans="1:3">
      <c r="A357" s="125">
        <v>93671</v>
      </c>
      <c r="B357" s="125" t="s">
        <v>1740</v>
      </c>
      <c r="C357" s="126">
        <v>172671.45</v>
      </c>
    </row>
    <row r="358" spans="1:3">
      <c r="A358" s="125">
        <v>93681</v>
      </c>
      <c r="B358" s="125" t="s">
        <v>1741</v>
      </c>
      <c r="C358" s="126">
        <v>48114.98</v>
      </c>
    </row>
    <row r="359" spans="1:3">
      <c r="A359" s="125">
        <v>93691</v>
      </c>
      <c r="B359" s="125" t="s">
        <v>1742</v>
      </c>
      <c r="C359" s="126">
        <v>464181.78</v>
      </c>
    </row>
    <row r="360" spans="1:3">
      <c r="A360" s="125">
        <v>93701</v>
      </c>
      <c r="B360" s="125" t="s">
        <v>1743</v>
      </c>
      <c r="C360" s="126">
        <v>201820.37</v>
      </c>
    </row>
    <row r="361" spans="1:3">
      <c r="A361" s="125">
        <v>93704</v>
      </c>
      <c r="B361" s="125" t="s">
        <v>1744</v>
      </c>
      <c r="C361" s="126">
        <v>1962.36</v>
      </c>
    </row>
    <row r="362" spans="1:3">
      <c r="A362" s="125">
        <v>93801</v>
      </c>
      <c r="B362" s="125" t="s">
        <v>1745</v>
      </c>
      <c r="C362" s="126">
        <v>205983.46000000002</v>
      </c>
    </row>
    <row r="363" spans="1:3">
      <c r="A363" s="125">
        <v>93803</v>
      </c>
      <c r="B363" s="125" t="s">
        <v>1746</v>
      </c>
      <c r="C363" s="126">
        <v>50572.67</v>
      </c>
    </row>
    <row r="364" spans="1:3">
      <c r="A364" s="125">
        <v>93806</v>
      </c>
      <c r="B364" s="125" t="s">
        <v>1747</v>
      </c>
      <c r="C364" s="126">
        <v>41336.410000000003</v>
      </c>
    </row>
    <row r="365" spans="1:3">
      <c r="A365" s="125">
        <v>93821</v>
      </c>
      <c r="B365" s="125" t="s">
        <v>1748</v>
      </c>
      <c r="C365" s="126">
        <v>36176.929999999993</v>
      </c>
    </row>
    <row r="366" spans="1:3">
      <c r="A366" s="125">
        <v>93901</v>
      </c>
      <c r="B366" s="125" t="s">
        <v>1749</v>
      </c>
      <c r="C366" s="126">
        <v>887169.47</v>
      </c>
    </row>
    <row r="367" spans="1:3">
      <c r="A367" s="125">
        <v>93904</v>
      </c>
      <c r="B367" s="125" t="s">
        <v>1750</v>
      </c>
      <c r="C367" s="126">
        <v>17302.099999999999</v>
      </c>
    </row>
    <row r="368" spans="1:3">
      <c r="A368" s="125">
        <v>93906</v>
      </c>
      <c r="B368" s="125" t="s">
        <v>1751</v>
      </c>
      <c r="C368" s="126">
        <v>1486050.9699999997</v>
      </c>
    </row>
    <row r="369" spans="1:3">
      <c r="A369" s="125">
        <v>93908</v>
      </c>
      <c r="B369" s="125" t="s">
        <v>1752</v>
      </c>
      <c r="C369" s="126">
        <v>237113.54</v>
      </c>
    </row>
    <row r="370" spans="1:3">
      <c r="A370" s="125">
        <v>93910</v>
      </c>
      <c r="B370" s="125" t="s">
        <v>1753</v>
      </c>
      <c r="C370" s="126">
        <v>117577.95</v>
      </c>
    </row>
    <row r="371" spans="1:3">
      <c r="A371" s="125">
        <v>93911</v>
      </c>
      <c r="B371" s="125" t="s">
        <v>1754</v>
      </c>
      <c r="C371" s="126">
        <v>301989.03999999998</v>
      </c>
    </row>
    <row r="372" spans="1:3">
      <c r="A372" s="125">
        <v>93913</v>
      </c>
      <c r="B372" s="125" t="s">
        <v>1755</v>
      </c>
      <c r="C372" s="126">
        <v>29910.369999999995</v>
      </c>
    </row>
    <row r="373" spans="1:3">
      <c r="A373" s="125">
        <v>93914</v>
      </c>
      <c r="B373" s="125" t="s">
        <v>1756</v>
      </c>
      <c r="C373" s="126">
        <v>6536.2399999999989</v>
      </c>
    </row>
    <row r="374" spans="1:3">
      <c r="A374" s="125">
        <v>93921</v>
      </c>
      <c r="B374" s="125" t="s">
        <v>1757</v>
      </c>
      <c r="C374" s="126">
        <v>126883.54999999999</v>
      </c>
    </row>
    <row r="375" spans="1:3">
      <c r="A375" s="125">
        <v>93931</v>
      </c>
      <c r="B375" s="125" t="s">
        <v>1758</v>
      </c>
      <c r="C375" s="126">
        <v>212622.69</v>
      </c>
    </row>
    <row r="376" spans="1:3">
      <c r="A376" s="125">
        <v>94001</v>
      </c>
      <c r="B376" s="125" t="s">
        <v>1759</v>
      </c>
      <c r="C376" s="126">
        <v>430502.87</v>
      </c>
    </row>
    <row r="377" spans="1:3">
      <c r="A377" s="125">
        <v>94002</v>
      </c>
      <c r="B377" s="125" t="s">
        <v>1760</v>
      </c>
      <c r="C377" s="126">
        <v>4692.72</v>
      </c>
    </row>
    <row r="378" spans="1:3">
      <c r="A378" s="125">
        <v>94004</v>
      </c>
      <c r="B378" s="125" t="s">
        <v>1761</v>
      </c>
      <c r="C378" s="126">
        <v>4145.3</v>
      </c>
    </row>
    <row r="379" spans="1:3">
      <c r="A379" s="125">
        <v>94005</v>
      </c>
      <c r="B379" s="125" t="s">
        <v>1762</v>
      </c>
      <c r="C379" s="126">
        <v>560.08000000000004</v>
      </c>
    </row>
    <row r="380" spans="1:3">
      <c r="A380" s="125">
        <v>94011</v>
      </c>
      <c r="B380" s="125" t="s">
        <v>1763</v>
      </c>
      <c r="C380" s="126">
        <v>9232.909999999998</v>
      </c>
    </row>
    <row r="381" spans="1:3">
      <c r="A381" s="125">
        <v>94021</v>
      </c>
      <c r="B381" s="125" t="s">
        <v>1764</v>
      </c>
      <c r="C381" s="126">
        <v>47346.080000000002</v>
      </c>
    </row>
    <row r="382" spans="1:3">
      <c r="A382" s="125">
        <v>94031</v>
      </c>
      <c r="B382" s="125" t="s">
        <v>1765</v>
      </c>
      <c r="C382" s="126">
        <v>6799.77</v>
      </c>
    </row>
    <row r="383" spans="1:3">
      <c r="A383" s="125">
        <v>94101</v>
      </c>
      <c r="B383" s="125" t="s">
        <v>1766</v>
      </c>
      <c r="C383" s="126">
        <v>8515875.1699999981</v>
      </c>
    </row>
    <row r="384" spans="1:3">
      <c r="A384" s="125">
        <v>94102</v>
      </c>
      <c r="B384" s="125" t="s">
        <v>1767</v>
      </c>
      <c r="C384" s="126">
        <v>104557.32</v>
      </c>
    </row>
    <row r="385" spans="1:3">
      <c r="A385" s="125">
        <v>94108</v>
      </c>
      <c r="B385" s="125" t="s">
        <v>1768</v>
      </c>
      <c r="C385" s="126">
        <v>112936.31999999999</v>
      </c>
    </row>
    <row r="386" spans="1:3">
      <c r="A386" s="125">
        <v>94109</v>
      </c>
      <c r="B386" s="125" t="s">
        <v>1769</v>
      </c>
      <c r="C386" s="126">
        <v>31710.15</v>
      </c>
    </row>
    <row r="387" spans="1:3">
      <c r="A387" s="125">
        <v>94111</v>
      </c>
      <c r="B387" s="125" t="s">
        <v>1770</v>
      </c>
      <c r="C387" s="126">
        <v>11270051.1</v>
      </c>
    </row>
    <row r="388" spans="1:3">
      <c r="A388" s="125">
        <v>94112</v>
      </c>
      <c r="B388" s="125" t="s">
        <v>1771</v>
      </c>
      <c r="C388" s="126">
        <v>68639.710000000006</v>
      </c>
    </row>
    <row r="389" spans="1:3">
      <c r="A389" s="125">
        <v>94117</v>
      </c>
      <c r="B389" s="125" t="s">
        <v>1772</v>
      </c>
      <c r="C389" s="126">
        <v>179744.38999999998</v>
      </c>
    </row>
    <row r="390" spans="1:3">
      <c r="A390" s="125">
        <v>94118</v>
      </c>
      <c r="B390" s="125" t="s">
        <v>1773</v>
      </c>
      <c r="C390" s="126">
        <v>57233.17</v>
      </c>
    </row>
    <row r="391" spans="1:3">
      <c r="A391" s="125">
        <v>94121</v>
      </c>
      <c r="B391" s="125" t="s">
        <v>1774</v>
      </c>
      <c r="C391" s="126">
        <v>5240634.4200000009</v>
      </c>
    </row>
    <row r="392" spans="1:3">
      <c r="A392" s="125">
        <v>94127</v>
      </c>
      <c r="B392" s="125" t="s">
        <v>1775</v>
      </c>
      <c r="C392" s="126">
        <v>70092.83</v>
      </c>
    </row>
    <row r="393" spans="1:3">
      <c r="A393" s="125">
        <v>94131</v>
      </c>
      <c r="B393" s="125" t="s">
        <v>1776</v>
      </c>
      <c r="C393" s="126">
        <v>91155.82</v>
      </c>
    </row>
    <row r="394" spans="1:3">
      <c r="A394" s="125">
        <v>94151</v>
      </c>
      <c r="B394" s="125" t="s">
        <v>1777</v>
      </c>
      <c r="C394" s="126">
        <v>171244.06</v>
      </c>
    </row>
    <row r="395" spans="1:3">
      <c r="A395" s="125">
        <v>94157</v>
      </c>
      <c r="B395" s="125" t="s">
        <v>1778</v>
      </c>
      <c r="C395" s="126">
        <v>5185.84</v>
      </c>
    </row>
    <row r="396" spans="1:3">
      <c r="A396" s="125">
        <v>94161</v>
      </c>
      <c r="B396" s="125" t="s">
        <v>1779</v>
      </c>
      <c r="C396" s="126">
        <v>24924.69</v>
      </c>
    </row>
    <row r="397" spans="1:3">
      <c r="A397" s="125">
        <v>94168</v>
      </c>
      <c r="B397" s="125" t="s">
        <v>1780</v>
      </c>
      <c r="C397" s="126">
        <v>14686.17</v>
      </c>
    </row>
    <row r="398" spans="1:3">
      <c r="A398" s="125">
        <v>94171</v>
      </c>
      <c r="B398" s="125" t="s">
        <v>1781</v>
      </c>
      <c r="C398" s="126">
        <v>26827.68</v>
      </c>
    </row>
    <row r="399" spans="1:3">
      <c r="A399" s="125">
        <v>94172</v>
      </c>
      <c r="B399" s="125" t="s">
        <v>1782</v>
      </c>
      <c r="C399" s="126">
        <v>91552.690000000017</v>
      </c>
    </row>
    <row r="400" spans="1:3">
      <c r="A400" s="125">
        <v>94201</v>
      </c>
      <c r="B400" s="125" t="s">
        <v>1783</v>
      </c>
      <c r="C400" s="126">
        <v>1556105.08</v>
      </c>
    </row>
    <row r="401" spans="1:3">
      <c r="A401" s="125">
        <v>94204</v>
      </c>
      <c r="B401" s="125" t="s">
        <v>1784</v>
      </c>
      <c r="C401" s="126">
        <v>17428.339999999997</v>
      </c>
    </row>
    <row r="402" spans="1:3">
      <c r="A402" s="125">
        <v>94205</v>
      </c>
      <c r="B402" s="125" t="s">
        <v>1785</v>
      </c>
      <c r="C402" s="126">
        <v>11901.920000000002</v>
      </c>
    </row>
    <row r="403" spans="1:3">
      <c r="A403" s="125">
        <v>94209</v>
      </c>
      <c r="B403" s="125" t="s">
        <v>1786</v>
      </c>
      <c r="C403" s="126">
        <v>157002.72</v>
      </c>
    </row>
    <row r="404" spans="1:3">
      <c r="A404" s="125">
        <v>94211</v>
      </c>
      <c r="B404" s="125" t="s">
        <v>1787</v>
      </c>
      <c r="C404" s="126">
        <v>61663.42</v>
      </c>
    </row>
    <row r="405" spans="1:3">
      <c r="A405" s="125">
        <v>94221</v>
      </c>
      <c r="B405" s="125" t="s">
        <v>1788</v>
      </c>
      <c r="C405" s="126">
        <v>459327.54000000004</v>
      </c>
    </row>
    <row r="406" spans="1:3">
      <c r="A406" s="125">
        <v>94231</v>
      </c>
      <c r="B406" s="125" t="s">
        <v>1789</v>
      </c>
      <c r="C406" s="126">
        <v>101171.11</v>
      </c>
    </row>
    <row r="407" spans="1:3">
      <c r="A407" s="125">
        <v>94241</v>
      </c>
      <c r="B407" s="125" t="s">
        <v>1790</v>
      </c>
      <c r="C407" s="126">
        <v>53316.480000000003</v>
      </c>
    </row>
    <row r="408" spans="1:3">
      <c r="A408" s="125">
        <v>94251</v>
      </c>
      <c r="B408" s="125" t="s">
        <v>1791</v>
      </c>
      <c r="C408" s="126">
        <v>8455.2699999999986</v>
      </c>
    </row>
    <row r="409" spans="1:3">
      <c r="A409" s="125">
        <v>94261</v>
      </c>
      <c r="B409" s="125" t="s">
        <v>1792</v>
      </c>
      <c r="C409" s="126">
        <v>18725.829999999998</v>
      </c>
    </row>
    <row r="410" spans="1:3">
      <c r="A410" s="125">
        <v>94301</v>
      </c>
      <c r="B410" s="125" t="s">
        <v>1793</v>
      </c>
      <c r="C410" s="126">
        <v>2799559.67</v>
      </c>
    </row>
    <row r="411" spans="1:3">
      <c r="A411" s="125">
        <v>94311</v>
      </c>
      <c r="B411" s="125" t="s">
        <v>1794</v>
      </c>
      <c r="C411" s="126">
        <v>355079.11</v>
      </c>
    </row>
    <row r="412" spans="1:3">
      <c r="A412" s="125">
        <v>94313</v>
      </c>
      <c r="B412" s="125" t="s">
        <v>1795</v>
      </c>
      <c r="C412" s="126">
        <v>12662.720000000001</v>
      </c>
    </row>
    <row r="413" spans="1:3">
      <c r="A413" s="125">
        <v>94317</v>
      </c>
      <c r="B413" s="125" t="s">
        <v>1796</v>
      </c>
      <c r="C413" s="126">
        <v>9618.07</v>
      </c>
    </row>
    <row r="414" spans="1:3">
      <c r="A414" s="125">
        <v>94321</v>
      </c>
      <c r="B414" s="125" t="s">
        <v>1797</v>
      </c>
      <c r="C414" s="126">
        <v>115394.56999999999</v>
      </c>
    </row>
    <row r="415" spans="1:3">
      <c r="A415" s="125">
        <v>94331</v>
      </c>
      <c r="B415" s="125" t="s">
        <v>1798</v>
      </c>
      <c r="C415" s="126">
        <v>68283.989999999991</v>
      </c>
    </row>
    <row r="416" spans="1:3">
      <c r="A416" s="125">
        <v>94341</v>
      </c>
      <c r="B416" s="125" t="s">
        <v>1799</v>
      </c>
      <c r="C416" s="126">
        <v>38534.320000000007</v>
      </c>
    </row>
    <row r="417" spans="1:3">
      <c r="A417" s="125">
        <v>94347</v>
      </c>
      <c r="B417" s="125" t="s">
        <v>1800</v>
      </c>
      <c r="C417" s="126">
        <v>8690.85</v>
      </c>
    </row>
    <row r="418" spans="1:3">
      <c r="A418" s="125">
        <v>94351</v>
      </c>
      <c r="B418" s="125" t="s">
        <v>1801</v>
      </c>
      <c r="C418" s="126">
        <v>104638.5</v>
      </c>
    </row>
    <row r="419" spans="1:3">
      <c r="A419" s="125">
        <v>94401</v>
      </c>
      <c r="B419" s="125" t="s">
        <v>1802</v>
      </c>
      <c r="C419" s="126">
        <v>1551159.3999999997</v>
      </c>
    </row>
    <row r="420" spans="1:3">
      <c r="A420" s="125">
        <v>94403</v>
      </c>
      <c r="B420" s="125" t="s">
        <v>1804</v>
      </c>
      <c r="C420" s="126">
        <v>9903.66</v>
      </c>
    </row>
    <row r="421" spans="1:3">
      <c r="A421" s="125">
        <v>94408</v>
      </c>
      <c r="B421" s="125" t="s">
        <v>1805</v>
      </c>
      <c r="C421" s="126">
        <v>14750.309999999998</v>
      </c>
    </row>
    <row r="422" spans="1:3">
      <c r="A422" s="125">
        <v>94411</v>
      </c>
      <c r="B422" s="125" t="s">
        <v>1806</v>
      </c>
      <c r="C422" s="126">
        <v>555106.06000000006</v>
      </c>
    </row>
    <row r="423" spans="1:3">
      <c r="A423" s="125">
        <v>94412</v>
      </c>
      <c r="B423" s="125" t="s">
        <v>1807</v>
      </c>
      <c r="C423" s="126">
        <v>13059</v>
      </c>
    </row>
    <row r="424" spans="1:3">
      <c r="A424" s="125">
        <v>94421</v>
      </c>
      <c r="B424" s="125" t="s">
        <v>1808</v>
      </c>
      <c r="C424" s="126">
        <v>80768.41</v>
      </c>
    </row>
    <row r="425" spans="1:3">
      <c r="A425" s="125">
        <v>94427</v>
      </c>
      <c r="B425" s="125" t="s">
        <v>1809</v>
      </c>
      <c r="C425" s="126">
        <v>9339.9599999999991</v>
      </c>
    </row>
    <row r="426" spans="1:3">
      <c r="A426" s="125">
        <v>94428</v>
      </c>
      <c r="B426" s="125" t="s">
        <v>1810</v>
      </c>
      <c r="C426" s="126">
        <v>33460.42</v>
      </c>
    </row>
    <row r="427" spans="1:3">
      <c r="A427" s="125">
        <v>94431</v>
      </c>
      <c r="B427" s="125" t="s">
        <v>1811</v>
      </c>
      <c r="C427" s="126">
        <v>293285.85000000003</v>
      </c>
    </row>
    <row r="428" spans="1:3">
      <c r="A428" s="125">
        <v>94437</v>
      </c>
      <c r="B428" s="125" t="s">
        <v>1812</v>
      </c>
      <c r="C428" s="126">
        <v>12848.36</v>
      </c>
    </row>
    <row r="429" spans="1:3">
      <c r="A429" s="125">
        <v>94501</v>
      </c>
      <c r="B429" s="125" t="s">
        <v>1813</v>
      </c>
      <c r="C429" s="126">
        <v>2726192.4300000006</v>
      </c>
    </row>
    <row r="430" spans="1:3">
      <c r="A430" s="125">
        <v>94511</v>
      </c>
      <c r="B430" s="125" t="s">
        <v>1814</v>
      </c>
      <c r="C430" s="126">
        <v>773013.39999999991</v>
      </c>
    </row>
    <row r="431" spans="1:3">
      <c r="A431" s="125">
        <v>94517</v>
      </c>
      <c r="B431" s="125" t="s">
        <v>1816</v>
      </c>
      <c r="C431" s="126">
        <v>31749.57</v>
      </c>
    </row>
    <row r="432" spans="1:3">
      <c r="A432" s="125">
        <v>94521</v>
      </c>
      <c r="B432" s="125" t="s">
        <v>1817</v>
      </c>
      <c r="C432" s="126">
        <v>61288.84</v>
      </c>
    </row>
    <row r="433" spans="1:3">
      <c r="A433" s="125">
        <v>94527</v>
      </c>
      <c r="B433" s="125" t="s">
        <v>1818</v>
      </c>
      <c r="C433" s="126">
        <v>2381.9599999999996</v>
      </c>
    </row>
    <row r="434" spans="1:3">
      <c r="A434" s="125">
        <v>94531</v>
      </c>
      <c r="B434" s="125" t="s">
        <v>1819</v>
      </c>
      <c r="C434" s="126">
        <v>11395.84</v>
      </c>
    </row>
    <row r="435" spans="1:3">
      <c r="A435" s="125">
        <v>94532</v>
      </c>
      <c r="B435" s="125" t="s">
        <v>1820</v>
      </c>
      <c r="C435" s="126">
        <v>45014.320000000007</v>
      </c>
    </row>
    <row r="436" spans="1:3">
      <c r="A436" s="125">
        <v>94541</v>
      </c>
      <c r="B436" s="125" t="s">
        <v>1821</v>
      </c>
      <c r="C436" s="126">
        <v>124372.05</v>
      </c>
    </row>
    <row r="437" spans="1:3">
      <c r="A437" s="125">
        <v>94547</v>
      </c>
      <c r="B437" s="125" t="s">
        <v>1822</v>
      </c>
      <c r="C437" s="126">
        <v>8019.29</v>
      </c>
    </row>
    <row r="438" spans="1:3">
      <c r="A438" s="125">
        <v>94551</v>
      </c>
      <c r="B438" s="125" t="s">
        <v>1823</v>
      </c>
      <c r="C438" s="126">
        <v>24928.989999999998</v>
      </c>
    </row>
    <row r="439" spans="1:3">
      <c r="A439" s="125">
        <v>94601</v>
      </c>
      <c r="B439" s="125" t="s">
        <v>1824</v>
      </c>
      <c r="C439" s="126">
        <v>501425.24999999994</v>
      </c>
    </row>
    <row r="440" spans="1:3">
      <c r="A440" s="125">
        <v>94604</v>
      </c>
      <c r="B440" s="125" t="s">
        <v>1825</v>
      </c>
      <c r="C440" s="126">
        <v>14408.029999999997</v>
      </c>
    </row>
    <row r="441" spans="1:3">
      <c r="A441" s="125">
        <v>94606</v>
      </c>
      <c r="B441" s="125" t="s">
        <v>1826</v>
      </c>
      <c r="C441" s="126">
        <v>106916.28000000001</v>
      </c>
    </row>
    <row r="442" spans="1:3">
      <c r="A442" s="125">
        <v>94611</v>
      </c>
      <c r="B442" s="125" t="s">
        <v>1827</v>
      </c>
      <c r="C442" s="126">
        <v>191640.99</v>
      </c>
    </row>
    <row r="443" spans="1:3">
      <c r="A443" s="125">
        <v>94621</v>
      </c>
      <c r="B443" s="125" t="s">
        <v>1828</v>
      </c>
      <c r="C443" s="126">
        <v>66540.759999999995</v>
      </c>
    </row>
    <row r="444" spans="1:3">
      <c r="A444" s="125">
        <v>94631</v>
      </c>
      <c r="B444" s="125" t="s">
        <v>1829</v>
      </c>
      <c r="C444" s="126">
        <v>22452.62</v>
      </c>
    </row>
    <row r="445" spans="1:3">
      <c r="A445" s="125">
        <v>94641</v>
      </c>
      <c r="B445" s="125" t="s">
        <v>1830</v>
      </c>
      <c r="C445" s="126">
        <v>5004.1500000000005</v>
      </c>
    </row>
    <row r="446" spans="1:3">
      <c r="A446" s="125">
        <v>94701</v>
      </c>
      <c r="B446" s="125" t="s">
        <v>1831</v>
      </c>
      <c r="C446" s="126">
        <v>1148600.2299999997</v>
      </c>
    </row>
    <row r="447" spans="1:3">
      <c r="A447" s="125">
        <v>94704</v>
      </c>
      <c r="B447" s="125" t="s">
        <v>1832</v>
      </c>
      <c r="C447" s="126">
        <v>5070.34</v>
      </c>
    </row>
    <row r="448" spans="1:3">
      <c r="A448" s="125">
        <v>94711</v>
      </c>
      <c r="B448" s="125" t="s">
        <v>1833</v>
      </c>
      <c r="C448" s="126">
        <v>165327.16</v>
      </c>
    </row>
    <row r="449" spans="1:3">
      <c r="A449" s="125">
        <v>94801</v>
      </c>
      <c r="B449" s="125" t="s">
        <v>1834</v>
      </c>
      <c r="C449" s="126">
        <v>342416</v>
      </c>
    </row>
    <row r="450" spans="1:3">
      <c r="A450" s="125">
        <v>94804</v>
      </c>
      <c r="B450" s="125" t="s">
        <v>1835</v>
      </c>
      <c r="C450" s="126">
        <v>2740.2299999999996</v>
      </c>
    </row>
    <row r="451" spans="1:3">
      <c r="A451" s="125">
        <v>94812</v>
      </c>
      <c r="B451" s="125" t="s">
        <v>1836</v>
      </c>
      <c r="C451" s="126">
        <v>19657.82</v>
      </c>
    </row>
    <row r="452" spans="1:3">
      <c r="A452" s="125">
        <v>94901</v>
      </c>
      <c r="B452" s="125" t="s">
        <v>1837</v>
      </c>
      <c r="C452" s="126">
        <v>3201092.7600000002</v>
      </c>
    </row>
    <row r="453" spans="1:3">
      <c r="A453" s="125">
        <v>94908</v>
      </c>
      <c r="B453" s="125" t="s">
        <v>1838</v>
      </c>
      <c r="C453" s="126">
        <v>7868.0999999999976</v>
      </c>
    </row>
    <row r="454" spans="1:3">
      <c r="A454" s="125">
        <v>94911</v>
      </c>
      <c r="B454" s="125" t="s">
        <v>1839</v>
      </c>
      <c r="C454" s="126">
        <v>1295988.0899999996</v>
      </c>
    </row>
    <row r="455" spans="1:3">
      <c r="A455" s="125">
        <v>94917</v>
      </c>
      <c r="B455" s="125" t="s">
        <v>1840</v>
      </c>
      <c r="C455" s="126">
        <v>27131.370000000006</v>
      </c>
    </row>
    <row r="456" spans="1:3">
      <c r="A456" s="125">
        <v>94921</v>
      </c>
      <c r="B456" s="125" t="s">
        <v>1841</v>
      </c>
      <c r="C456" s="126">
        <v>1632572.15</v>
      </c>
    </row>
    <row r="457" spans="1:3">
      <c r="A457" s="125">
        <v>94923</v>
      </c>
      <c r="B457" s="125" t="s">
        <v>1842</v>
      </c>
      <c r="C457" s="126">
        <v>14810.389999999998</v>
      </c>
    </row>
    <row r="458" spans="1:3">
      <c r="A458" s="125">
        <v>94927</v>
      </c>
      <c r="B458" s="125" t="s">
        <v>1843</v>
      </c>
      <c r="C458" s="126">
        <v>17352.640000000003</v>
      </c>
    </row>
    <row r="459" spans="1:3">
      <c r="A459" s="125">
        <v>94931</v>
      </c>
      <c r="B459" s="125" t="s">
        <v>1844</v>
      </c>
      <c r="C459" s="126">
        <v>96301.56</v>
      </c>
    </row>
    <row r="460" spans="1:3">
      <c r="A460" s="125">
        <v>94941</v>
      </c>
      <c r="B460" s="125" t="s">
        <v>1845</v>
      </c>
      <c r="C460" s="126">
        <v>242953.81</v>
      </c>
    </row>
    <row r="461" spans="1:3">
      <c r="A461" s="125">
        <v>95001</v>
      </c>
      <c r="B461" s="125" t="s">
        <v>1846</v>
      </c>
      <c r="C461" s="126">
        <v>1196131.2100000002</v>
      </c>
    </row>
    <row r="462" spans="1:3">
      <c r="A462" s="125">
        <v>95002</v>
      </c>
      <c r="B462" s="125" t="s">
        <v>1847</v>
      </c>
      <c r="C462" s="126">
        <v>100854.15</v>
      </c>
    </row>
    <row r="463" spans="1:3">
      <c r="A463" s="125">
        <v>95005</v>
      </c>
      <c r="B463" s="125" t="s">
        <v>1848</v>
      </c>
      <c r="C463" s="126">
        <v>111066.47</v>
      </c>
    </row>
    <row r="464" spans="1:3">
      <c r="A464" s="125">
        <v>95008</v>
      </c>
      <c r="B464" s="125" t="s">
        <v>1849</v>
      </c>
      <c r="C464" s="126">
        <v>62834.27</v>
      </c>
    </row>
    <row r="465" spans="1:3">
      <c r="A465" s="125">
        <v>95009</v>
      </c>
      <c r="B465" s="125" t="s">
        <v>1850</v>
      </c>
      <c r="C465" s="126">
        <v>1917855.8800000001</v>
      </c>
    </row>
    <row r="466" spans="1:3">
      <c r="A466" s="125">
        <v>95011</v>
      </c>
      <c r="B466" s="125" t="s">
        <v>1851</v>
      </c>
      <c r="C466" s="126">
        <v>78934.12999999999</v>
      </c>
    </row>
    <row r="467" spans="1:3">
      <c r="A467" s="125">
        <v>95017</v>
      </c>
      <c r="B467" s="125" t="s">
        <v>1852</v>
      </c>
      <c r="C467" s="126">
        <v>15329.869999999999</v>
      </c>
    </row>
    <row r="468" spans="1:3">
      <c r="A468" s="125">
        <v>95101</v>
      </c>
      <c r="B468" s="125" t="s">
        <v>1853</v>
      </c>
      <c r="C468" s="126">
        <v>3555097.08</v>
      </c>
    </row>
    <row r="469" spans="1:3">
      <c r="A469" s="125">
        <v>95103</v>
      </c>
      <c r="B469" s="125" t="s">
        <v>1854</v>
      </c>
      <c r="C469" s="126">
        <v>33036.130000000005</v>
      </c>
    </row>
    <row r="470" spans="1:3">
      <c r="A470" s="125">
        <v>95104</v>
      </c>
      <c r="B470" s="125" t="s">
        <v>1855</v>
      </c>
      <c r="C470" s="126">
        <v>55855.62</v>
      </c>
    </row>
    <row r="471" spans="1:3">
      <c r="A471" s="125">
        <v>95105</v>
      </c>
      <c r="B471" s="125" t="s">
        <v>1856</v>
      </c>
      <c r="C471" s="126">
        <v>33363.379999999997</v>
      </c>
    </row>
    <row r="472" spans="1:3">
      <c r="A472" s="125">
        <v>95106</v>
      </c>
      <c r="B472" s="125" t="s">
        <v>1857</v>
      </c>
      <c r="C472" s="126">
        <v>5271.8500000000013</v>
      </c>
    </row>
    <row r="473" spans="1:3">
      <c r="A473" s="125">
        <v>95110</v>
      </c>
      <c r="B473" s="125" t="s">
        <v>1858</v>
      </c>
      <c r="C473" s="126">
        <v>1965505.0899999999</v>
      </c>
    </row>
    <row r="474" spans="1:3">
      <c r="A474" s="125">
        <v>95111</v>
      </c>
      <c r="B474" s="125" t="s">
        <v>1859</v>
      </c>
      <c r="C474" s="126">
        <v>470002.71</v>
      </c>
    </row>
    <row r="475" spans="1:3">
      <c r="A475" s="125">
        <v>95113</v>
      </c>
      <c r="B475" s="125" t="s">
        <v>1860</v>
      </c>
      <c r="C475" s="126">
        <v>66186.569999999992</v>
      </c>
    </row>
    <row r="476" spans="1:3">
      <c r="A476" s="125">
        <v>95121</v>
      </c>
      <c r="B476" s="125" t="s">
        <v>1861</v>
      </c>
      <c r="C476" s="126">
        <v>224753.49</v>
      </c>
    </row>
    <row r="477" spans="1:3">
      <c r="A477" s="125">
        <v>95122</v>
      </c>
      <c r="B477" s="125" t="s">
        <v>1862</v>
      </c>
      <c r="C477" s="126">
        <v>3102.9799999999996</v>
      </c>
    </row>
    <row r="478" spans="1:3">
      <c r="A478" s="125">
        <v>95123</v>
      </c>
      <c r="B478" s="125" t="s">
        <v>1863</v>
      </c>
      <c r="C478" s="126">
        <v>29190.510000000002</v>
      </c>
    </row>
    <row r="479" spans="1:3">
      <c r="A479" s="125">
        <v>95131</v>
      </c>
      <c r="B479" s="125" t="s">
        <v>1864</v>
      </c>
      <c r="C479" s="126">
        <v>749707.41</v>
      </c>
    </row>
    <row r="480" spans="1:3">
      <c r="A480" s="125">
        <v>95141</v>
      </c>
      <c r="B480" s="125" t="s">
        <v>1865</v>
      </c>
      <c r="C480" s="126">
        <v>131053.08999999998</v>
      </c>
    </row>
    <row r="481" spans="1:3">
      <c r="A481" s="125">
        <v>95151</v>
      </c>
      <c r="B481" s="125" t="s">
        <v>1866</v>
      </c>
      <c r="C481" s="126">
        <v>46662.899999999994</v>
      </c>
    </row>
    <row r="482" spans="1:3">
      <c r="A482" s="125">
        <v>95161</v>
      </c>
      <c r="B482" s="125" t="s">
        <v>1867</v>
      </c>
      <c r="C482" s="126">
        <v>38087.31</v>
      </c>
    </row>
    <row r="483" spans="1:3">
      <c r="A483" s="125">
        <v>95171</v>
      </c>
      <c r="B483" s="125" t="s">
        <v>1868</v>
      </c>
      <c r="C483" s="126">
        <v>53916.920000000006</v>
      </c>
    </row>
    <row r="484" spans="1:3">
      <c r="A484" s="125">
        <v>95181</v>
      </c>
      <c r="B484" s="125" t="s">
        <v>1869</v>
      </c>
      <c r="C484" s="126">
        <v>30098.97</v>
      </c>
    </row>
    <row r="485" spans="1:3">
      <c r="A485" s="125">
        <v>95191</v>
      </c>
      <c r="B485" s="125" t="s">
        <v>1870</v>
      </c>
      <c r="C485" s="126">
        <v>31310.749999999996</v>
      </c>
    </row>
    <row r="486" spans="1:3">
      <c r="A486" s="125">
        <v>95201</v>
      </c>
      <c r="B486" s="125" t="s">
        <v>1871</v>
      </c>
      <c r="C486" s="126">
        <v>303948.90000000002</v>
      </c>
    </row>
    <row r="487" spans="1:3">
      <c r="A487" s="125">
        <v>95204</v>
      </c>
      <c r="B487" s="125" t="s">
        <v>1872</v>
      </c>
      <c r="C487" s="126">
        <v>7225.91</v>
      </c>
    </row>
    <row r="488" spans="1:3">
      <c r="A488" s="125">
        <v>95205</v>
      </c>
      <c r="B488" s="125" t="s">
        <v>1873</v>
      </c>
      <c r="C488" s="126">
        <v>2455.0900000000006</v>
      </c>
    </row>
    <row r="489" spans="1:3">
      <c r="A489" s="125">
        <v>95211</v>
      </c>
      <c r="B489" s="125" t="s">
        <v>1874</v>
      </c>
      <c r="C489" s="126">
        <v>4221.8500000000013</v>
      </c>
    </row>
    <row r="490" spans="1:3">
      <c r="A490" s="125">
        <v>95221</v>
      </c>
      <c r="B490" s="125" t="s">
        <v>1875</v>
      </c>
      <c r="C490" s="126">
        <v>20360.849999999999</v>
      </c>
    </row>
    <row r="491" spans="1:3">
      <c r="A491" s="125">
        <v>95301</v>
      </c>
      <c r="B491" s="125" t="s">
        <v>1876</v>
      </c>
      <c r="C491" s="126">
        <v>1141657.08</v>
      </c>
    </row>
    <row r="492" spans="1:3">
      <c r="A492" s="125">
        <v>95311</v>
      </c>
      <c r="B492" s="125" t="s">
        <v>1877</v>
      </c>
      <c r="C492" s="126">
        <v>1275633.6600000001</v>
      </c>
    </row>
    <row r="493" spans="1:3">
      <c r="A493" s="125">
        <v>95317</v>
      </c>
      <c r="B493" s="125" t="s">
        <v>1878</v>
      </c>
      <c r="C493" s="126">
        <v>27510.729999999996</v>
      </c>
    </row>
    <row r="494" spans="1:3">
      <c r="A494" s="125">
        <v>95321</v>
      </c>
      <c r="B494" s="125" t="s">
        <v>1879</v>
      </c>
      <c r="C494" s="126">
        <v>27222.019999999997</v>
      </c>
    </row>
    <row r="495" spans="1:3">
      <c r="A495" s="125">
        <v>95401</v>
      </c>
      <c r="B495" s="125" t="s">
        <v>1880</v>
      </c>
      <c r="C495" s="126">
        <v>1351002.1300000001</v>
      </c>
    </row>
    <row r="496" spans="1:3">
      <c r="A496" s="125">
        <v>95404</v>
      </c>
      <c r="B496" s="125" t="s">
        <v>1881</v>
      </c>
      <c r="C496" s="126">
        <v>22122.720000000001</v>
      </c>
    </row>
    <row r="497" spans="1:3">
      <c r="A497" s="125">
        <v>95405</v>
      </c>
      <c r="B497" s="125" t="s">
        <v>1882</v>
      </c>
      <c r="C497" s="126">
        <v>17052.539999999997</v>
      </c>
    </row>
    <row r="498" spans="1:3">
      <c r="A498" s="125">
        <v>95411</v>
      </c>
      <c r="B498" s="125" t="s">
        <v>1883</v>
      </c>
      <c r="C498" s="126">
        <v>1058017.01</v>
      </c>
    </row>
    <row r="499" spans="1:3">
      <c r="A499" s="125">
        <v>95413</v>
      </c>
      <c r="B499" s="125" t="s">
        <v>1885</v>
      </c>
      <c r="C499" s="126">
        <v>285392.24</v>
      </c>
    </row>
    <row r="500" spans="1:3">
      <c r="A500" s="125">
        <v>95415</v>
      </c>
      <c r="B500" s="125" t="s">
        <v>1886</v>
      </c>
      <c r="C500" s="126">
        <v>28157.95</v>
      </c>
    </row>
    <row r="501" spans="1:3">
      <c r="A501" s="125">
        <v>95421</v>
      </c>
      <c r="B501" s="125" t="s">
        <v>1887</v>
      </c>
      <c r="C501" s="126">
        <v>18384.72</v>
      </c>
    </row>
    <row r="502" spans="1:3">
      <c r="A502" s="125">
        <v>95431</v>
      </c>
      <c r="B502" s="125" t="s">
        <v>1888</v>
      </c>
      <c r="C502" s="126">
        <v>61885.41</v>
      </c>
    </row>
    <row r="503" spans="1:3">
      <c r="A503" s="125">
        <v>95501</v>
      </c>
      <c r="B503" s="125" t="s">
        <v>1889</v>
      </c>
      <c r="C503" s="126">
        <v>2104813.36</v>
      </c>
    </row>
    <row r="504" spans="1:3">
      <c r="A504" s="125">
        <v>95504</v>
      </c>
      <c r="B504" s="125" t="s">
        <v>1890</v>
      </c>
      <c r="C504" s="126">
        <v>9296.76</v>
      </c>
    </row>
    <row r="505" spans="1:3">
      <c r="A505" s="125">
        <v>95511</v>
      </c>
      <c r="B505" s="125" t="s">
        <v>1891</v>
      </c>
      <c r="C505" s="126">
        <v>484187.91000000003</v>
      </c>
    </row>
    <row r="506" spans="1:3">
      <c r="A506" s="125">
        <v>95513</v>
      </c>
      <c r="B506" s="125" t="s">
        <v>1892</v>
      </c>
      <c r="C506" s="126">
        <v>31793.059999999998</v>
      </c>
    </row>
    <row r="507" spans="1:3">
      <c r="A507" s="125">
        <v>95517</v>
      </c>
      <c r="B507" s="125" t="s">
        <v>1893</v>
      </c>
      <c r="C507" s="126">
        <v>15695.159999999998</v>
      </c>
    </row>
    <row r="508" spans="1:3">
      <c r="A508" s="125">
        <v>95601</v>
      </c>
      <c r="B508" s="125" t="s">
        <v>1894</v>
      </c>
      <c r="C508" s="126">
        <v>1208852.72</v>
      </c>
    </row>
    <row r="509" spans="1:3">
      <c r="A509" s="125">
        <v>95611</v>
      </c>
      <c r="B509" s="125" t="s">
        <v>1895</v>
      </c>
      <c r="C509" s="126">
        <v>186383.46999999997</v>
      </c>
    </row>
    <row r="510" spans="1:3">
      <c r="A510" s="125">
        <v>95617</v>
      </c>
      <c r="B510" s="125" t="s">
        <v>1896</v>
      </c>
      <c r="C510" s="126">
        <v>8201.3799999999992</v>
      </c>
    </row>
    <row r="511" spans="1:3">
      <c r="A511" s="125">
        <v>95621</v>
      </c>
      <c r="B511" s="125" t="s">
        <v>1897</v>
      </c>
      <c r="C511" s="126">
        <v>227836.40000000002</v>
      </c>
    </row>
    <row r="512" spans="1:3">
      <c r="A512" s="125">
        <v>95701</v>
      </c>
      <c r="B512" s="125" t="s">
        <v>1898</v>
      </c>
      <c r="C512" s="126">
        <v>600622.13</v>
      </c>
    </row>
    <row r="513" spans="1:3">
      <c r="A513" s="125">
        <v>95711</v>
      </c>
      <c r="B513" s="125" t="s">
        <v>1899</v>
      </c>
      <c r="C513" s="126">
        <v>55784.89</v>
      </c>
    </row>
    <row r="514" spans="1:3">
      <c r="A514" s="125">
        <v>95721</v>
      </c>
      <c r="B514" s="125" t="s">
        <v>1900</v>
      </c>
      <c r="C514" s="126">
        <v>25093.100000000002</v>
      </c>
    </row>
    <row r="515" spans="1:3">
      <c r="A515" s="125">
        <v>95733</v>
      </c>
      <c r="B515" s="125" t="s">
        <v>1901</v>
      </c>
      <c r="C515" s="126">
        <v>6897.59</v>
      </c>
    </row>
    <row r="516" spans="1:3">
      <c r="A516" s="125">
        <v>95801</v>
      </c>
      <c r="B516" s="125" t="s">
        <v>1902</v>
      </c>
      <c r="C516" s="126">
        <v>449778.57</v>
      </c>
    </row>
    <row r="517" spans="1:3">
      <c r="A517" s="125">
        <v>95802</v>
      </c>
      <c r="B517" s="125" t="s">
        <v>1903</v>
      </c>
      <c r="C517" s="126">
        <v>5123.8600000000006</v>
      </c>
    </row>
    <row r="518" spans="1:3">
      <c r="A518" s="125">
        <v>95804</v>
      </c>
      <c r="B518" s="125" t="s">
        <v>1904</v>
      </c>
      <c r="C518" s="126">
        <v>7566.2199999999993</v>
      </c>
    </row>
    <row r="519" spans="1:3">
      <c r="A519" s="125">
        <v>95811</v>
      </c>
      <c r="B519" s="125" t="s">
        <v>1905</v>
      </c>
      <c r="C519" s="126">
        <v>243909.30000000002</v>
      </c>
    </row>
    <row r="520" spans="1:3">
      <c r="A520" s="125">
        <v>95813</v>
      </c>
      <c r="B520" s="125" t="s">
        <v>1906</v>
      </c>
      <c r="C520" s="126">
        <v>63298.64</v>
      </c>
    </row>
    <row r="521" spans="1:3">
      <c r="A521" s="125">
        <v>95821</v>
      </c>
      <c r="B521" s="125" t="s">
        <v>1907</v>
      </c>
      <c r="C521" s="126">
        <v>609.75</v>
      </c>
    </row>
    <row r="522" spans="1:3">
      <c r="A522" s="125">
        <v>95831</v>
      </c>
      <c r="B522" s="125" t="s">
        <v>1908</v>
      </c>
      <c r="C522" s="126">
        <v>22033.83</v>
      </c>
    </row>
    <row r="523" spans="1:3">
      <c r="A523" s="125">
        <v>95841</v>
      </c>
      <c r="B523" s="125" t="s">
        <v>1909</v>
      </c>
      <c r="C523" s="126">
        <v>10804.930000000002</v>
      </c>
    </row>
    <row r="524" spans="1:3">
      <c r="A524" s="125">
        <v>95851</v>
      </c>
      <c r="B524" s="125" t="s">
        <v>1910</v>
      </c>
      <c r="C524" s="126">
        <v>142459.17000000001</v>
      </c>
    </row>
    <row r="525" spans="1:3">
      <c r="A525" s="125">
        <v>95853</v>
      </c>
      <c r="B525" s="125" t="s">
        <v>1911</v>
      </c>
      <c r="C525" s="126">
        <v>14343.84</v>
      </c>
    </row>
    <row r="526" spans="1:3">
      <c r="A526" s="125">
        <v>95901</v>
      </c>
      <c r="B526" s="125" t="s">
        <v>1912</v>
      </c>
      <c r="C526" s="126">
        <v>815701.69</v>
      </c>
    </row>
    <row r="527" spans="1:3">
      <c r="A527" s="125">
        <v>95908</v>
      </c>
      <c r="B527" s="125" t="s">
        <v>1913</v>
      </c>
      <c r="C527" s="126">
        <v>24597.75</v>
      </c>
    </row>
    <row r="528" spans="1:3">
      <c r="A528" s="125">
        <v>95911</v>
      </c>
      <c r="B528" s="125" t="s">
        <v>1914</v>
      </c>
      <c r="C528" s="126">
        <v>244844.94000000006</v>
      </c>
    </row>
    <row r="529" spans="1:3">
      <c r="A529" s="125">
        <v>95917</v>
      </c>
      <c r="B529" s="125" t="s">
        <v>1915</v>
      </c>
      <c r="C529" s="126">
        <v>11000.839999999998</v>
      </c>
    </row>
    <row r="530" spans="1:3">
      <c r="A530" s="125">
        <v>95921</v>
      </c>
      <c r="B530" s="125" t="s">
        <v>1916</v>
      </c>
      <c r="C530" s="126">
        <v>19771.79</v>
      </c>
    </row>
    <row r="531" spans="1:3">
      <c r="A531" s="125">
        <v>96001</v>
      </c>
      <c r="B531" s="125" t="s">
        <v>1917</v>
      </c>
      <c r="C531" s="126">
        <v>20012604.810000002</v>
      </c>
    </row>
    <row r="532" spans="1:3">
      <c r="A532" s="125">
        <v>96003</v>
      </c>
      <c r="B532" s="125" t="s">
        <v>1918</v>
      </c>
      <c r="C532" s="126">
        <v>743373.24000000011</v>
      </c>
    </row>
    <row r="533" spans="1:3">
      <c r="A533" s="125">
        <v>96004</v>
      </c>
      <c r="B533" s="125" t="s">
        <v>1919</v>
      </c>
      <c r="C533" s="126">
        <v>462351.75999999995</v>
      </c>
    </row>
    <row r="534" spans="1:3">
      <c r="A534" s="125">
        <v>96005</v>
      </c>
      <c r="B534" s="125" t="s">
        <v>1920</v>
      </c>
      <c r="C534" s="126">
        <v>1240289.72</v>
      </c>
    </row>
    <row r="535" spans="1:3">
      <c r="A535" s="125">
        <v>96008</v>
      </c>
      <c r="B535" s="125" t="s">
        <v>1921</v>
      </c>
      <c r="C535" s="126">
        <v>2075075.95</v>
      </c>
    </row>
    <row r="536" spans="1:3">
      <c r="A536" s="125">
        <v>96009</v>
      </c>
      <c r="B536" s="125" t="s">
        <v>1922</v>
      </c>
      <c r="C536" s="126">
        <v>192063.00000000003</v>
      </c>
    </row>
    <row r="537" spans="1:3">
      <c r="A537" s="125">
        <v>96011</v>
      </c>
      <c r="B537" s="125" t="s">
        <v>1923</v>
      </c>
      <c r="C537" s="126">
        <v>28379211.379999995</v>
      </c>
    </row>
    <row r="538" spans="1:3">
      <c r="A538" s="125">
        <v>96012</v>
      </c>
      <c r="B538" s="125" t="s">
        <v>1924</v>
      </c>
      <c r="C538" s="126">
        <v>1092788.4099999999</v>
      </c>
    </row>
    <row r="539" spans="1:3">
      <c r="A539" s="125">
        <v>96018</v>
      </c>
      <c r="B539" s="125" t="s">
        <v>1925</v>
      </c>
      <c r="C539" s="126">
        <v>18034.45</v>
      </c>
    </row>
    <row r="540" spans="1:3">
      <c r="A540" s="125">
        <v>96021</v>
      </c>
      <c r="B540" s="125" t="s">
        <v>1926</v>
      </c>
      <c r="C540" s="126">
        <v>327690.39</v>
      </c>
    </row>
    <row r="541" spans="1:3">
      <c r="A541" s="125">
        <v>96031</v>
      </c>
      <c r="B541" s="125" t="s">
        <v>1927</v>
      </c>
      <c r="C541" s="126">
        <v>325475.47000000003</v>
      </c>
    </row>
    <row r="542" spans="1:3">
      <c r="A542" s="125">
        <v>96041</v>
      </c>
      <c r="B542" s="125" t="s">
        <v>1928</v>
      </c>
      <c r="C542" s="126">
        <v>721544.05</v>
      </c>
    </row>
    <row r="543" spans="1:3">
      <c r="A543" s="125">
        <v>96051</v>
      </c>
      <c r="B543" s="125" t="s">
        <v>1929</v>
      </c>
      <c r="C543" s="126">
        <v>418345.63999999996</v>
      </c>
    </row>
    <row r="544" spans="1:3">
      <c r="A544" s="125">
        <v>96061</v>
      </c>
      <c r="B544" s="125" t="s">
        <v>1930</v>
      </c>
      <c r="C544" s="126">
        <v>154987.99</v>
      </c>
    </row>
    <row r="545" spans="1:3">
      <c r="A545" s="125">
        <v>96071</v>
      </c>
      <c r="B545" s="125" t="s">
        <v>1931</v>
      </c>
      <c r="C545" s="126">
        <v>554008.97</v>
      </c>
    </row>
    <row r="546" spans="1:3">
      <c r="A546" s="125">
        <v>96081</v>
      </c>
      <c r="B546" s="125" t="s">
        <v>1932</v>
      </c>
      <c r="C546" s="126">
        <v>211520.19</v>
      </c>
    </row>
    <row r="547" spans="1:3">
      <c r="A547" s="125">
        <v>96101</v>
      </c>
      <c r="B547" s="125" t="s">
        <v>1933</v>
      </c>
      <c r="C547" s="126">
        <v>371540.89999999997</v>
      </c>
    </row>
    <row r="548" spans="1:3">
      <c r="A548" s="125">
        <v>96102</v>
      </c>
      <c r="B548" s="125" t="s">
        <v>1934</v>
      </c>
      <c r="C548" s="126">
        <v>5077.9400000000005</v>
      </c>
    </row>
    <row r="549" spans="1:3">
      <c r="A549" s="125">
        <v>96111</v>
      </c>
      <c r="B549" s="125" t="s">
        <v>1935</v>
      </c>
      <c r="C549" s="126">
        <v>74819.210000000006</v>
      </c>
    </row>
    <row r="550" spans="1:3">
      <c r="A550" s="125">
        <v>96121</v>
      </c>
      <c r="B550" s="125" t="s">
        <v>1936</v>
      </c>
      <c r="C550" s="126">
        <v>9052.41</v>
      </c>
    </row>
    <row r="551" spans="1:3">
      <c r="A551" s="125">
        <v>96201</v>
      </c>
      <c r="B551" s="125" t="s">
        <v>1937</v>
      </c>
      <c r="C551" s="126">
        <v>527645.28999999992</v>
      </c>
    </row>
    <row r="552" spans="1:3">
      <c r="A552" s="125">
        <v>96204</v>
      </c>
      <c r="B552" s="125" t="s">
        <v>1938</v>
      </c>
      <c r="C552" s="126">
        <v>8503.01</v>
      </c>
    </row>
    <row r="553" spans="1:3">
      <c r="A553" s="125">
        <v>96211</v>
      </c>
      <c r="B553" s="125" t="s">
        <v>1939</v>
      </c>
      <c r="C553" s="126">
        <v>16678.379999999997</v>
      </c>
    </row>
    <row r="554" spans="1:3">
      <c r="A554" s="125">
        <v>96221</v>
      </c>
      <c r="B554" s="125" t="s">
        <v>1940</v>
      </c>
      <c r="C554" s="126">
        <v>98415.24</v>
      </c>
    </row>
    <row r="555" spans="1:3">
      <c r="A555" s="125">
        <v>96231</v>
      </c>
      <c r="B555" s="125" t="s">
        <v>1941</v>
      </c>
      <c r="C555" s="126">
        <v>48595.12</v>
      </c>
    </row>
    <row r="556" spans="1:3">
      <c r="A556" s="125">
        <v>96241</v>
      </c>
      <c r="B556" s="125" t="s">
        <v>1942</v>
      </c>
      <c r="C556" s="126">
        <v>22791.16</v>
      </c>
    </row>
    <row r="557" spans="1:3">
      <c r="A557" s="125">
        <v>96251</v>
      </c>
      <c r="B557" s="125" t="s">
        <v>1943</v>
      </c>
      <c r="C557" s="126">
        <v>36737.410000000003</v>
      </c>
    </row>
    <row r="558" spans="1:3">
      <c r="A558" s="125">
        <v>96301</v>
      </c>
      <c r="B558" s="125" t="s">
        <v>1944</v>
      </c>
      <c r="C558" s="126">
        <v>1938349.7399999998</v>
      </c>
    </row>
    <row r="559" spans="1:3">
      <c r="A559" s="125">
        <v>96302</v>
      </c>
      <c r="B559" s="125" t="s">
        <v>1945</v>
      </c>
      <c r="C559" s="126">
        <v>12120.929999999998</v>
      </c>
    </row>
    <row r="560" spans="1:3">
      <c r="A560" s="125">
        <v>96304</v>
      </c>
      <c r="B560" s="125" t="s">
        <v>1946</v>
      </c>
      <c r="C560" s="126">
        <v>27293.760000000002</v>
      </c>
    </row>
    <row r="561" spans="1:3">
      <c r="A561" s="125">
        <v>96305</v>
      </c>
      <c r="B561" s="125" t="s">
        <v>1947</v>
      </c>
      <c r="C561" s="126">
        <v>30519.599999999999</v>
      </c>
    </row>
    <row r="562" spans="1:3">
      <c r="A562" s="125">
        <v>96310</v>
      </c>
      <c r="B562" s="125" t="s">
        <v>1948</v>
      </c>
      <c r="C562" s="126">
        <v>26766.78</v>
      </c>
    </row>
    <row r="563" spans="1:3">
      <c r="A563" s="125">
        <v>96311</v>
      </c>
      <c r="B563" s="125" t="s">
        <v>1949</v>
      </c>
      <c r="C563" s="126">
        <v>595123.57999999996</v>
      </c>
    </row>
    <row r="564" spans="1:3">
      <c r="A564" s="125">
        <v>96312</v>
      </c>
      <c r="B564" s="125" t="s">
        <v>1950</v>
      </c>
      <c r="C564" s="126">
        <v>4819.92</v>
      </c>
    </row>
    <row r="565" spans="1:3">
      <c r="A565" s="125">
        <v>96318</v>
      </c>
      <c r="B565" s="125" t="s">
        <v>1951</v>
      </c>
      <c r="C565" s="126">
        <v>1061237.49</v>
      </c>
    </row>
    <row r="566" spans="1:3">
      <c r="A566" s="125">
        <v>96321</v>
      </c>
      <c r="B566" s="125" t="s">
        <v>1952</v>
      </c>
      <c r="C566" s="126">
        <v>18736.629999999997</v>
      </c>
    </row>
    <row r="567" spans="1:3">
      <c r="A567" s="125">
        <v>96331</v>
      </c>
      <c r="B567" s="125" t="s">
        <v>1953</v>
      </c>
      <c r="C567" s="126">
        <v>321182.36000000004</v>
      </c>
    </row>
    <row r="568" spans="1:3">
      <c r="A568" s="125">
        <v>96341</v>
      </c>
      <c r="B568" s="125" t="s">
        <v>1954</v>
      </c>
      <c r="C568" s="126">
        <v>35035.769999999997</v>
      </c>
    </row>
    <row r="569" spans="1:3">
      <c r="A569" s="125">
        <v>96351</v>
      </c>
      <c r="B569" s="125" t="s">
        <v>1955</v>
      </c>
      <c r="C569" s="126">
        <v>488440.63</v>
      </c>
    </row>
    <row r="570" spans="1:3">
      <c r="A570" s="125">
        <v>96361</v>
      </c>
      <c r="B570" s="125" t="s">
        <v>1956</v>
      </c>
      <c r="C570" s="126">
        <v>24289.03</v>
      </c>
    </row>
    <row r="571" spans="1:3">
      <c r="A571" s="125">
        <v>96371</v>
      </c>
      <c r="B571" s="125" t="s">
        <v>1957</v>
      </c>
      <c r="C571" s="126">
        <v>67275.76999999999</v>
      </c>
    </row>
    <row r="572" spans="1:3">
      <c r="A572" s="125">
        <v>96381</v>
      </c>
      <c r="B572" s="125" t="s">
        <v>1958</v>
      </c>
      <c r="C572" s="126">
        <v>15357.089999999997</v>
      </c>
    </row>
    <row r="573" spans="1:3">
      <c r="A573" s="125">
        <v>96391</v>
      </c>
      <c r="B573" s="125" t="s">
        <v>1959</v>
      </c>
      <c r="C573" s="126">
        <v>74519.070000000007</v>
      </c>
    </row>
    <row r="574" spans="1:3">
      <c r="A574" s="125">
        <v>96401</v>
      </c>
      <c r="B574" s="125" t="s">
        <v>1960</v>
      </c>
      <c r="C574" s="126">
        <v>2040109.23</v>
      </c>
    </row>
    <row r="575" spans="1:3">
      <c r="A575" s="125">
        <v>96404</v>
      </c>
      <c r="B575" s="125" t="s">
        <v>1961</v>
      </c>
      <c r="C575" s="126">
        <v>57854.709999999992</v>
      </c>
    </row>
    <row r="576" spans="1:3">
      <c r="A576" s="125">
        <v>96405</v>
      </c>
      <c r="B576" s="125" t="s">
        <v>1962</v>
      </c>
      <c r="C576" s="126">
        <v>86618.239999999991</v>
      </c>
    </row>
    <row r="577" spans="1:3">
      <c r="A577" s="125">
        <v>96411</v>
      </c>
      <c r="B577" s="125" t="s">
        <v>1963</v>
      </c>
      <c r="C577" s="126">
        <v>28784.39</v>
      </c>
    </row>
    <row r="578" spans="1:3">
      <c r="A578" s="125">
        <v>96421</v>
      </c>
      <c r="B578" s="125" t="s">
        <v>1964</v>
      </c>
      <c r="C578" s="126">
        <v>170403.58000000002</v>
      </c>
    </row>
    <row r="579" spans="1:3">
      <c r="A579" s="125">
        <v>96431</v>
      </c>
      <c r="B579" s="125" t="s">
        <v>1965</v>
      </c>
      <c r="C579" s="126">
        <v>21289.47</v>
      </c>
    </row>
    <row r="580" spans="1:3">
      <c r="A580" s="125">
        <v>96441</v>
      </c>
      <c r="B580" s="125" t="s">
        <v>1966</v>
      </c>
      <c r="C580" s="126">
        <v>18706.769999999997</v>
      </c>
    </row>
    <row r="581" spans="1:3">
      <c r="A581" s="125">
        <v>96451</v>
      </c>
      <c r="B581" s="125" t="s">
        <v>1967</v>
      </c>
      <c r="C581" s="126">
        <v>8566.18</v>
      </c>
    </row>
    <row r="582" spans="1:3">
      <c r="A582" s="125">
        <v>96461</v>
      </c>
      <c r="B582" s="125" t="s">
        <v>1968</v>
      </c>
      <c r="C582" s="126">
        <v>63932.05999999999</v>
      </c>
    </row>
    <row r="583" spans="1:3">
      <c r="A583" s="125">
        <v>96501</v>
      </c>
      <c r="B583" s="125" t="s">
        <v>1969</v>
      </c>
      <c r="C583" s="126">
        <v>6399555.9400000004</v>
      </c>
    </row>
    <row r="584" spans="1:3">
      <c r="A584" s="125">
        <v>96502</v>
      </c>
      <c r="B584" s="125" t="s">
        <v>1970</v>
      </c>
      <c r="C584" s="126">
        <v>198105.11</v>
      </c>
    </row>
    <row r="585" spans="1:3">
      <c r="A585" s="125">
        <v>96503</v>
      </c>
      <c r="B585" s="125" t="s">
        <v>1971</v>
      </c>
      <c r="C585" s="126">
        <v>293862.68000000005</v>
      </c>
    </row>
    <row r="586" spans="1:3">
      <c r="A586" s="125">
        <v>96504</v>
      </c>
      <c r="B586" s="125" t="s">
        <v>1972</v>
      </c>
      <c r="C586" s="126">
        <v>189891.95</v>
      </c>
    </row>
    <row r="587" spans="1:3">
      <c r="A587" s="125">
        <v>96507</v>
      </c>
      <c r="B587" s="125" t="s">
        <v>1973</v>
      </c>
      <c r="C587" s="126">
        <v>1026624.38</v>
      </c>
    </row>
    <row r="588" spans="1:3">
      <c r="A588" s="125">
        <v>96508</v>
      </c>
      <c r="B588" s="125" t="s">
        <v>1974</v>
      </c>
      <c r="C588" s="126">
        <v>11086.08</v>
      </c>
    </row>
    <row r="589" spans="1:3">
      <c r="A589" s="125">
        <v>96511</v>
      </c>
      <c r="B589" s="125" t="s">
        <v>1975</v>
      </c>
      <c r="C589" s="126">
        <v>276057.34999999998</v>
      </c>
    </row>
    <row r="590" spans="1:3">
      <c r="A590" s="125">
        <v>96512</v>
      </c>
      <c r="B590" s="125" t="s">
        <v>1976</v>
      </c>
      <c r="C590" s="126">
        <v>72714.91</v>
      </c>
    </row>
    <row r="591" spans="1:3">
      <c r="A591" s="125">
        <v>96521</v>
      </c>
      <c r="B591" s="125" t="s">
        <v>1977</v>
      </c>
      <c r="C591" s="126">
        <v>408177.79</v>
      </c>
    </row>
    <row r="592" spans="1:3">
      <c r="A592" s="125">
        <v>96531</v>
      </c>
      <c r="B592" s="125" t="s">
        <v>1978</v>
      </c>
      <c r="C592" s="126">
        <v>3779880.6199999996</v>
      </c>
    </row>
    <row r="593" spans="1:3">
      <c r="A593" s="125">
        <v>96541</v>
      </c>
      <c r="B593" s="125" t="s">
        <v>1979</v>
      </c>
      <c r="C593" s="126">
        <v>156792.44</v>
      </c>
    </row>
    <row r="594" spans="1:3">
      <c r="A594" s="125">
        <v>96601</v>
      </c>
      <c r="B594" s="125" t="s">
        <v>1980</v>
      </c>
      <c r="C594" s="126">
        <v>878871.7100000002</v>
      </c>
    </row>
    <row r="595" spans="1:3">
      <c r="A595" s="125">
        <v>96604</v>
      </c>
      <c r="B595" s="125" t="s">
        <v>1981</v>
      </c>
      <c r="C595" s="126">
        <v>5010.91</v>
      </c>
    </row>
    <row r="596" spans="1:3">
      <c r="A596" s="125">
        <v>96611</v>
      </c>
      <c r="B596" s="125" t="s">
        <v>1982</v>
      </c>
      <c r="C596" s="126">
        <v>12016.16</v>
      </c>
    </row>
    <row r="597" spans="1:3">
      <c r="A597" s="125">
        <v>96612</v>
      </c>
      <c r="B597" s="125" t="s">
        <v>1983</v>
      </c>
      <c r="C597" s="126">
        <v>32834.22</v>
      </c>
    </row>
    <row r="598" spans="1:3">
      <c r="A598" s="125">
        <v>96621</v>
      </c>
      <c r="B598" s="125" t="s">
        <v>1984</v>
      </c>
      <c r="C598" s="126">
        <v>13235.42</v>
      </c>
    </row>
    <row r="599" spans="1:3">
      <c r="A599" s="125">
        <v>96631</v>
      </c>
      <c r="B599" s="125" t="s">
        <v>1985</v>
      </c>
      <c r="C599" s="126">
        <v>11904.52</v>
      </c>
    </row>
    <row r="600" spans="1:3">
      <c r="A600" s="125">
        <v>96641</v>
      </c>
      <c r="B600" s="125" t="s">
        <v>1986</v>
      </c>
      <c r="C600" s="126">
        <v>20865.260000000002</v>
      </c>
    </row>
    <row r="601" spans="1:3">
      <c r="A601" s="125">
        <v>96651</v>
      </c>
      <c r="B601" s="125" t="s">
        <v>1987</v>
      </c>
      <c r="C601" s="126">
        <v>11419.39</v>
      </c>
    </row>
    <row r="602" spans="1:3">
      <c r="A602" s="125">
        <v>96661</v>
      </c>
      <c r="B602" s="125" t="s">
        <v>1988</v>
      </c>
      <c r="C602" s="126">
        <v>10399.49</v>
      </c>
    </row>
    <row r="603" spans="1:3">
      <c r="A603" s="125">
        <v>96671</v>
      </c>
      <c r="B603" s="125" t="s">
        <v>1989</v>
      </c>
      <c r="C603" s="126">
        <v>8399.93</v>
      </c>
    </row>
    <row r="604" spans="1:3">
      <c r="A604" s="125">
        <v>96681</v>
      </c>
      <c r="B604" s="125" t="s">
        <v>1990</v>
      </c>
      <c r="C604" s="126">
        <v>12178.619999999999</v>
      </c>
    </row>
    <row r="605" spans="1:3">
      <c r="A605" s="125">
        <v>96701</v>
      </c>
      <c r="B605" s="125" t="s">
        <v>1991</v>
      </c>
      <c r="C605" s="126">
        <v>3657207.7199999997</v>
      </c>
    </row>
    <row r="606" spans="1:3">
      <c r="A606" s="125">
        <v>96704</v>
      </c>
      <c r="B606" s="125" t="s">
        <v>1992</v>
      </c>
      <c r="C606" s="126">
        <v>92320.030000000013</v>
      </c>
    </row>
    <row r="607" spans="1:3">
      <c r="A607" s="125">
        <v>96708</v>
      </c>
      <c r="B607" s="125" t="s">
        <v>1993</v>
      </c>
      <c r="C607" s="126">
        <v>441727.00000000006</v>
      </c>
    </row>
    <row r="608" spans="1:3">
      <c r="A608" s="125">
        <v>96711</v>
      </c>
      <c r="B608" s="125" t="s">
        <v>1994</v>
      </c>
      <c r="C608" s="126">
        <v>1869918</v>
      </c>
    </row>
    <row r="609" spans="1:3">
      <c r="A609" s="125">
        <v>96721</v>
      </c>
      <c r="B609" s="125" t="s">
        <v>1995</v>
      </c>
      <c r="C609" s="126">
        <v>96163.239999999991</v>
      </c>
    </row>
    <row r="610" spans="1:3">
      <c r="A610" s="125">
        <v>96731</v>
      </c>
      <c r="B610" s="125" t="s">
        <v>1996</v>
      </c>
      <c r="C610" s="126">
        <v>72355.61</v>
      </c>
    </row>
    <row r="611" spans="1:3">
      <c r="A611" s="125">
        <v>96733</v>
      </c>
      <c r="B611" s="125" t="s">
        <v>1997</v>
      </c>
      <c r="C611" s="126">
        <v>4278.46</v>
      </c>
    </row>
    <row r="612" spans="1:3">
      <c r="A612" s="125">
        <v>96741</v>
      </c>
      <c r="B612" s="125" t="s">
        <v>1998</v>
      </c>
      <c r="C612" s="126">
        <v>41447.850000000006</v>
      </c>
    </row>
    <row r="613" spans="1:3">
      <c r="A613" s="125">
        <v>96751</v>
      </c>
      <c r="B613" s="125" t="s">
        <v>1999</v>
      </c>
      <c r="C613" s="126">
        <v>115659.57999999999</v>
      </c>
    </row>
    <row r="614" spans="1:3">
      <c r="A614" s="125">
        <v>96801</v>
      </c>
      <c r="B614" s="125" t="s">
        <v>2000</v>
      </c>
      <c r="C614" s="126">
        <v>3611119.7</v>
      </c>
    </row>
    <row r="615" spans="1:3">
      <c r="A615" s="125">
        <v>96804</v>
      </c>
      <c r="B615" s="125" t="s">
        <v>2001</v>
      </c>
      <c r="C615" s="126">
        <v>109175.44</v>
      </c>
    </row>
    <row r="616" spans="1:3">
      <c r="A616" s="125">
        <v>96808</v>
      </c>
      <c r="B616" s="125" t="s">
        <v>2002</v>
      </c>
      <c r="C616" s="126">
        <v>593249.02</v>
      </c>
    </row>
    <row r="617" spans="1:3">
      <c r="A617" s="125">
        <v>96811</v>
      </c>
      <c r="B617" s="125" t="s">
        <v>2003</v>
      </c>
      <c r="C617" s="126">
        <v>2786024.5599999996</v>
      </c>
    </row>
    <row r="618" spans="1:3">
      <c r="A618" s="125">
        <v>96821</v>
      </c>
      <c r="B618" s="125" t="s">
        <v>2004</v>
      </c>
      <c r="C618" s="126">
        <v>603955.94999999995</v>
      </c>
    </row>
    <row r="619" spans="1:3">
      <c r="A619" s="125">
        <v>96831</v>
      </c>
      <c r="B619" s="125" t="s">
        <v>2005</v>
      </c>
      <c r="C619" s="126">
        <v>426593.44000000012</v>
      </c>
    </row>
    <row r="620" spans="1:3">
      <c r="A620" s="125">
        <v>96901</v>
      </c>
      <c r="B620" s="125" t="s">
        <v>2006</v>
      </c>
      <c r="C620" s="126">
        <v>411770.29</v>
      </c>
    </row>
    <row r="621" spans="1:3">
      <c r="A621" s="125">
        <v>96911</v>
      </c>
      <c r="B621" s="125" t="s">
        <v>2007</v>
      </c>
      <c r="C621" s="126">
        <v>1941.5699999999997</v>
      </c>
    </row>
    <row r="622" spans="1:3">
      <c r="A622" s="125">
        <v>96912</v>
      </c>
      <c r="B622" s="125" t="s">
        <v>2008</v>
      </c>
      <c r="C622" s="126">
        <v>24609.720000000005</v>
      </c>
    </row>
    <row r="623" spans="1:3">
      <c r="A623" s="125">
        <v>96918</v>
      </c>
      <c r="B623" s="125" t="s">
        <v>2009</v>
      </c>
      <c r="C623" s="126">
        <v>20288.789999999994</v>
      </c>
    </row>
    <row r="624" spans="1:3">
      <c r="A624" s="125">
        <v>97001</v>
      </c>
      <c r="B624" s="125" t="s">
        <v>2010</v>
      </c>
      <c r="C624" s="126">
        <v>710694.22</v>
      </c>
    </row>
    <row r="625" spans="1:3">
      <c r="A625" s="125">
        <v>97002</v>
      </c>
      <c r="B625" s="125" t="s">
        <v>2011</v>
      </c>
      <c r="C625" s="126">
        <v>182319.24</v>
      </c>
    </row>
    <row r="626" spans="1:3">
      <c r="A626" s="125">
        <v>97004</v>
      </c>
      <c r="B626" s="125" t="s">
        <v>2012</v>
      </c>
      <c r="C626" s="126">
        <v>8257.23</v>
      </c>
    </row>
    <row r="627" spans="1:3">
      <c r="A627" s="125">
        <v>97005</v>
      </c>
      <c r="B627" s="125" t="s">
        <v>2013</v>
      </c>
      <c r="C627" s="126">
        <v>15091.840000000004</v>
      </c>
    </row>
    <row r="628" spans="1:3">
      <c r="A628" s="125">
        <v>97008</v>
      </c>
      <c r="B628" s="125" t="s">
        <v>2014</v>
      </c>
      <c r="C628" s="126">
        <v>128453.32</v>
      </c>
    </row>
    <row r="629" spans="1:3">
      <c r="A629" s="125">
        <v>97011</v>
      </c>
      <c r="B629" s="125" t="s">
        <v>2016</v>
      </c>
      <c r="C629" s="126">
        <v>907457.56999999983</v>
      </c>
    </row>
    <row r="630" spans="1:3">
      <c r="A630" s="125">
        <v>97012</v>
      </c>
      <c r="B630" s="125" t="s">
        <v>2017</v>
      </c>
      <c r="C630" s="126">
        <v>12374.49</v>
      </c>
    </row>
    <row r="631" spans="1:3">
      <c r="A631" s="125">
        <v>97013</v>
      </c>
      <c r="B631" s="125" t="s">
        <v>2018</v>
      </c>
      <c r="C631" s="126">
        <v>11432.48</v>
      </c>
    </row>
    <row r="632" spans="1:3">
      <c r="A632" s="125">
        <v>97015</v>
      </c>
      <c r="B632" s="125" t="s">
        <v>2019</v>
      </c>
      <c r="C632" s="126">
        <v>23035.67</v>
      </c>
    </row>
    <row r="633" spans="1:3">
      <c r="A633" s="125">
        <v>97018</v>
      </c>
      <c r="B633" s="125" t="s">
        <v>2020</v>
      </c>
      <c r="C633" s="126">
        <v>8134.56</v>
      </c>
    </row>
    <row r="634" spans="1:3">
      <c r="A634" s="125">
        <v>97101</v>
      </c>
      <c r="B634" s="125" t="s">
        <v>2021</v>
      </c>
      <c r="C634" s="126">
        <v>1208499.9099999999</v>
      </c>
    </row>
    <row r="635" spans="1:3">
      <c r="A635" s="125">
        <v>97104</v>
      </c>
      <c r="B635" s="125" t="s">
        <v>2022</v>
      </c>
      <c r="C635" s="126">
        <v>29146.929999999997</v>
      </c>
    </row>
    <row r="636" spans="1:3">
      <c r="A636" s="125">
        <v>97111</v>
      </c>
      <c r="B636" s="125" t="s">
        <v>2023</v>
      </c>
      <c r="C636" s="126">
        <v>108870.45999999999</v>
      </c>
    </row>
    <row r="637" spans="1:3">
      <c r="A637" s="125">
        <v>97121</v>
      </c>
      <c r="B637" s="125" t="s">
        <v>2024</v>
      </c>
      <c r="C637" s="126">
        <v>66521.84</v>
      </c>
    </row>
    <row r="638" spans="1:3">
      <c r="A638" s="125">
        <v>97131</v>
      </c>
      <c r="B638" s="125" t="s">
        <v>2025</v>
      </c>
      <c r="C638" s="126">
        <v>280483.40000000002</v>
      </c>
    </row>
    <row r="639" spans="1:3">
      <c r="A639" s="125">
        <v>97201</v>
      </c>
      <c r="B639" s="125" t="s">
        <v>2026</v>
      </c>
      <c r="C639" s="126">
        <v>248231.81000000003</v>
      </c>
    </row>
    <row r="640" spans="1:3">
      <c r="A640" s="125">
        <v>97211</v>
      </c>
      <c r="B640" s="125" t="s">
        <v>2027</v>
      </c>
      <c r="C640" s="126">
        <v>74901.72</v>
      </c>
    </row>
    <row r="641" spans="1:3">
      <c r="A641" s="125">
        <v>97213</v>
      </c>
      <c r="B641" s="125" t="s">
        <v>2028</v>
      </c>
      <c r="C641" s="126">
        <v>24679.989999999998</v>
      </c>
    </row>
    <row r="642" spans="1:3">
      <c r="A642" s="125">
        <v>97217</v>
      </c>
      <c r="B642" s="125" t="s">
        <v>2029</v>
      </c>
      <c r="C642" s="126">
        <v>6889.51</v>
      </c>
    </row>
    <row r="643" spans="1:3">
      <c r="A643" s="125">
        <v>97221</v>
      </c>
      <c r="B643" s="125" t="s">
        <v>2030</v>
      </c>
      <c r="C643" s="126">
        <v>7777.7399999999989</v>
      </c>
    </row>
    <row r="644" spans="1:3">
      <c r="A644" s="125">
        <v>97301</v>
      </c>
      <c r="B644" s="125" t="s">
        <v>2031</v>
      </c>
      <c r="C644" s="126">
        <v>1186932.25</v>
      </c>
    </row>
    <row r="645" spans="1:3">
      <c r="A645" s="125">
        <v>97304</v>
      </c>
      <c r="B645" s="125" t="s">
        <v>2032</v>
      </c>
      <c r="C645" s="126">
        <v>13381.54</v>
      </c>
    </row>
    <row r="646" spans="1:3">
      <c r="A646" s="125">
        <v>97311</v>
      </c>
      <c r="B646" s="125" t="s">
        <v>2033</v>
      </c>
      <c r="C646" s="126">
        <v>407124.39999999997</v>
      </c>
    </row>
    <row r="647" spans="1:3">
      <c r="A647" s="125">
        <v>97401</v>
      </c>
      <c r="B647" s="125" t="s">
        <v>2034</v>
      </c>
      <c r="C647" s="126">
        <v>3322668.7800000003</v>
      </c>
    </row>
    <row r="648" spans="1:3">
      <c r="A648" s="125">
        <v>97402</v>
      </c>
      <c r="B648" s="125" t="s">
        <v>2035</v>
      </c>
      <c r="C648" s="126">
        <v>25207.209999999995</v>
      </c>
    </row>
    <row r="649" spans="1:3">
      <c r="A649" s="125">
        <v>97404</v>
      </c>
      <c r="B649" s="125" t="s">
        <v>2036</v>
      </c>
      <c r="C649" s="126">
        <v>84648.55</v>
      </c>
    </row>
    <row r="650" spans="1:3">
      <c r="A650" s="125">
        <v>97405</v>
      </c>
      <c r="B650" s="125" t="s">
        <v>2037</v>
      </c>
      <c r="C650" s="126">
        <v>65705.47</v>
      </c>
    </row>
    <row r="651" spans="1:3">
      <c r="A651" s="125">
        <v>97408</v>
      </c>
      <c r="B651" s="125" t="s">
        <v>2038</v>
      </c>
      <c r="C651" s="126">
        <v>27498.809999999994</v>
      </c>
    </row>
    <row r="652" spans="1:3">
      <c r="A652" s="125">
        <v>97411</v>
      </c>
      <c r="B652" s="125" t="s">
        <v>2039</v>
      </c>
      <c r="C652" s="126">
        <v>2979172.5</v>
      </c>
    </row>
    <row r="653" spans="1:3">
      <c r="A653" s="125">
        <v>97412</v>
      </c>
      <c r="B653" s="125" t="s">
        <v>2040</v>
      </c>
      <c r="C653" s="126">
        <v>2155643.56</v>
      </c>
    </row>
    <row r="654" spans="1:3">
      <c r="A654" s="125">
        <v>97413</v>
      </c>
      <c r="B654" s="125" t="s">
        <v>2041</v>
      </c>
      <c r="C654" s="126">
        <v>140808.79999999999</v>
      </c>
    </row>
    <row r="655" spans="1:3">
      <c r="A655" s="125">
        <v>97421</v>
      </c>
      <c r="B655" s="125" t="s">
        <v>2042</v>
      </c>
      <c r="C655" s="126">
        <v>192260.81000000003</v>
      </c>
    </row>
    <row r="656" spans="1:3">
      <c r="A656" s="125">
        <v>97423</v>
      </c>
      <c r="B656" s="125" t="s">
        <v>2043</v>
      </c>
      <c r="C656" s="126">
        <v>42975.929999999993</v>
      </c>
    </row>
    <row r="657" spans="1:3">
      <c r="A657" s="125">
        <v>97431</v>
      </c>
      <c r="B657" s="125" t="s">
        <v>2044</v>
      </c>
      <c r="C657" s="126">
        <v>44546.02</v>
      </c>
    </row>
    <row r="658" spans="1:3">
      <c r="A658" s="125">
        <v>97441</v>
      </c>
      <c r="B658" s="125" t="s">
        <v>2045</v>
      </c>
      <c r="C658" s="126">
        <v>25243.599999999999</v>
      </c>
    </row>
    <row r="659" spans="1:3">
      <c r="A659" s="125">
        <v>97451</v>
      </c>
      <c r="B659" s="125" t="s">
        <v>2046</v>
      </c>
      <c r="C659" s="126">
        <v>245214.42</v>
      </c>
    </row>
    <row r="660" spans="1:3">
      <c r="A660" s="125">
        <v>97461</v>
      </c>
      <c r="B660" s="125" t="s">
        <v>2047</v>
      </c>
      <c r="C660" s="126">
        <v>228349.53999999998</v>
      </c>
    </row>
    <row r="661" spans="1:3">
      <c r="A661" s="125">
        <v>97463</v>
      </c>
      <c r="B661" s="125" t="s">
        <v>2048</v>
      </c>
      <c r="C661" s="126">
        <v>16311.75</v>
      </c>
    </row>
    <row r="662" spans="1:3">
      <c r="A662" s="125">
        <v>97471</v>
      </c>
      <c r="B662" s="125" t="s">
        <v>2049</v>
      </c>
      <c r="C662" s="126">
        <v>10246.98</v>
      </c>
    </row>
    <row r="663" spans="1:3">
      <c r="A663" s="125">
        <v>97481</v>
      </c>
      <c r="B663" s="125" t="s">
        <v>2050</v>
      </c>
      <c r="C663" s="126">
        <v>6015.34</v>
      </c>
    </row>
    <row r="664" spans="1:3">
      <c r="A664" s="125">
        <v>97501</v>
      </c>
      <c r="B664" s="125" t="s">
        <v>2052</v>
      </c>
      <c r="C664" s="126">
        <v>517522.17</v>
      </c>
    </row>
    <row r="665" spans="1:3">
      <c r="A665" s="125">
        <v>97511</v>
      </c>
      <c r="B665" s="125" t="s">
        <v>2053</v>
      </c>
      <c r="C665" s="126">
        <v>112043.93</v>
      </c>
    </row>
    <row r="666" spans="1:3">
      <c r="A666" s="125">
        <v>97521</v>
      </c>
      <c r="B666" s="125" t="s">
        <v>2054</v>
      </c>
      <c r="C666" s="126">
        <v>56687.740000000005</v>
      </c>
    </row>
    <row r="667" spans="1:3">
      <c r="A667" s="125">
        <v>97527</v>
      </c>
      <c r="B667" s="125" t="s">
        <v>2335</v>
      </c>
      <c r="C667" s="126">
        <v>532.1099999999999</v>
      </c>
    </row>
    <row r="668" spans="1:3">
      <c r="A668" s="125">
        <v>97531</v>
      </c>
      <c r="B668" s="125" t="s">
        <v>2055</v>
      </c>
      <c r="C668" s="126">
        <v>25035.190000000002</v>
      </c>
    </row>
    <row r="669" spans="1:3">
      <c r="A669" s="125">
        <v>97601</v>
      </c>
      <c r="B669" s="125" t="s">
        <v>2056</v>
      </c>
      <c r="C669" s="126">
        <v>2286999.6</v>
      </c>
    </row>
    <row r="670" spans="1:3">
      <c r="A670" s="125">
        <v>97607</v>
      </c>
      <c r="B670" s="125" t="s">
        <v>2057</v>
      </c>
      <c r="C670" s="126">
        <v>17254.64</v>
      </c>
    </row>
    <row r="671" spans="1:3">
      <c r="A671" s="125">
        <v>97611</v>
      </c>
      <c r="B671" s="125" t="s">
        <v>2058</v>
      </c>
      <c r="C671" s="126">
        <v>1108487.7400000002</v>
      </c>
    </row>
    <row r="672" spans="1:3">
      <c r="A672" s="125">
        <v>97613</v>
      </c>
      <c r="B672" s="125" t="s">
        <v>2059</v>
      </c>
      <c r="C672" s="126">
        <v>60156.710000000006</v>
      </c>
    </row>
    <row r="673" spans="1:3">
      <c r="A673" s="125">
        <v>97621</v>
      </c>
      <c r="B673" s="125" t="s">
        <v>2060</v>
      </c>
      <c r="C673" s="126">
        <v>179046.86000000002</v>
      </c>
    </row>
    <row r="674" spans="1:3">
      <c r="A674" s="125">
        <v>97623</v>
      </c>
      <c r="B674" s="125" t="s">
        <v>2061</v>
      </c>
      <c r="C674" s="126">
        <v>11113.43</v>
      </c>
    </row>
    <row r="675" spans="1:3">
      <c r="A675" s="125">
        <v>97627</v>
      </c>
      <c r="B675" s="125" t="s">
        <v>2062</v>
      </c>
      <c r="C675" s="126">
        <v>5007.6000000000004</v>
      </c>
    </row>
    <row r="676" spans="1:3">
      <c r="A676" s="125">
        <v>97631</v>
      </c>
      <c r="B676" s="125" t="s">
        <v>2063</v>
      </c>
      <c r="C676" s="126">
        <v>85999.290000000008</v>
      </c>
    </row>
    <row r="677" spans="1:3">
      <c r="A677" s="125">
        <v>97637</v>
      </c>
      <c r="B677" s="125" t="s">
        <v>2064</v>
      </c>
      <c r="C677" s="126">
        <v>3072.1200000000008</v>
      </c>
    </row>
    <row r="678" spans="1:3">
      <c r="A678" s="125">
        <v>97641</v>
      </c>
      <c r="B678" s="125" t="s">
        <v>2065</v>
      </c>
      <c r="C678" s="126">
        <v>35026.46</v>
      </c>
    </row>
    <row r="679" spans="1:3">
      <c r="A679" s="125">
        <v>97651</v>
      </c>
      <c r="B679" s="125" t="s">
        <v>2066</v>
      </c>
      <c r="C679" s="126">
        <v>222466.38999999996</v>
      </c>
    </row>
    <row r="680" spans="1:3">
      <c r="A680" s="125">
        <v>97661</v>
      </c>
      <c r="B680" s="125" t="s">
        <v>2067</v>
      </c>
      <c r="C680" s="126">
        <v>24365.61</v>
      </c>
    </row>
    <row r="681" spans="1:3">
      <c r="A681" s="125">
        <v>97701</v>
      </c>
      <c r="B681" s="125" t="s">
        <v>2068</v>
      </c>
      <c r="C681" s="126">
        <v>1156151.48</v>
      </c>
    </row>
    <row r="682" spans="1:3">
      <c r="A682" s="125">
        <v>97705</v>
      </c>
      <c r="B682" s="125" t="s">
        <v>2069</v>
      </c>
      <c r="C682" s="126">
        <v>22208.679999999997</v>
      </c>
    </row>
    <row r="683" spans="1:3">
      <c r="A683" s="125">
        <v>97711</v>
      </c>
      <c r="B683" s="125" t="s">
        <v>2070</v>
      </c>
      <c r="C683" s="126">
        <v>424323.98000000004</v>
      </c>
    </row>
    <row r="684" spans="1:3">
      <c r="A684" s="125">
        <v>97713</v>
      </c>
      <c r="B684" s="125" t="s">
        <v>2071</v>
      </c>
      <c r="C684" s="126">
        <v>17328.420000000002</v>
      </c>
    </row>
    <row r="685" spans="1:3">
      <c r="A685" s="125">
        <v>97717</v>
      </c>
      <c r="B685" s="125" t="s">
        <v>2072</v>
      </c>
      <c r="C685" s="126">
        <v>2478.17</v>
      </c>
    </row>
    <row r="686" spans="1:3">
      <c r="A686" s="125">
        <v>97721</v>
      </c>
      <c r="B686" s="125" t="s">
        <v>2073</v>
      </c>
      <c r="C686" s="126">
        <v>255784.57999999996</v>
      </c>
    </row>
    <row r="687" spans="1:3">
      <c r="A687" s="125">
        <v>97727</v>
      </c>
      <c r="B687" s="125" t="s">
        <v>2074</v>
      </c>
      <c r="C687" s="126">
        <v>10991.85</v>
      </c>
    </row>
    <row r="688" spans="1:3">
      <c r="A688" s="125">
        <v>97731</v>
      </c>
      <c r="B688" s="125" t="s">
        <v>2075</v>
      </c>
      <c r="C688" s="126">
        <v>18459.8</v>
      </c>
    </row>
    <row r="689" spans="1:3">
      <c r="A689" s="125">
        <v>97801</v>
      </c>
      <c r="B689" s="125" t="s">
        <v>2076</v>
      </c>
      <c r="C689" s="126">
        <v>3179608.4800000004</v>
      </c>
    </row>
    <row r="690" spans="1:3">
      <c r="A690" s="125">
        <v>97802</v>
      </c>
      <c r="B690" s="125" t="s">
        <v>2077</v>
      </c>
      <c r="C690" s="126">
        <v>76715.05</v>
      </c>
    </row>
    <row r="691" spans="1:3">
      <c r="A691" s="125">
        <v>97803</v>
      </c>
      <c r="B691" s="125" t="s">
        <v>2078</v>
      </c>
      <c r="C691" s="126">
        <v>38230.68</v>
      </c>
    </row>
    <row r="692" spans="1:3">
      <c r="A692" s="125">
        <v>97805</v>
      </c>
      <c r="B692" s="125" t="s">
        <v>2079</v>
      </c>
      <c r="C692" s="126">
        <v>39470.879999999997</v>
      </c>
    </row>
    <row r="693" spans="1:3">
      <c r="A693" s="125">
        <v>97811</v>
      </c>
      <c r="B693" s="125" t="s">
        <v>2080</v>
      </c>
      <c r="C693" s="126">
        <v>1101269.8</v>
      </c>
    </row>
    <row r="694" spans="1:3">
      <c r="A694" s="125">
        <v>97817</v>
      </c>
      <c r="B694" s="125" t="s">
        <v>2081</v>
      </c>
      <c r="C694" s="126">
        <v>14126.599999999999</v>
      </c>
    </row>
    <row r="695" spans="1:3">
      <c r="A695" s="125">
        <v>97818</v>
      </c>
      <c r="B695" s="125" t="s">
        <v>2082</v>
      </c>
      <c r="C695" s="126">
        <v>9809.0300000000007</v>
      </c>
    </row>
    <row r="696" spans="1:3">
      <c r="A696" s="125">
        <v>97821</v>
      </c>
      <c r="B696" s="125" t="s">
        <v>2083</v>
      </c>
      <c r="C696" s="126">
        <v>61404.089999999989</v>
      </c>
    </row>
    <row r="697" spans="1:3">
      <c r="A697" s="125">
        <v>97823</v>
      </c>
      <c r="B697" s="125" t="s">
        <v>2084</v>
      </c>
      <c r="C697" s="126">
        <v>13091.509999999998</v>
      </c>
    </row>
    <row r="698" spans="1:3">
      <c r="A698" s="125">
        <v>97831</v>
      </c>
      <c r="B698" s="125" t="s">
        <v>2085</v>
      </c>
      <c r="C698" s="126">
        <v>78812.62000000001</v>
      </c>
    </row>
    <row r="699" spans="1:3">
      <c r="A699" s="125">
        <v>97837</v>
      </c>
      <c r="B699" s="125" t="s">
        <v>2086</v>
      </c>
      <c r="C699" s="126">
        <v>6053.01</v>
      </c>
    </row>
    <row r="700" spans="1:3">
      <c r="A700" s="125">
        <v>97840</v>
      </c>
      <c r="B700" s="125" t="s">
        <v>2087</v>
      </c>
      <c r="C700" s="126">
        <v>107784.15999999999</v>
      </c>
    </row>
    <row r="701" spans="1:3">
      <c r="A701" s="125">
        <v>97841</v>
      </c>
      <c r="B701" s="125" t="s">
        <v>2088</v>
      </c>
      <c r="C701" s="126">
        <v>6425.33</v>
      </c>
    </row>
    <row r="702" spans="1:3">
      <c r="A702" s="125">
        <v>97847</v>
      </c>
      <c r="B702" s="125" t="s">
        <v>2089</v>
      </c>
      <c r="C702" s="126">
        <v>2258.88</v>
      </c>
    </row>
    <row r="703" spans="1:3">
      <c r="A703" s="125">
        <v>97851</v>
      </c>
      <c r="B703" s="125" t="s">
        <v>2090</v>
      </c>
      <c r="C703" s="126">
        <v>116408.28</v>
      </c>
    </row>
    <row r="704" spans="1:3">
      <c r="A704" s="125">
        <v>97853</v>
      </c>
      <c r="B704" s="125" t="s">
        <v>2091</v>
      </c>
      <c r="C704" s="126">
        <v>44042.97</v>
      </c>
    </row>
    <row r="705" spans="1:3">
      <c r="A705" s="125">
        <v>97861</v>
      </c>
      <c r="B705" s="125" t="s">
        <v>2092</v>
      </c>
      <c r="C705" s="126">
        <v>27517.030000000006</v>
      </c>
    </row>
    <row r="706" spans="1:3">
      <c r="A706" s="125">
        <v>97871</v>
      </c>
      <c r="B706" s="125" t="s">
        <v>2093</v>
      </c>
      <c r="C706" s="126">
        <v>273653.89999999997</v>
      </c>
    </row>
    <row r="707" spans="1:3">
      <c r="A707" s="125">
        <v>97877</v>
      </c>
      <c r="B707" s="125" t="s">
        <v>2094</v>
      </c>
      <c r="C707" s="126">
        <v>2104.1</v>
      </c>
    </row>
    <row r="708" spans="1:3">
      <c r="A708" s="125">
        <v>97901</v>
      </c>
      <c r="B708" s="125" t="s">
        <v>2095</v>
      </c>
      <c r="C708" s="126">
        <v>2091023.4500000002</v>
      </c>
    </row>
    <row r="709" spans="1:3">
      <c r="A709" s="125">
        <v>97911</v>
      </c>
      <c r="B709" s="125" t="s">
        <v>2096</v>
      </c>
      <c r="C709" s="126">
        <v>613264.97999999986</v>
      </c>
    </row>
    <row r="710" spans="1:3">
      <c r="A710" s="125">
        <v>97913</v>
      </c>
      <c r="B710" s="125" t="s">
        <v>2097</v>
      </c>
      <c r="C710" s="126">
        <v>27559.27</v>
      </c>
    </row>
    <row r="711" spans="1:3">
      <c r="A711" s="125">
        <v>97917</v>
      </c>
      <c r="B711" s="125" t="s">
        <v>2098</v>
      </c>
      <c r="C711" s="126">
        <v>13418.630000000001</v>
      </c>
    </row>
    <row r="712" spans="1:3">
      <c r="A712" s="125">
        <v>97921</v>
      </c>
      <c r="B712" s="125" t="s">
        <v>2099</v>
      </c>
      <c r="C712" s="126">
        <v>103162.98000000001</v>
      </c>
    </row>
    <row r="713" spans="1:3">
      <c r="A713" s="125">
        <v>97931</v>
      </c>
      <c r="B713" s="125" t="s">
        <v>2100</v>
      </c>
      <c r="C713" s="126">
        <v>31939.190000000002</v>
      </c>
    </row>
    <row r="714" spans="1:3">
      <c r="A714" s="125">
        <v>97941</v>
      </c>
      <c r="B714" s="125" t="s">
        <v>2101</v>
      </c>
      <c r="C714" s="126">
        <v>106969.88</v>
      </c>
    </row>
    <row r="715" spans="1:3">
      <c r="A715" s="125">
        <v>97947</v>
      </c>
      <c r="B715" s="125" t="s">
        <v>2102</v>
      </c>
      <c r="C715" s="126">
        <v>11470.6</v>
      </c>
    </row>
    <row r="716" spans="1:3">
      <c r="A716" s="125">
        <v>97948</v>
      </c>
      <c r="B716" s="125" t="s">
        <v>2103</v>
      </c>
      <c r="C716" s="126">
        <v>10840.35</v>
      </c>
    </row>
    <row r="717" spans="1:3">
      <c r="A717" s="125">
        <v>97951</v>
      </c>
      <c r="B717" s="125" t="s">
        <v>2104</v>
      </c>
      <c r="C717" s="126">
        <v>597832.21</v>
      </c>
    </row>
    <row r="718" spans="1:3">
      <c r="A718" s="125">
        <v>97957</v>
      </c>
      <c r="B718" s="125" t="s">
        <v>2105</v>
      </c>
      <c r="C718" s="126">
        <v>12857.2</v>
      </c>
    </row>
    <row r="719" spans="1:3">
      <c r="A719" s="125">
        <v>98001</v>
      </c>
      <c r="B719" s="125" t="s">
        <v>2106</v>
      </c>
      <c r="C719" s="126">
        <v>2367016.2000000007</v>
      </c>
    </row>
    <row r="720" spans="1:3">
      <c r="A720" s="125">
        <v>98002</v>
      </c>
      <c r="B720" s="125" t="s">
        <v>2107</v>
      </c>
      <c r="C720" s="126">
        <v>4125.92</v>
      </c>
    </row>
    <row r="721" spans="1:3">
      <c r="A721" s="125">
        <v>98003</v>
      </c>
      <c r="B721" s="125" t="s">
        <v>2108</v>
      </c>
      <c r="C721" s="126">
        <v>70273.84</v>
      </c>
    </row>
    <row r="722" spans="1:3">
      <c r="A722" s="125">
        <v>98004</v>
      </c>
      <c r="B722" s="125" t="s">
        <v>2109</v>
      </c>
      <c r="C722" s="126">
        <v>78049.56</v>
      </c>
    </row>
    <row r="723" spans="1:3">
      <c r="A723" s="125">
        <v>98008</v>
      </c>
      <c r="B723" s="125" t="s">
        <v>2110</v>
      </c>
      <c r="C723" s="126">
        <v>3536.6600000000012</v>
      </c>
    </row>
    <row r="724" spans="1:3">
      <c r="A724" s="125">
        <v>98011</v>
      </c>
      <c r="B724" s="125" t="s">
        <v>2111</v>
      </c>
      <c r="C724" s="126">
        <v>1430081.8599999999</v>
      </c>
    </row>
    <row r="725" spans="1:3">
      <c r="A725" s="125">
        <v>98013</v>
      </c>
      <c r="B725" s="125" t="s">
        <v>2112</v>
      </c>
      <c r="C725" s="126">
        <v>138520.69</v>
      </c>
    </row>
    <row r="726" spans="1:3">
      <c r="A726" s="125">
        <v>98021</v>
      </c>
      <c r="B726" s="125" t="s">
        <v>2113</v>
      </c>
      <c r="C726" s="126">
        <v>28536.179999999993</v>
      </c>
    </row>
    <row r="727" spans="1:3">
      <c r="A727" s="125">
        <v>98023</v>
      </c>
      <c r="B727" s="125" t="s">
        <v>2114</v>
      </c>
      <c r="C727" s="126">
        <v>6869.3899999999994</v>
      </c>
    </row>
    <row r="728" spans="1:3">
      <c r="A728" s="125">
        <v>98031</v>
      </c>
      <c r="B728" s="125" t="s">
        <v>2115</v>
      </c>
      <c r="C728" s="126">
        <v>67740.09</v>
      </c>
    </row>
    <row r="729" spans="1:3">
      <c r="A729" s="125">
        <v>98041</v>
      </c>
      <c r="B729" s="125" t="s">
        <v>2116</v>
      </c>
      <c r="C729" s="126">
        <v>80473.600000000006</v>
      </c>
    </row>
    <row r="730" spans="1:3">
      <c r="A730" s="125">
        <v>98051</v>
      </c>
      <c r="B730" s="125" t="s">
        <v>2117</v>
      </c>
      <c r="C730" s="126">
        <v>136144.79</v>
      </c>
    </row>
    <row r="731" spans="1:3">
      <c r="A731" s="125">
        <v>98061</v>
      </c>
      <c r="B731" s="125" t="s">
        <v>2118</v>
      </c>
      <c r="C731" s="126">
        <v>47389.56</v>
      </c>
    </row>
    <row r="732" spans="1:3">
      <c r="A732" s="125">
        <v>98071</v>
      </c>
      <c r="B732" s="125" t="s">
        <v>2119</v>
      </c>
      <c r="C732" s="126">
        <v>28232.940000000002</v>
      </c>
    </row>
    <row r="733" spans="1:3">
      <c r="A733" s="125">
        <v>98081</v>
      </c>
      <c r="B733" s="125" t="s">
        <v>2120</v>
      </c>
      <c r="C733" s="126">
        <v>7556.3200000000006</v>
      </c>
    </row>
    <row r="734" spans="1:3">
      <c r="A734" s="125">
        <v>98091</v>
      </c>
      <c r="B734" s="125" t="s">
        <v>2121</v>
      </c>
      <c r="C734" s="126">
        <v>25240.61</v>
      </c>
    </row>
    <row r="735" spans="1:3">
      <c r="A735" s="125">
        <v>98101</v>
      </c>
      <c r="B735" s="125" t="s">
        <v>2122</v>
      </c>
      <c r="C735" s="126">
        <v>1210233.97</v>
      </c>
    </row>
    <row r="736" spans="1:3">
      <c r="A736" s="125">
        <v>98102</v>
      </c>
      <c r="B736" s="125" t="s">
        <v>2123</v>
      </c>
      <c r="C736" s="126">
        <v>71621.289999999994</v>
      </c>
    </row>
    <row r="737" spans="1:3">
      <c r="A737" s="125">
        <v>98103</v>
      </c>
      <c r="B737" s="125" t="s">
        <v>2124</v>
      </c>
      <c r="C737" s="126">
        <v>255161.38</v>
      </c>
    </row>
    <row r="738" spans="1:3">
      <c r="A738" s="125">
        <v>98107</v>
      </c>
      <c r="B738" s="125" t="s">
        <v>2125</v>
      </c>
      <c r="C738" s="126">
        <v>9241.77</v>
      </c>
    </row>
    <row r="739" spans="1:3">
      <c r="A739" s="125">
        <v>98109</v>
      </c>
      <c r="B739" s="125" t="s">
        <v>2126</v>
      </c>
      <c r="C739" s="126">
        <v>76015.76999999999</v>
      </c>
    </row>
    <row r="740" spans="1:3">
      <c r="A740" s="125">
        <v>98111</v>
      </c>
      <c r="B740" s="125" t="s">
        <v>2127</v>
      </c>
      <c r="C740" s="126">
        <v>432530.07</v>
      </c>
    </row>
    <row r="741" spans="1:3">
      <c r="A741" s="125">
        <v>98113</v>
      </c>
      <c r="B741" s="125" t="s">
        <v>2128</v>
      </c>
      <c r="C741" s="126">
        <v>23491.619999999995</v>
      </c>
    </row>
    <row r="742" spans="1:3">
      <c r="A742" s="125">
        <v>98121</v>
      </c>
      <c r="B742" s="125" t="s">
        <v>2129</v>
      </c>
      <c r="C742" s="126">
        <v>89370.18</v>
      </c>
    </row>
    <row r="743" spans="1:3">
      <c r="A743" s="125">
        <v>98131</v>
      </c>
      <c r="B743" s="125" t="s">
        <v>2130</v>
      </c>
      <c r="C743" s="126">
        <v>119696.65</v>
      </c>
    </row>
    <row r="744" spans="1:3">
      <c r="A744" s="125">
        <v>98141</v>
      </c>
      <c r="B744" s="125" t="s">
        <v>2131</v>
      </c>
      <c r="C744" s="126">
        <v>133558.14000000001</v>
      </c>
    </row>
    <row r="745" spans="1:3">
      <c r="A745" s="125">
        <v>98147</v>
      </c>
      <c r="B745" s="125" t="s">
        <v>2132</v>
      </c>
      <c r="C745" s="126">
        <v>9893.14</v>
      </c>
    </row>
    <row r="746" spans="1:3">
      <c r="A746" s="125">
        <v>98161</v>
      </c>
      <c r="B746" s="125" t="s">
        <v>2133</v>
      </c>
      <c r="C746" s="126">
        <v>5046.24</v>
      </c>
    </row>
    <row r="747" spans="1:3">
      <c r="A747" s="125">
        <v>98201</v>
      </c>
      <c r="B747" s="125" t="s">
        <v>2134</v>
      </c>
      <c r="C747" s="126">
        <v>1424603.84</v>
      </c>
    </row>
    <row r="748" spans="1:3">
      <c r="A748" s="125">
        <v>98205</v>
      </c>
      <c r="B748" s="125" t="s">
        <v>2135</v>
      </c>
      <c r="C748" s="126">
        <v>23504.78</v>
      </c>
    </row>
    <row r="749" spans="1:3">
      <c r="A749" s="125">
        <v>98211</v>
      </c>
      <c r="B749" s="125" t="s">
        <v>2136</v>
      </c>
      <c r="C749" s="126">
        <v>365217.98</v>
      </c>
    </row>
    <row r="750" spans="1:3">
      <c r="A750" s="125">
        <v>98218</v>
      </c>
      <c r="B750" s="125" t="s">
        <v>2137</v>
      </c>
      <c r="C750" s="126">
        <v>5829.3</v>
      </c>
    </row>
    <row r="751" spans="1:3">
      <c r="A751" s="125">
        <v>98221</v>
      </c>
      <c r="B751" s="125" t="s">
        <v>2138</v>
      </c>
      <c r="C751" s="126">
        <v>9739.18</v>
      </c>
    </row>
    <row r="752" spans="1:3">
      <c r="A752" s="125">
        <v>98231</v>
      </c>
      <c r="B752" s="125" t="s">
        <v>2139</v>
      </c>
      <c r="C752" s="126">
        <v>11487.39</v>
      </c>
    </row>
    <row r="753" spans="1:3">
      <c r="A753" s="125">
        <v>98237</v>
      </c>
      <c r="B753" s="125" t="s">
        <v>2140</v>
      </c>
      <c r="C753" s="126">
        <v>4384.5800000000008</v>
      </c>
    </row>
    <row r="754" spans="1:3">
      <c r="A754" s="125">
        <v>98241</v>
      </c>
      <c r="B754" s="125" t="s">
        <v>2141</v>
      </c>
      <c r="C754" s="126">
        <v>8387.880000000001</v>
      </c>
    </row>
    <row r="755" spans="1:3">
      <c r="A755" s="125">
        <v>98251</v>
      </c>
      <c r="B755" s="125" t="s">
        <v>2142</v>
      </c>
      <c r="C755" s="126">
        <v>2206.3900000000003</v>
      </c>
    </row>
    <row r="756" spans="1:3">
      <c r="A756" s="125">
        <v>98261</v>
      </c>
      <c r="B756" s="125" t="s">
        <v>2143</v>
      </c>
      <c r="C756" s="126">
        <v>16864.510000000002</v>
      </c>
    </row>
    <row r="757" spans="1:3">
      <c r="A757" s="125">
        <v>98271</v>
      </c>
      <c r="B757" s="125" t="s">
        <v>2144</v>
      </c>
      <c r="C757" s="126">
        <v>2676.11</v>
      </c>
    </row>
    <row r="758" spans="1:3">
      <c r="A758" s="125">
        <v>98301</v>
      </c>
      <c r="B758" s="125" t="s">
        <v>2145</v>
      </c>
      <c r="C758" s="126">
        <v>825877.5199999999</v>
      </c>
    </row>
    <row r="759" spans="1:3">
      <c r="A759" s="125">
        <v>98304</v>
      </c>
      <c r="B759" s="125" t="s">
        <v>2146</v>
      </c>
      <c r="C759" s="126">
        <v>12751.149999999998</v>
      </c>
    </row>
    <row r="760" spans="1:3">
      <c r="A760" s="125">
        <v>98308</v>
      </c>
      <c r="B760" s="125" t="s">
        <v>2147</v>
      </c>
      <c r="C760" s="126">
        <v>15362.639999999998</v>
      </c>
    </row>
    <row r="761" spans="1:3">
      <c r="A761" s="125">
        <v>98311</v>
      </c>
      <c r="B761" s="125" t="s">
        <v>2148</v>
      </c>
      <c r="C761" s="126">
        <v>462216.84</v>
      </c>
    </row>
    <row r="762" spans="1:3">
      <c r="A762" s="125">
        <v>98313</v>
      </c>
      <c r="B762" s="125" t="s">
        <v>2149</v>
      </c>
      <c r="C762" s="126">
        <v>259158.18</v>
      </c>
    </row>
    <row r="763" spans="1:3">
      <c r="A763" s="125">
        <v>98321</v>
      </c>
      <c r="B763" s="125" t="s">
        <v>2150</v>
      </c>
      <c r="C763" s="126">
        <v>10270.049999999999</v>
      </c>
    </row>
    <row r="764" spans="1:3">
      <c r="A764" s="125">
        <v>98331</v>
      </c>
      <c r="B764" s="125" t="s">
        <v>2151</v>
      </c>
      <c r="C764" s="126">
        <v>6280.6999999999989</v>
      </c>
    </row>
    <row r="765" spans="1:3">
      <c r="A765" s="125">
        <v>98401</v>
      </c>
      <c r="B765" s="125" t="s">
        <v>2152</v>
      </c>
      <c r="C765" s="126">
        <v>1399311.01</v>
      </c>
    </row>
    <row r="766" spans="1:3">
      <c r="A766" s="125">
        <v>98404</v>
      </c>
      <c r="B766" s="125" t="s">
        <v>2153</v>
      </c>
      <c r="C766" s="126">
        <v>5851.8099999999995</v>
      </c>
    </row>
    <row r="767" spans="1:3">
      <c r="A767" s="125">
        <v>98411</v>
      </c>
      <c r="B767" s="125" t="s">
        <v>2154</v>
      </c>
      <c r="C767" s="126">
        <v>869963.94000000006</v>
      </c>
    </row>
    <row r="768" spans="1:3">
      <c r="A768" s="125">
        <v>98414</v>
      </c>
      <c r="B768" s="125" t="s">
        <v>2155</v>
      </c>
      <c r="C768" s="126">
        <v>7367.21</v>
      </c>
    </row>
    <row r="769" spans="1:3">
      <c r="A769" s="125">
        <v>98417</v>
      </c>
      <c r="B769" s="125" t="s">
        <v>2156</v>
      </c>
      <c r="C769" s="126">
        <v>14125.46</v>
      </c>
    </row>
    <row r="770" spans="1:3">
      <c r="A770" s="125">
        <v>98421</v>
      </c>
      <c r="B770" s="125" t="s">
        <v>2157</v>
      </c>
      <c r="C770" s="126">
        <v>44395.67</v>
      </c>
    </row>
    <row r="771" spans="1:3">
      <c r="A771" s="125">
        <v>98427</v>
      </c>
      <c r="B771" s="125" t="s">
        <v>2158</v>
      </c>
      <c r="C771" s="126">
        <v>3231.11</v>
      </c>
    </row>
    <row r="772" spans="1:3">
      <c r="A772" s="125">
        <v>98431</v>
      </c>
      <c r="B772" s="125" t="s">
        <v>2159</v>
      </c>
      <c r="C772" s="126">
        <v>78481.45</v>
      </c>
    </row>
    <row r="773" spans="1:3">
      <c r="A773" s="125">
        <v>98441</v>
      </c>
      <c r="B773" s="125" t="s">
        <v>2160</v>
      </c>
      <c r="C773" s="126">
        <v>35571.949999999997</v>
      </c>
    </row>
    <row r="774" spans="1:3">
      <c r="A774" s="125">
        <v>98451</v>
      </c>
      <c r="B774" s="125" t="s">
        <v>2161</v>
      </c>
      <c r="C774" s="126">
        <v>26131.939999999995</v>
      </c>
    </row>
    <row r="775" spans="1:3">
      <c r="A775" s="125">
        <v>98471</v>
      </c>
      <c r="B775" s="125" t="s">
        <v>2336</v>
      </c>
      <c r="C775" s="126">
        <v>1832.3100000000002</v>
      </c>
    </row>
    <row r="776" spans="1:3">
      <c r="A776" s="125">
        <v>98481</v>
      </c>
      <c r="B776" s="125" t="s">
        <v>2162</v>
      </c>
      <c r="C776" s="126">
        <v>27197.510000000002</v>
      </c>
    </row>
    <row r="777" spans="1:3">
      <c r="A777" s="125">
        <v>98501</v>
      </c>
      <c r="B777" s="125" t="s">
        <v>2163</v>
      </c>
      <c r="C777" s="126">
        <v>760833.22</v>
      </c>
    </row>
    <row r="778" spans="1:3">
      <c r="A778" s="125">
        <v>98511</v>
      </c>
      <c r="B778" s="125" t="s">
        <v>2164</v>
      </c>
      <c r="C778" s="126">
        <v>23435.010000000002</v>
      </c>
    </row>
    <row r="779" spans="1:3">
      <c r="A779" s="125">
        <v>98517</v>
      </c>
      <c r="B779" s="125" t="s">
        <v>2165</v>
      </c>
      <c r="C779" s="126">
        <v>2484.0799999999995</v>
      </c>
    </row>
    <row r="780" spans="1:3">
      <c r="A780" s="125">
        <v>98521</v>
      </c>
      <c r="B780" s="125" t="s">
        <v>2166</v>
      </c>
      <c r="C780" s="126">
        <v>270882.26</v>
      </c>
    </row>
    <row r="781" spans="1:3">
      <c r="A781" s="125">
        <v>98601</v>
      </c>
      <c r="B781" s="125" t="s">
        <v>2167</v>
      </c>
      <c r="C781" s="126">
        <v>1494584.0999999999</v>
      </c>
    </row>
    <row r="782" spans="1:3">
      <c r="A782" s="125">
        <v>98604</v>
      </c>
      <c r="B782" s="125" t="s">
        <v>2168</v>
      </c>
      <c r="C782" s="126">
        <v>7587.5999999999995</v>
      </c>
    </row>
    <row r="783" spans="1:3">
      <c r="A783" s="125">
        <v>98607</v>
      </c>
      <c r="B783" s="125" t="s">
        <v>2169</v>
      </c>
      <c r="C783" s="126">
        <v>2774.2099999999996</v>
      </c>
    </row>
    <row r="784" spans="1:3">
      <c r="A784" s="125">
        <v>98608</v>
      </c>
      <c r="B784" s="125" t="s">
        <v>2170</v>
      </c>
      <c r="C784" s="126">
        <v>20059.189999999999</v>
      </c>
    </row>
    <row r="785" spans="1:3">
      <c r="A785" s="125">
        <v>98611</v>
      </c>
      <c r="B785" s="125" t="s">
        <v>2171</v>
      </c>
      <c r="C785" s="126">
        <v>49930.89</v>
      </c>
    </row>
    <row r="786" spans="1:3">
      <c r="A786" s="125">
        <v>98621</v>
      </c>
      <c r="B786" s="125" t="s">
        <v>2172</v>
      </c>
      <c r="C786" s="126">
        <v>55891.290000000008</v>
      </c>
    </row>
    <row r="787" spans="1:3">
      <c r="A787" s="125">
        <v>98627</v>
      </c>
      <c r="B787" s="125" t="s">
        <v>2173</v>
      </c>
      <c r="C787" s="126">
        <v>3353.9299999999994</v>
      </c>
    </row>
    <row r="788" spans="1:3">
      <c r="A788" s="125">
        <v>98631</v>
      </c>
      <c r="B788" s="125" t="s">
        <v>2174</v>
      </c>
      <c r="C788" s="126">
        <v>466622.49000000005</v>
      </c>
    </row>
    <row r="789" spans="1:3">
      <c r="A789" s="125">
        <v>98637</v>
      </c>
      <c r="B789" s="125" t="s">
        <v>2175</v>
      </c>
      <c r="C789" s="126">
        <v>15729.22</v>
      </c>
    </row>
    <row r="790" spans="1:3">
      <c r="A790" s="125">
        <v>98641</v>
      </c>
      <c r="B790" s="125" t="s">
        <v>2176</v>
      </c>
      <c r="C790" s="126">
        <v>140670.05999999997</v>
      </c>
    </row>
    <row r="791" spans="1:3">
      <c r="A791" s="125">
        <v>98701</v>
      </c>
      <c r="B791" s="125" t="s">
        <v>2177</v>
      </c>
      <c r="C791" s="126">
        <v>514112.93000000005</v>
      </c>
    </row>
    <row r="792" spans="1:3">
      <c r="A792" s="125">
        <v>98711</v>
      </c>
      <c r="B792" s="125" t="s">
        <v>2178</v>
      </c>
      <c r="C792" s="126">
        <v>70342.11</v>
      </c>
    </row>
    <row r="793" spans="1:3">
      <c r="A793" s="125">
        <v>98717</v>
      </c>
      <c r="B793" s="125" t="s">
        <v>2179</v>
      </c>
      <c r="C793" s="126">
        <v>8758.7200000000012</v>
      </c>
    </row>
    <row r="794" spans="1:3">
      <c r="A794" s="125">
        <v>98801</v>
      </c>
      <c r="B794" s="125" t="s">
        <v>2180</v>
      </c>
      <c r="C794" s="126">
        <v>1067051.19</v>
      </c>
    </row>
    <row r="795" spans="1:3">
      <c r="A795" s="125">
        <v>98811</v>
      </c>
      <c r="B795" s="125" t="s">
        <v>2181</v>
      </c>
      <c r="C795" s="126">
        <v>323262.17000000004</v>
      </c>
    </row>
    <row r="796" spans="1:3">
      <c r="A796" s="125">
        <v>98817</v>
      </c>
      <c r="B796" s="125" t="s">
        <v>2182</v>
      </c>
      <c r="C796" s="126">
        <v>14663.340000000002</v>
      </c>
    </row>
    <row r="797" spans="1:3">
      <c r="A797" s="125">
        <v>98901</v>
      </c>
      <c r="B797" s="125" t="s">
        <v>2183</v>
      </c>
      <c r="C797" s="126">
        <v>159126.34999999998</v>
      </c>
    </row>
    <row r="798" spans="1:3">
      <c r="A798" s="125">
        <v>98904</v>
      </c>
      <c r="B798" s="125" t="s">
        <v>2184</v>
      </c>
      <c r="C798" s="126">
        <v>1607.9500000000003</v>
      </c>
    </row>
    <row r="799" spans="1:3">
      <c r="A799" s="125">
        <v>98911</v>
      </c>
      <c r="B799" s="125" t="s">
        <v>2185</v>
      </c>
      <c r="C799" s="126">
        <v>17944.88</v>
      </c>
    </row>
    <row r="800" spans="1:3">
      <c r="A800" s="125">
        <v>99001</v>
      </c>
      <c r="B800" s="125" t="s">
        <v>2186</v>
      </c>
      <c r="C800" s="126">
        <v>3574722.4899999998</v>
      </c>
    </row>
    <row r="801" spans="1:3">
      <c r="A801" s="125">
        <v>99011</v>
      </c>
      <c r="B801" s="125" t="s">
        <v>2187</v>
      </c>
      <c r="C801" s="126">
        <v>1767796.6799999997</v>
      </c>
    </row>
    <row r="802" spans="1:3">
      <c r="A802" s="125">
        <v>99013</v>
      </c>
      <c r="B802" s="125" t="s">
        <v>2188</v>
      </c>
      <c r="C802" s="126">
        <v>27132.690000000002</v>
      </c>
    </row>
    <row r="803" spans="1:3">
      <c r="A803" s="125">
        <v>99014</v>
      </c>
      <c r="B803" s="125" t="s">
        <v>2189</v>
      </c>
      <c r="C803" s="126">
        <v>13999.21</v>
      </c>
    </row>
    <row r="804" spans="1:3">
      <c r="A804" s="125">
        <v>99017</v>
      </c>
      <c r="B804" s="125" t="s">
        <v>2190</v>
      </c>
      <c r="C804" s="126">
        <v>25055.15</v>
      </c>
    </row>
    <row r="805" spans="1:3">
      <c r="A805" s="125">
        <v>99021</v>
      </c>
      <c r="B805" s="125" t="s">
        <v>2191</v>
      </c>
      <c r="C805" s="126">
        <v>64601.440000000002</v>
      </c>
    </row>
    <row r="806" spans="1:3">
      <c r="A806" s="125">
        <v>99022</v>
      </c>
      <c r="B806" s="125" t="s">
        <v>804</v>
      </c>
      <c r="C806" s="126">
        <v>11386.439999999999</v>
      </c>
    </row>
    <row r="807" spans="1:3">
      <c r="A807" s="125">
        <v>99031</v>
      </c>
      <c r="B807" s="125" t="s">
        <v>2192</v>
      </c>
      <c r="C807" s="126">
        <v>59832.479999999996</v>
      </c>
    </row>
    <row r="808" spans="1:3">
      <c r="A808" s="125">
        <v>99041</v>
      </c>
      <c r="B808" s="125" t="s">
        <v>2193</v>
      </c>
      <c r="C808" s="126">
        <v>254000.11</v>
      </c>
    </row>
    <row r="809" spans="1:3">
      <c r="A809" s="125">
        <v>99047</v>
      </c>
      <c r="B809" s="125" t="s">
        <v>2194</v>
      </c>
      <c r="C809" s="126">
        <v>7761.09</v>
      </c>
    </row>
    <row r="810" spans="1:3">
      <c r="A810" s="125">
        <v>99051</v>
      </c>
      <c r="B810" s="125" t="s">
        <v>2195</v>
      </c>
      <c r="C810" s="126">
        <v>142316.86000000002</v>
      </c>
    </row>
    <row r="811" spans="1:3">
      <c r="A811" s="125">
        <v>99061</v>
      </c>
      <c r="B811" s="125" t="s">
        <v>2196</v>
      </c>
      <c r="C811" s="126">
        <v>7897.3700000000008</v>
      </c>
    </row>
    <row r="812" spans="1:3">
      <c r="A812" s="125">
        <v>99071</v>
      </c>
      <c r="B812" s="125" t="s">
        <v>2197</v>
      </c>
      <c r="C812" s="126">
        <v>15062.04</v>
      </c>
    </row>
    <row r="813" spans="1:3">
      <c r="A813" s="125">
        <v>99081</v>
      </c>
      <c r="B813" s="125" t="s">
        <v>2198</v>
      </c>
      <c r="C813" s="126">
        <v>10194.719999999999</v>
      </c>
    </row>
    <row r="814" spans="1:3">
      <c r="A814" s="125">
        <v>99091</v>
      </c>
      <c r="B814" s="125" t="s">
        <v>2199</v>
      </c>
      <c r="C814" s="126">
        <v>4830.9500000000007</v>
      </c>
    </row>
    <row r="815" spans="1:3">
      <c r="A815" s="125">
        <v>99101</v>
      </c>
      <c r="B815" s="125" t="s">
        <v>2200</v>
      </c>
      <c r="C815" s="126">
        <v>914274.04000000015</v>
      </c>
    </row>
    <row r="816" spans="1:3">
      <c r="A816" s="125">
        <v>99104</v>
      </c>
      <c r="B816" s="125" t="s">
        <v>2201</v>
      </c>
      <c r="C816" s="126">
        <v>22873.95</v>
      </c>
    </row>
    <row r="817" spans="1:3">
      <c r="A817" s="125">
        <v>99109</v>
      </c>
      <c r="B817" s="125" t="s">
        <v>2202</v>
      </c>
      <c r="C817" s="126">
        <v>56338.229999999996</v>
      </c>
    </row>
    <row r="818" spans="1:3">
      <c r="A818" s="125">
        <v>99110</v>
      </c>
      <c r="B818" s="125" t="s">
        <v>2203</v>
      </c>
      <c r="C818" s="126">
        <v>119962.69</v>
      </c>
    </row>
    <row r="819" spans="1:3">
      <c r="A819" s="125">
        <v>99111</v>
      </c>
      <c r="B819" s="125" t="s">
        <v>2204</v>
      </c>
      <c r="C819" s="126">
        <v>543583.17000000004</v>
      </c>
    </row>
    <row r="820" spans="1:3">
      <c r="A820" s="125">
        <v>99201</v>
      </c>
      <c r="B820" s="125" t="s">
        <v>2205</v>
      </c>
      <c r="C820" s="126">
        <v>15084486.749999998</v>
      </c>
    </row>
    <row r="821" spans="1:3">
      <c r="A821" s="125">
        <v>99202</v>
      </c>
      <c r="B821" s="125" t="s">
        <v>2206</v>
      </c>
      <c r="C821" s="126">
        <v>1072067.46</v>
      </c>
    </row>
    <row r="822" spans="1:3">
      <c r="A822" s="125">
        <v>99203</v>
      </c>
      <c r="B822" s="125" t="s">
        <v>2207</v>
      </c>
      <c r="C822" s="126">
        <v>126936.26</v>
      </c>
    </row>
    <row r="823" spans="1:3">
      <c r="A823" s="125">
        <v>99204</v>
      </c>
      <c r="B823" s="125" t="s">
        <v>2208</v>
      </c>
      <c r="C823" s="126">
        <v>375261.16000000003</v>
      </c>
    </row>
    <row r="824" spans="1:3">
      <c r="A824" s="125">
        <v>99206</v>
      </c>
      <c r="B824" s="125" t="s">
        <v>2209</v>
      </c>
      <c r="C824" s="126">
        <v>1210224.8699999999</v>
      </c>
    </row>
    <row r="825" spans="1:3">
      <c r="A825" s="125">
        <v>99207</v>
      </c>
      <c r="B825" s="125" t="s">
        <v>2210</v>
      </c>
      <c r="C825" s="126">
        <v>175075.09</v>
      </c>
    </row>
    <row r="826" spans="1:3">
      <c r="A826" s="125">
        <v>99208</v>
      </c>
      <c r="B826" s="125" t="s">
        <v>2211</v>
      </c>
      <c r="C826" s="126">
        <v>57804.040000000008</v>
      </c>
    </row>
    <row r="827" spans="1:3">
      <c r="A827" s="125">
        <v>99210</v>
      </c>
      <c r="B827" s="125" t="s">
        <v>2212</v>
      </c>
      <c r="C827" s="126">
        <v>789521.27</v>
      </c>
    </row>
    <row r="828" spans="1:3">
      <c r="A828" s="125">
        <v>99211</v>
      </c>
      <c r="B828" s="125" t="s">
        <v>2213</v>
      </c>
      <c r="C828" s="126">
        <v>16957538.619999997</v>
      </c>
    </row>
    <row r="829" spans="1:3">
      <c r="A829" s="125">
        <v>99212</v>
      </c>
      <c r="B829" s="125" t="s">
        <v>2214</v>
      </c>
      <c r="C829" s="126">
        <v>31804.81</v>
      </c>
    </row>
    <row r="830" spans="1:3">
      <c r="A830" s="125">
        <v>99213</v>
      </c>
      <c r="B830" s="125" t="s">
        <v>2215</v>
      </c>
      <c r="C830" s="126">
        <v>353816.66000000003</v>
      </c>
    </row>
    <row r="831" spans="1:3">
      <c r="A831" s="125">
        <v>99218</v>
      </c>
      <c r="B831" s="125" t="s">
        <v>2216</v>
      </c>
      <c r="C831" s="126">
        <v>1493014.0800000003</v>
      </c>
    </row>
    <row r="832" spans="1:3">
      <c r="A832" s="125">
        <v>99221</v>
      </c>
      <c r="B832" s="125" t="s">
        <v>2217</v>
      </c>
      <c r="C832" s="126">
        <v>5876509.1199999992</v>
      </c>
    </row>
    <row r="833" spans="1:3">
      <c r="A833" s="125">
        <v>99222</v>
      </c>
      <c r="B833" s="125" t="s">
        <v>2218</v>
      </c>
      <c r="C833" s="126">
        <v>15445.649999999998</v>
      </c>
    </row>
    <row r="834" spans="1:3">
      <c r="A834" s="125">
        <v>99231</v>
      </c>
      <c r="B834" s="125" t="s">
        <v>2219</v>
      </c>
      <c r="C834" s="126">
        <v>156904.40000000002</v>
      </c>
    </row>
    <row r="835" spans="1:3">
      <c r="A835" s="125">
        <v>99241</v>
      </c>
      <c r="B835" s="125" t="s">
        <v>2220</v>
      </c>
      <c r="C835" s="126">
        <v>226042.02999999997</v>
      </c>
    </row>
    <row r="836" spans="1:3">
      <c r="A836" s="125">
        <v>99251</v>
      </c>
      <c r="B836" s="125" t="s">
        <v>2221</v>
      </c>
      <c r="C836" s="126">
        <v>745407.53999999992</v>
      </c>
    </row>
    <row r="837" spans="1:3">
      <c r="A837" s="125">
        <v>99252</v>
      </c>
      <c r="B837" s="125" t="s">
        <v>2222</v>
      </c>
      <c r="C837" s="126">
        <v>212385.68000000002</v>
      </c>
    </row>
    <row r="838" spans="1:3">
      <c r="A838" s="125">
        <v>99261</v>
      </c>
      <c r="B838" s="125" t="s">
        <v>2223</v>
      </c>
      <c r="C838" s="126">
        <v>808835.41</v>
      </c>
    </row>
    <row r="839" spans="1:3">
      <c r="A839" s="125">
        <v>99271</v>
      </c>
      <c r="B839" s="125" t="s">
        <v>2224</v>
      </c>
      <c r="C839" s="126">
        <v>1751675.0799999998</v>
      </c>
    </row>
    <row r="840" spans="1:3">
      <c r="A840" s="125">
        <v>99281</v>
      </c>
      <c r="B840" s="125" t="s">
        <v>2225</v>
      </c>
      <c r="C840" s="126">
        <v>984779.61999999988</v>
      </c>
    </row>
    <row r="841" spans="1:3">
      <c r="A841" s="125">
        <v>99291</v>
      </c>
      <c r="B841" s="125" t="s">
        <v>2226</v>
      </c>
      <c r="C841" s="126">
        <v>299576.14999999997</v>
      </c>
    </row>
    <row r="842" spans="1:3">
      <c r="A842" s="125">
        <v>99301</v>
      </c>
      <c r="B842" s="125" t="s">
        <v>2227</v>
      </c>
      <c r="C842" s="126">
        <v>788880.01</v>
      </c>
    </row>
    <row r="843" spans="1:3">
      <c r="A843" s="125">
        <v>99304</v>
      </c>
      <c r="B843" s="125" t="s">
        <v>2228</v>
      </c>
      <c r="C843" s="126">
        <v>7554.29</v>
      </c>
    </row>
    <row r="844" spans="1:3">
      <c r="A844" s="125">
        <v>99311</v>
      </c>
      <c r="B844" s="125" t="s">
        <v>2229</v>
      </c>
      <c r="C844" s="126">
        <v>25361.440000000002</v>
      </c>
    </row>
    <row r="845" spans="1:3">
      <c r="A845" s="125">
        <v>99321</v>
      </c>
      <c r="B845" s="125" t="s">
        <v>2230</v>
      </c>
      <c r="C845" s="126">
        <v>98498.340000000011</v>
      </c>
    </row>
    <row r="846" spans="1:3">
      <c r="A846" s="125">
        <v>99401</v>
      </c>
      <c r="B846" s="125" t="s">
        <v>2231</v>
      </c>
      <c r="C846" s="126">
        <v>414565.11</v>
      </c>
    </row>
    <row r="847" spans="1:3">
      <c r="A847" s="125">
        <v>99404</v>
      </c>
      <c r="B847" s="125" t="s">
        <v>2232</v>
      </c>
      <c r="C847" s="126">
        <v>5392.6400000000012</v>
      </c>
    </row>
    <row r="848" spans="1:3">
      <c r="A848" s="125">
        <v>99405</v>
      </c>
      <c r="B848" s="125" t="s">
        <v>2233</v>
      </c>
      <c r="C848" s="126">
        <v>37797.960000000006</v>
      </c>
    </row>
    <row r="849" spans="1:3">
      <c r="A849" s="125">
        <v>99411</v>
      </c>
      <c r="B849" s="125" t="s">
        <v>2234</v>
      </c>
      <c r="C849" s="126">
        <v>75832.59</v>
      </c>
    </row>
    <row r="850" spans="1:3">
      <c r="A850" s="125">
        <v>99413</v>
      </c>
      <c r="B850" s="125" t="s">
        <v>2235</v>
      </c>
      <c r="C850" s="126">
        <v>18530.430000000004</v>
      </c>
    </row>
    <row r="851" spans="1:3">
      <c r="A851" s="125">
        <v>99421</v>
      </c>
      <c r="B851" s="125" t="s">
        <v>2236</v>
      </c>
      <c r="C851" s="126">
        <v>6211.08</v>
      </c>
    </row>
    <row r="852" spans="1:3">
      <c r="A852" s="125">
        <v>99431</v>
      </c>
      <c r="B852" s="125" t="s">
        <v>2237</v>
      </c>
      <c r="C852" s="126">
        <v>7581.2800000000007</v>
      </c>
    </row>
    <row r="853" spans="1:3">
      <c r="A853" s="125">
        <v>99501</v>
      </c>
      <c r="B853" s="125" t="s">
        <v>2238</v>
      </c>
      <c r="C853" s="126">
        <v>794395.29</v>
      </c>
    </row>
    <row r="854" spans="1:3">
      <c r="A854" s="125">
        <v>99502</v>
      </c>
      <c r="B854" s="125" t="s">
        <v>2239</v>
      </c>
      <c r="C854" s="126">
        <v>65830.87999999999</v>
      </c>
    </row>
    <row r="855" spans="1:3">
      <c r="A855" s="125">
        <v>99508</v>
      </c>
      <c r="B855" s="125" t="s">
        <v>2240</v>
      </c>
      <c r="C855" s="126">
        <v>9857.3000000000011</v>
      </c>
    </row>
    <row r="856" spans="1:3">
      <c r="A856" s="125">
        <v>99509</v>
      </c>
      <c r="B856" s="125" t="s">
        <v>2241</v>
      </c>
      <c r="C856" s="126">
        <v>11410.270000000002</v>
      </c>
    </row>
    <row r="857" spans="1:3">
      <c r="A857" s="125">
        <v>99511</v>
      </c>
      <c r="B857" s="125" t="s">
        <v>2242</v>
      </c>
      <c r="C857" s="126">
        <v>579707.17999999993</v>
      </c>
    </row>
    <row r="858" spans="1:3">
      <c r="A858" s="125">
        <v>99521</v>
      </c>
      <c r="B858" s="125" t="s">
        <v>2243</v>
      </c>
      <c r="C858" s="126">
        <v>176535.9</v>
      </c>
    </row>
    <row r="859" spans="1:3">
      <c r="A859" s="125">
        <v>99527</v>
      </c>
      <c r="B859" s="125" t="s">
        <v>2244</v>
      </c>
      <c r="C859" s="126">
        <v>5941.3</v>
      </c>
    </row>
    <row r="860" spans="1:3">
      <c r="A860" s="125">
        <v>99531</v>
      </c>
      <c r="B860" s="125" t="s">
        <v>2245</v>
      </c>
      <c r="C860" s="126">
        <v>72389.700000000012</v>
      </c>
    </row>
    <row r="861" spans="1:3">
      <c r="A861" s="125">
        <v>99601</v>
      </c>
      <c r="B861" s="125" t="s">
        <v>2246</v>
      </c>
      <c r="C861" s="126">
        <v>2548953.7600000002</v>
      </c>
    </row>
    <row r="862" spans="1:3">
      <c r="A862" s="125">
        <v>99602</v>
      </c>
      <c r="B862" s="125" t="s">
        <v>2247</v>
      </c>
      <c r="C862" s="126">
        <v>28151.17</v>
      </c>
    </row>
    <row r="863" spans="1:3">
      <c r="A863" s="125">
        <v>99603</v>
      </c>
      <c r="B863" s="125" t="s">
        <v>2248</v>
      </c>
      <c r="C863" s="126">
        <v>87236.890000000014</v>
      </c>
    </row>
    <row r="864" spans="1:3">
      <c r="A864" s="125">
        <v>99604</v>
      </c>
      <c r="B864" s="125" t="s">
        <v>2249</v>
      </c>
      <c r="C864" s="126">
        <v>52378.14</v>
      </c>
    </row>
    <row r="865" spans="1:3">
      <c r="A865" s="125">
        <v>99609</v>
      </c>
      <c r="B865" s="125" t="s">
        <v>2250</v>
      </c>
      <c r="C865" s="126">
        <v>9934.65</v>
      </c>
    </row>
    <row r="866" spans="1:3">
      <c r="A866" s="125">
        <v>99610</v>
      </c>
      <c r="B866" s="125" t="s">
        <v>2251</v>
      </c>
      <c r="C866" s="126">
        <v>85099.670000000013</v>
      </c>
    </row>
    <row r="867" spans="1:3">
      <c r="A867" s="125">
        <v>99611</v>
      </c>
      <c r="B867" s="125" t="s">
        <v>2252</v>
      </c>
      <c r="C867" s="126">
        <v>1474036.82</v>
      </c>
    </row>
    <row r="868" spans="1:3">
      <c r="A868" s="125">
        <v>99613</v>
      </c>
      <c r="B868" s="125" t="s">
        <v>2253</v>
      </c>
      <c r="C868" s="126">
        <v>310914.55000000005</v>
      </c>
    </row>
    <row r="869" spans="1:3">
      <c r="A869" s="125">
        <v>99621</v>
      </c>
      <c r="B869" s="125" t="s">
        <v>2254</v>
      </c>
      <c r="C869" s="126">
        <v>166447.64000000001</v>
      </c>
    </row>
    <row r="870" spans="1:3">
      <c r="A870" s="125">
        <v>99623</v>
      </c>
      <c r="B870" s="125" t="s">
        <v>2255</v>
      </c>
      <c r="C870" s="126">
        <v>11102.830000000002</v>
      </c>
    </row>
    <row r="871" spans="1:3">
      <c r="A871" s="125">
        <v>99631</v>
      </c>
      <c r="B871" s="125" t="s">
        <v>2256</v>
      </c>
      <c r="C871" s="126">
        <v>46230.900000000009</v>
      </c>
    </row>
    <row r="872" spans="1:3">
      <c r="A872" s="125">
        <v>99651</v>
      </c>
      <c r="B872" s="125" t="s">
        <v>2257</v>
      </c>
      <c r="C872" s="126">
        <v>30231.079999999998</v>
      </c>
    </row>
    <row r="873" spans="1:3">
      <c r="A873" s="125">
        <v>99661</v>
      </c>
      <c r="B873" s="125" t="s">
        <v>2258</v>
      </c>
      <c r="C873" s="126">
        <v>34513.29</v>
      </c>
    </row>
    <row r="874" spans="1:3">
      <c r="A874" s="125">
        <v>99701</v>
      </c>
      <c r="B874" s="125" t="s">
        <v>2259</v>
      </c>
      <c r="C874" s="126">
        <v>1295370.6500000001</v>
      </c>
    </row>
    <row r="875" spans="1:3">
      <c r="A875" s="125">
        <v>99705</v>
      </c>
      <c r="B875" s="125" t="s">
        <v>2260</v>
      </c>
      <c r="C875" s="126">
        <v>85450.72</v>
      </c>
    </row>
    <row r="876" spans="1:3">
      <c r="A876" s="125">
        <v>99711</v>
      </c>
      <c r="B876" s="125" t="s">
        <v>2261</v>
      </c>
      <c r="C876" s="126">
        <v>209493.55</v>
      </c>
    </row>
    <row r="877" spans="1:3">
      <c r="A877" s="125">
        <v>99717</v>
      </c>
      <c r="B877" s="125" t="s">
        <v>2262</v>
      </c>
      <c r="C877" s="126">
        <v>8060.3599999999979</v>
      </c>
    </row>
    <row r="878" spans="1:3">
      <c r="A878" s="125">
        <v>99721</v>
      </c>
      <c r="B878" s="125" t="s">
        <v>2263</v>
      </c>
      <c r="C878" s="126">
        <v>252724.99000000002</v>
      </c>
    </row>
    <row r="879" spans="1:3">
      <c r="A879" s="125">
        <v>99727</v>
      </c>
      <c r="B879" s="125" t="s">
        <v>2264</v>
      </c>
      <c r="C879" s="126">
        <v>46314.63</v>
      </c>
    </row>
    <row r="880" spans="1:3">
      <c r="A880" s="125">
        <v>99801</v>
      </c>
      <c r="B880" s="125" t="s">
        <v>2265</v>
      </c>
      <c r="C880" s="126">
        <v>2259452.0700000003</v>
      </c>
    </row>
    <row r="881" spans="1:3">
      <c r="A881" s="125">
        <v>99802</v>
      </c>
      <c r="B881" s="125" t="s">
        <v>2266</v>
      </c>
      <c r="C881" s="126">
        <v>4580.8500000000013</v>
      </c>
    </row>
    <row r="882" spans="1:3">
      <c r="A882" s="125">
        <v>99804</v>
      </c>
      <c r="B882" s="125" t="s">
        <v>2267</v>
      </c>
      <c r="C882" s="126">
        <v>46756.41</v>
      </c>
    </row>
    <row r="883" spans="1:3">
      <c r="A883" s="125">
        <v>99811</v>
      </c>
      <c r="B883" s="125" t="s">
        <v>2268</v>
      </c>
      <c r="C883" s="126">
        <v>2884355.86</v>
      </c>
    </row>
    <row r="884" spans="1:3">
      <c r="A884" s="125">
        <v>99812</v>
      </c>
      <c r="B884" s="125" t="s">
        <v>2269</v>
      </c>
      <c r="C884" s="126">
        <v>20069.04</v>
      </c>
    </row>
    <row r="885" spans="1:3">
      <c r="A885" s="125">
        <v>99818</v>
      </c>
      <c r="B885" s="125" t="s">
        <v>2270</v>
      </c>
      <c r="C885" s="126">
        <v>14369.52</v>
      </c>
    </row>
    <row r="886" spans="1:3">
      <c r="A886" s="125">
        <v>99821</v>
      </c>
      <c r="B886" s="125" t="s">
        <v>2271</v>
      </c>
      <c r="C886" s="126">
        <v>48801.23</v>
      </c>
    </row>
    <row r="887" spans="1:3">
      <c r="A887" s="125">
        <v>99831</v>
      </c>
      <c r="B887" s="125" t="s">
        <v>2272</v>
      </c>
      <c r="C887" s="126">
        <v>28273.86</v>
      </c>
    </row>
    <row r="888" spans="1:3">
      <c r="A888" s="125">
        <v>99841</v>
      </c>
      <c r="B888" s="125" t="s">
        <v>2273</v>
      </c>
      <c r="C888" s="126">
        <v>19337.829999999998</v>
      </c>
    </row>
    <row r="889" spans="1:3">
      <c r="A889" s="125">
        <v>99851</v>
      </c>
      <c r="B889" s="125" t="s">
        <v>2274</v>
      </c>
      <c r="C889" s="126">
        <v>7302.38</v>
      </c>
    </row>
    <row r="890" spans="1:3">
      <c r="A890" s="125">
        <v>99901</v>
      </c>
      <c r="B890" s="125" t="s">
        <v>2275</v>
      </c>
      <c r="C890" s="126">
        <v>760400.05</v>
      </c>
    </row>
    <row r="891" spans="1:3">
      <c r="A891" s="125">
        <v>99911</v>
      </c>
      <c r="B891" s="125" t="s">
        <v>2276</v>
      </c>
      <c r="C891" s="126">
        <v>122065.53</v>
      </c>
    </row>
    <row r="892" spans="1:3">
      <c r="A892" s="125">
        <v>99921</v>
      </c>
      <c r="B892" s="125" t="s">
        <v>2277</v>
      </c>
      <c r="C892" s="126">
        <v>65164.7</v>
      </c>
    </row>
    <row r="893" spans="1:3">
      <c r="A893" s="125">
        <v>99931</v>
      </c>
      <c r="B893" s="125" t="s">
        <v>2278</v>
      </c>
      <c r="C893" s="126">
        <v>8881.11</v>
      </c>
    </row>
    <row r="894" spans="1:3">
      <c r="A894" s="125">
        <v>99941</v>
      </c>
      <c r="B894" s="125" t="s">
        <v>2279</v>
      </c>
      <c r="C894" s="126">
        <v>32663.02</v>
      </c>
    </row>
    <row r="895" spans="1:3">
      <c r="A895" s="125">
        <v>99991</v>
      </c>
      <c r="B895" s="125" t="s">
        <v>2280</v>
      </c>
      <c r="C895" s="126">
        <v>239781.13999999998</v>
      </c>
    </row>
    <row r="896" spans="1:3">
      <c r="A896" s="125">
        <v>99999</v>
      </c>
      <c r="B896" s="125" t="s">
        <v>2281</v>
      </c>
      <c r="C896" s="126">
        <v>509175.93000000005</v>
      </c>
    </row>
    <row r="897" spans="1:3" ht="15.75" thickBot="1">
      <c r="A897" s="125" t="s">
        <v>2337</v>
      </c>
      <c r="C897" s="127">
        <f>SUM(C3:C896)</f>
        <v>459089443.14000028</v>
      </c>
    </row>
    <row r="898" spans="1:3" ht="15.75" thickTop="1"/>
    <row r="2339" spans="1:1">
      <c r="A2339" s="128"/>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11"/>
  <sheetViews>
    <sheetView zoomScaleNormal="100" workbookViewId="0">
      <selection activeCell="Q27" sqref="Q27"/>
    </sheetView>
  </sheetViews>
  <sheetFormatPr defaultRowHeight="15"/>
  <cols>
    <col min="1" max="1" width="15.28515625" style="4" customWidth="1"/>
    <col min="2" max="2" width="55.5703125" style="4" bestFit="1" customWidth="1"/>
    <col min="3" max="3" width="13.85546875" style="4" customWidth="1"/>
    <col min="4" max="4" width="4.140625" style="4" customWidth="1"/>
    <col min="5" max="9" width="19.28515625" style="4" customWidth="1"/>
    <col min="10" max="10" width="4.140625" style="4" customWidth="1"/>
    <col min="11" max="15" width="19.28515625" style="4" customWidth="1"/>
    <col min="16" max="16" width="4.140625" style="4" customWidth="1"/>
    <col min="17" max="21" width="19.28515625" style="4" customWidth="1"/>
    <col min="22" max="22" width="4.140625" style="4" customWidth="1"/>
    <col min="23" max="27" width="19.28515625" style="4" customWidth="1"/>
    <col min="28" max="28" width="4.140625" style="4" customWidth="1"/>
    <col min="29" max="33" width="19.28515625" style="4" customWidth="1"/>
    <col min="34" max="34" width="4.140625" style="4" customWidth="1"/>
    <col min="35" max="39" width="19.28515625" style="4" customWidth="1"/>
    <col min="40" max="16384" width="9.140625" style="4"/>
  </cols>
  <sheetData>
    <row r="1" spans="1:39">
      <c r="A1" s="4" t="s">
        <v>2631</v>
      </c>
    </row>
    <row r="3" spans="1:39" s="52" customFormat="1">
      <c r="E3" s="8">
        <v>2018</v>
      </c>
      <c r="F3" s="8">
        <v>2019</v>
      </c>
      <c r="G3" s="8">
        <v>2020</v>
      </c>
      <c r="H3" s="8">
        <v>2021</v>
      </c>
      <c r="I3" s="8">
        <v>2022</v>
      </c>
      <c r="K3" s="8">
        <v>2018</v>
      </c>
      <c r="L3" s="8">
        <v>2019</v>
      </c>
      <c r="M3" s="8">
        <v>2020</v>
      </c>
      <c r="N3" s="8">
        <v>2021</v>
      </c>
      <c r="O3" s="8">
        <v>2022</v>
      </c>
      <c r="Q3" s="8">
        <v>2018</v>
      </c>
      <c r="R3" s="8">
        <v>2019</v>
      </c>
      <c r="S3" s="8">
        <v>2020</v>
      </c>
      <c r="T3" s="8">
        <v>2021</v>
      </c>
      <c r="U3" s="8">
        <v>2022</v>
      </c>
      <c r="W3" s="8">
        <v>2018</v>
      </c>
      <c r="X3" s="8">
        <v>2019</v>
      </c>
      <c r="Y3" s="8">
        <v>2020</v>
      </c>
      <c r="Z3" s="8">
        <v>2021</v>
      </c>
      <c r="AA3" s="8">
        <v>2022</v>
      </c>
      <c r="AC3" s="8">
        <v>2018</v>
      </c>
      <c r="AD3" s="8">
        <v>2019</v>
      </c>
      <c r="AE3" s="8">
        <v>2020</v>
      </c>
      <c r="AF3" s="8">
        <v>2021</v>
      </c>
      <c r="AG3" s="8">
        <v>2022</v>
      </c>
      <c r="AI3" s="8">
        <v>2018</v>
      </c>
      <c r="AJ3" s="8">
        <v>2019</v>
      </c>
      <c r="AK3" s="8">
        <v>2020</v>
      </c>
      <c r="AL3" s="8">
        <v>2021</v>
      </c>
      <c r="AM3" s="8">
        <v>2022</v>
      </c>
    </row>
    <row r="4" spans="1:39" ht="90">
      <c r="A4" s="8" t="s">
        <v>0</v>
      </c>
      <c r="B4" s="8" t="s">
        <v>1</v>
      </c>
      <c r="C4" s="8" t="s">
        <v>927</v>
      </c>
      <c r="E4" s="8" t="s">
        <v>1366</v>
      </c>
      <c r="F4" s="8" t="s">
        <v>1366</v>
      </c>
      <c r="G4" s="8" t="s">
        <v>1366</v>
      </c>
      <c r="H4" s="8" t="s">
        <v>1366</v>
      </c>
      <c r="I4" s="8" t="s">
        <v>1366</v>
      </c>
      <c r="K4" s="8" t="s">
        <v>6</v>
      </c>
      <c r="L4" s="8" t="s">
        <v>6</v>
      </c>
      <c r="M4" s="8" t="s">
        <v>6</v>
      </c>
      <c r="N4" s="8" t="s">
        <v>6</v>
      </c>
      <c r="O4" s="8" t="s">
        <v>6</v>
      </c>
      <c r="Q4" s="8" t="s">
        <v>7</v>
      </c>
      <c r="R4" s="8" t="s">
        <v>7</v>
      </c>
      <c r="S4" s="8" t="s">
        <v>7</v>
      </c>
      <c r="T4" s="8" t="s">
        <v>7</v>
      </c>
      <c r="U4" s="8" t="s">
        <v>7</v>
      </c>
      <c r="W4" s="8" t="s">
        <v>8</v>
      </c>
      <c r="X4" s="8" t="s">
        <v>8</v>
      </c>
      <c r="Y4" s="8" t="s">
        <v>8</v>
      </c>
      <c r="Z4" s="8" t="s">
        <v>8</v>
      </c>
      <c r="AA4" s="8" t="s">
        <v>8</v>
      </c>
      <c r="AC4" s="8" t="s">
        <v>1367</v>
      </c>
      <c r="AD4" s="8" t="s">
        <v>1367</v>
      </c>
      <c r="AE4" s="8" t="s">
        <v>1367</v>
      </c>
      <c r="AF4" s="8" t="s">
        <v>1367</v>
      </c>
      <c r="AG4" s="8" t="s">
        <v>1367</v>
      </c>
      <c r="AI4" s="8" t="s">
        <v>1368</v>
      </c>
      <c r="AJ4" s="8" t="s">
        <v>1368</v>
      </c>
      <c r="AK4" s="8" t="s">
        <v>1368</v>
      </c>
      <c r="AL4" s="8" t="s">
        <v>1368</v>
      </c>
      <c r="AM4" s="8" t="s">
        <v>1368</v>
      </c>
    </row>
    <row r="5" spans="1:39">
      <c r="A5" s="170" t="s">
        <v>1356</v>
      </c>
      <c r="B5" s="170" t="s">
        <v>1355</v>
      </c>
      <c r="C5" s="60">
        <v>0</v>
      </c>
      <c r="E5" s="62">
        <v>0</v>
      </c>
      <c r="F5" s="62">
        <v>0</v>
      </c>
      <c r="G5" s="62">
        <v>0</v>
      </c>
      <c r="H5" s="62">
        <v>0</v>
      </c>
      <c r="I5" s="62">
        <v>0</v>
      </c>
      <c r="K5" s="62">
        <v>0</v>
      </c>
      <c r="L5" s="62">
        <v>0</v>
      </c>
      <c r="M5" s="62">
        <v>0</v>
      </c>
      <c r="N5" s="62">
        <v>0</v>
      </c>
      <c r="O5" s="62">
        <v>0</v>
      </c>
      <c r="Q5" s="62">
        <v>0</v>
      </c>
      <c r="R5" s="62">
        <v>0</v>
      </c>
      <c r="S5" s="62">
        <v>0</v>
      </c>
      <c r="T5" s="62">
        <v>0</v>
      </c>
      <c r="U5" s="62">
        <v>0</v>
      </c>
      <c r="W5" s="62">
        <v>0</v>
      </c>
      <c r="X5" s="62">
        <v>0</v>
      </c>
      <c r="Y5" s="62">
        <v>0</v>
      </c>
      <c r="Z5" s="62">
        <v>0</v>
      </c>
      <c r="AA5" s="62">
        <v>0</v>
      </c>
      <c r="AC5" s="62">
        <v>0</v>
      </c>
      <c r="AD5" s="62">
        <v>0</v>
      </c>
      <c r="AE5" s="62">
        <v>0</v>
      </c>
      <c r="AF5" s="62">
        <v>0</v>
      </c>
      <c r="AG5" s="62">
        <v>0</v>
      </c>
      <c r="AI5" s="62">
        <v>0</v>
      </c>
      <c r="AJ5" s="62">
        <v>0</v>
      </c>
      <c r="AK5" s="62">
        <v>0</v>
      </c>
      <c r="AL5" s="62">
        <v>0</v>
      </c>
      <c r="AM5" s="62">
        <v>0</v>
      </c>
    </row>
    <row r="6" spans="1:39">
      <c r="A6" s="9">
        <v>70505</v>
      </c>
      <c r="B6" s="10" t="s">
        <v>1391</v>
      </c>
      <c r="C6" s="60">
        <v>4.147E-4</v>
      </c>
      <c r="E6" s="62">
        <v>15487.879642753589</v>
      </c>
      <c r="F6" s="62">
        <v>169723.911939932</v>
      </c>
      <c r="G6" s="62">
        <v>79390.633247242775</v>
      </c>
      <c r="H6" s="62">
        <v>-55204.634140000024</v>
      </c>
      <c r="I6" s="62">
        <v>0</v>
      </c>
      <c r="J6" s="62"/>
      <c r="K6" s="62">
        <v>-2495.2498999999998</v>
      </c>
      <c r="L6" s="62">
        <v>5252.5901999999996</v>
      </c>
      <c r="M6" s="62">
        <v>9746.2793999999994</v>
      </c>
      <c r="N6" s="62">
        <v>6060.8405000000002</v>
      </c>
      <c r="O6" s="62">
        <v>0</v>
      </c>
      <c r="P6" s="62"/>
      <c r="Q6" s="62">
        <v>9129.6204999999991</v>
      </c>
      <c r="R6" s="62">
        <v>151465.02799999999</v>
      </c>
      <c r="S6" s="62">
        <v>57959.301399999997</v>
      </c>
      <c r="T6" s="62">
        <v>-64728.034800000001</v>
      </c>
      <c r="U6" s="62">
        <v>0</v>
      </c>
      <c r="V6" s="62"/>
      <c r="W6" s="62">
        <v>27070.371899999998</v>
      </c>
      <c r="X6" s="62">
        <v>27070.371899999998</v>
      </c>
      <c r="Y6" s="62">
        <v>24884.4882</v>
      </c>
      <c r="Z6" s="62">
        <v>11454.013999999999</v>
      </c>
      <c r="AA6" s="62">
        <v>0</v>
      </c>
      <c r="AB6" s="62"/>
      <c r="AC6" s="62">
        <v>0</v>
      </c>
      <c r="AD6" s="62">
        <v>0</v>
      </c>
      <c r="AE6" s="62">
        <v>0</v>
      </c>
      <c r="AF6" s="62">
        <v>0</v>
      </c>
      <c r="AG6" s="62">
        <v>0</v>
      </c>
      <c r="AH6" s="62"/>
      <c r="AI6" s="62">
        <v>-18216.862857246411</v>
      </c>
      <c r="AJ6" s="62">
        <v>-14064.078160067986</v>
      </c>
      <c r="AK6" s="62">
        <v>-13199.435752757221</v>
      </c>
      <c r="AL6" s="62">
        <v>-7991.4538400000201</v>
      </c>
      <c r="AM6" s="62">
        <v>0</v>
      </c>
    </row>
    <row r="7" spans="1:39">
      <c r="A7" s="9">
        <v>71786</v>
      </c>
      <c r="B7" s="10" t="s">
        <v>2155</v>
      </c>
      <c r="C7" s="60">
        <v>1.0200000000000001E-5</v>
      </c>
      <c r="E7" s="62">
        <v>-6618.9658767522169</v>
      </c>
      <c r="F7" s="62">
        <v>-1697.1406097812624</v>
      </c>
      <c r="G7" s="62">
        <v>-3438.7303145679039</v>
      </c>
      <c r="H7" s="62">
        <v>-6284.1722800000043</v>
      </c>
      <c r="I7" s="62">
        <v>0</v>
      </c>
      <c r="J7" s="62"/>
      <c r="K7" s="62">
        <v>-61.373400000000004</v>
      </c>
      <c r="L7" s="62">
        <v>129.19320000000002</v>
      </c>
      <c r="M7" s="62">
        <v>239.72040000000001</v>
      </c>
      <c r="N7" s="62">
        <v>149.07300000000001</v>
      </c>
      <c r="O7" s="62">
        <v>0</v>
      </c>
      <c r="P7" s="62"/>
      <c r="Q7" s="62">
        <v>224.55300000000003</v>
      </c>
      <c r="R7" s="62">
        <v>3725.4480000000003</v>
      </c>
      <c r="S7" s="62">
        <v>1425.5724</v>
      </c>
      <c r="T7" s="62">
        <v>-1592.0568000000001</v>
      </c>
      <c r="U7" s="62">
        <v>0</v>
      </c>
      <c r="V7" s="62"/>
      <c r="W7" s="62">
        <v>665.82540000000006</v>
      </c>
      <c r="X7" s="62">
        <v>665.82540000000006</v>
      </c>
      <c r="Y7" s="62">
        <v>612.06119999999999</v>
      </c>
      <c r="Z7" s="62">
        <v>281.72399999999999</v>
      </c>
      <c r="AA7" s="62">
        <v>0</v>
      </c>
      <c r="AB7" s="62"/>
      <c r="AC7" s="62">
        <v>0</v>
      </c>
      <c r="AD7" s="62">
        <v>0</v>
      </c>
      <c r="AE7" s="62">
        <v>0</v>
      </c>
      <c r="AF7" s="62">
        <v>0</v>
      </c>
      <c r="AG7" s="62">
        <v>0</v>
      </c>
      <c r="AH7" s="62"/>
      <c r="AI7" s="62">
        <v>-7447.970876752217</v>
      </c>
      <c r="AJ7" s="62">
        <v>-6217.607209781263</v>
      </c>
      <c r="AK7" s="62">
        <v>-5716.0843145679037</v>
      </c>
      <c r="AL7" s="62">
        <v>-5122.9124800000045</v>
      </c>
      <c r="AM7" s="62">
        <v>0</v>
      </c>
    </row>
    <row r="8" spans="1:39">
      <c r="A8" s="9">
        <v>72265</v>
      </c>
      <c r="B8" s="10" t="s">
        <v>1392</v>
      </c>
      <c r="C8" s="60">
        <v>1.4009999999999999E-4</v>
      </c>
      <c r="E8" s="62">
        <v>14381.283221245832</v>
      </c>
      <c r="F8" s="62">
        <v>61510.986904399353</v>
      </c>
      <c r="G8" s="62">
        <v>30945.197900493818</v>
      </c>
      <c r="H8" s="62">
        <v>-15209.940260000003</v>
      </c>
      <c r="I8" s="62">
        <v>0</v>
      </c>
      <c r="J8" s="62"/>
      <c r="K8" s="62">
        <v>-842.98169999999993</v>
      </c>
      <c r="L8" s="62">
        <v>1774.5065999999999</v>
      </c>
      <c r="M8" s="62">
        <v>3292.6301999999996</v>
      </c>
      <c r="N8" s="62">
        <v>2047.5614999999998</v>
      </c>
      <c r="O8" s="62">
        <v>0</v>
      </c>
      <c r="P8" s="62"/>
      <c r="Q8" s="62">
        <v>3084.3014999999996</v>
      </c>
      <c r="R8" s="62">
        <v>51170.123999999996</v>
      </c>
      <c r="S8" s="62">
        <v>19580.656199999998</v>
      </c>
      <c r="T8" s="62">
        <v>-21867.368399999999</v>
      </c>
      <c r="U8" s="62">
        <v>0</v>
      </c>
      <c r="V8" s="62"/>
      <c r="W8" s="62">
        <v>9145.3076999999994</v>
      </c>
      <c r="X8" s="62">
        <v>9145.3076999999994</v>
      </c>
      <c r="Y8" s="62">
        <v>8406.8405999999995</v>
      </c>
      <c r="Z8" s="62">
        <v>3869.5619999999999</v>
      </c>
      <c r="AA8" s="62">
        <v>0</v>
      </c>
      <c r="AB8" s="62"/>
      <c r="AC8" s="62">
        <v>4329.0546399999976</v>
      </c>
      <c r="AD8" s="62">
        <v>740.30463999999631</v>
      </c>
      <c r="AE8" s="62">
        <v>740.30463999999631</v>
      </c>
      <c r="AF8" s="62">
        <v>740.30463999999631</v>
      </c>
      <c r="AG8" s="62">
        <v>0</v>
      </c>
      <c r="AH8" s="62"/>
      <c r="AI8" s="62">
        <v>-1334.3989187541654</v>
      </c>
      <c r="AJ8" s="62">
        <v>-1319.2560356006379</v>
      </c>
      <c r="AK8" s="62">
        <v>-1075.2337395061732</v>
      </c>
      <c r="AL8" s="62">
        <v>0</v>
      </c>
      <c r="AM8" s="62">
        <v>0</v>
      </c>
    </row>
    <row r="9" spans="1:39">
      <c r="A9" s="9">
        <v>72593</v>
      </c>
      <c r="B9" s="10" t="s">
        <v>1393</v>
      </c>
      <c r="C9" s="60">
        <v>5.9000000000000003E-6</v>
      </c>
      <c r="E9" s="62">
        <v>1232.8985000000011</v>
      </c>
      <c r="F9" s="62">
        <v>3368.1557000000016</v>
      </c>
      <c r="G9" s="62">
        <v>2070.6690000000012</v>
      </c>
      <c r="H9" s="62">
        <v>81.666900000001078</v>
      </c>
      <c r="I9" s="62">
        <v>0</v>
      </c>
      <c r="J9" s="62"/>
      <c r="K9" s="62">
        <v>-35.500300000000003</v>
      </c>
      <c r="L9" s="62">
        <v>74.729399999999998</v>
      </c>
      <c r="M9" s="62">
        <v>138.6618</v>
      </c>
      <c r="N9" s="62">
        <v>86.228499999999997</v>
      </c>
      <c r="O9" s="62">
        <v>0</v>
      </c>
      <c r="P9" s="62"/>
      <c r="Q9" s="62">
        <v>129.88849999999999</v>
      </c>
      <c r="R9" s="62">
        <v>2154.9160000000002</v>
      </c>
      <c r="S9" s="62">
        <v>824.59580000000005</v>
      </c>
      <c r="T9" s="62">
        <v>-920.89560000000006</v>
      </c>
      <c r="U9" s="62">
        <v>0</v>
      </c>
      <c r="V9" s="62"/>
      <c r="W9" s="62">
        <v>385.1343</v>
      </c>
      <c r="X9" s="62">
        <v>385.1343</v>
      </c>
      <c r="Y9" s="62">
        <v>354.03540000000004</v>
      </c>
      <c r="Z9" s="62">
        <v>162.958</v>
      </c>
      <c r="AA9" s="62">
        <v>0</v>
      </c>
      <c r="AB9" s="62"/>
      <c r="AC9" s="62">
        <v>753.37600000000123</v>
      </c>
      <c r="AD9" s="62">
        <v>753.37600000000123</v>
      </c>
      <c r="AE9" s="62">
        <v>753.37600000000123</v>
      </c>
      <c r="AF9" s="62">
        <v>753.37600000000123</v>
      </c>
      <c r="AG9" s="62">
        <v>0</v>
      </c>
      <c r="AH9" s="62"/>
      <c r="AI9" s="62">
        <v>0</v>
      </c>
      <c r="AJ9" s="62">
        <v>0</v>
      </c>
      <c r="AK9" s="62">
        <v>0</v>
      </c>
      <c r="AL9" s="62">
        <v>0</v>
      </c>
      <c r="AM9" s="62">
        <v>0</v>
      </c>
    </row>
    <row r="10" spans="1:39">
      <c r="A10" s="9">
        <v>72657</v>
      </c>
      <c r="B10" s="10" t="s">
        <v>1394</v>
      </c>
      <c r="C10" s="60">
        <v>3.9900000000000001E-5</v>
      </c>
      <c r="E10" s="62">
        <v>4109.6997928381434</v>
      </c>
      <c r="F10" s="62">
        <v>15529.575433668018</v>
      </c>
      <c r="G10" s="62">
        <v>7927.0399879835413</v>
      </c>
      <c r="H10" s="62">
        <v>-5368.1261399999985</v>
      </c>
      <c r="I10" s="62">
        <v>0</v>
      </c>
      <c r="J10" s="62"/>
      <c r="K10" s="62">
        <v>-240.07830000000001</v>
      </c>
      <c r="L10" s="62">
        <v>505.3734</v>
      </c>
      <c r="M10" s="62">
        <v>937.72980000000007</v>
      </c>
      <c r="N10" s="62">
        <v>583.13850000000002</v>
      </c>
      <c r="O10" s="62">
        <v>0</v>
      </c>
      <c r="P10" s="62"/>
      <c r="Q10" s="62">
        <v>878.39850000000001</v>
      </c>
      <c r="R10" s="62">
        <v>14573.076000000001</v>
      </c>
      <c r="S10" s="62">
        <v>5576.5038000000004</v>
      </c>
      <c r="T10" s="62">
        <v>-6227.7516000000005</v>
      </c>
      <c r="U10" s="62">
        <v>0</v>
      </c>
      <c r="V10" s="62"/>
      <c r="W10" s="62">
        <v>2604.5522999999998</v>
      </c>
      <c r="X10" s="62">
        <v>2604.5522999999998</v>
      </c>
      <c r="Y10" s="62">
        <v>2394.2393999999999</v>
      </c>
      <c r="Z10" s="62">
        <v>1102.038</v>
      </c>
      <c r="AA10" s="62">
        <v>0</v>
      </c>
      <c r="AB10" s="62"/>
      <c r="AC10" s="62">
        <v>3271.9500000000007</v>
      </c>
      <c r="AD10" s="62">
        <v>0</v>
      </c>
      <c r="AE10" s="62">
        <v>0</v>
      </c>
      <c r="AF10" s="62">
        <v>0</v>
      </c>
      <c r="AG10" s="62">
        <v>0</v>
      </c>
      <c r="AH10" s="62"/>
      <c r="AI10" s="62">
        <v>-2405.1227071618569</v>
      </c>
      <c r="AJ10" s="62">
        <v>-2153.4262663319819</v>
      </c>
      <c r="AK10" s="62">
        <v>-981.43301201645875</v>
      </c>
      <c r="AL10" s="62">
        <v>-825.55103999999847</v>
      </c>
      <c r="AM10" s="62">
        <v>0</v>
      </c>
    </row>
    <row r="11" spans="1:39">
      <c r="A11" s="9">
        <v>90001</v>
      </c>
      <c r="B11" s="10" t="s">
        <v>1395</v>
      </c>
      <c r="C11" s="60">
        <v>8.6030000000000004E-4</v>
      </c>
      <c r="E11" s="62">
        <v>70789.964079044134</v>
      </c>
      <c r="F11" s="62">
        <v>380229.98830974958</v>
      </c>
      <c r="G11" s="62">
        <v>191883.17667925925</v>
      </c>
      <c r="H11" s="62">
        <v>-101078.86758000003</v>
      </c>
      <c r="I11" s="62">
        <v>0</v>
      </c>
      <c r="J11" s="62"/>
      <c r="K11" s="62">
        <v>-5176.4251000000004</v>
      </c>
      <c r="L11" s="62">
        <v>10896.559800000001</v>
      </c>
      <c r="M11" s="62">
        <v>20218.7706</v>
      </c>
      <c r="N11" s="62">
        <v>12573.2845</v>
      </c>
      <c r="O11" s="62">
        <v>0</v>
      </c>
      <c r="P11" s="62"/>
      <c r="Q11" s="62">
        <v>18939.504499999999</v>
      </c>
      <c r="R11" s="62">
        <v>314215.97200000001</v>
      </c>
      <c r="S11" s="62">
        <v>120237.24860000001</v>
      </c>
      <c r="T11" s="62">
        <v>-134279.06520000001</v>
      </c>
      <c r="U11" s="62">
        <v>0</v>
      </c>
      <c r="V11" s="62"/>
      <c r="W11" s="62">
        <v>56157.803100000005</v>
      </c>
      <c r="X11" s="62">
        <v>56157.803100000005</v>
      </c>
      <c r="Y11" s="62">
        <v>51623.161800000002</v>
      </c>
      <c r="Z11" s="62">
        <v>23761.486000000001</v>
      </c>
      <c r="AA11" s="62">
        <v>0</v>
      </c>
      <c r="AB11" s="62"/>
      <c r="AC11" s="62">
        <v>5616.720185185206</v>
      </c>
      <c r="AD11" s="62">
        <v>3416.9401851852053</v>
      </c>
      <c r="AE11" s="62">
        <v>2938.5685592592777</v>
      </c>
      <c r="AF11" s="62">
        <v>0</v>
      </c>
      <c r="AG11" s="62">
        <v>0</v>
      </c>
      <c r="AH11" s="62"/>
      <c r="AI11" s="62">
        <v>-4747.6386061410713</v>
      </c>
      <c r="AJ11" s="62">
        <v>-4457.2867754356812</v>
      </c>
      <c r="AK11" s="62">
        <v>-3134.5728800000156</v>
      </c>
      <c r="AL11" s="62">
        <v>-3134.5728800000156</v>
      </c>
      <c r="AM11" s="62">
        <v>0</v>
      </c>
    </row>
    <row r="12" spans="1:39">
      <c r="A12" s="9">
        <v>90002</v>
      </c>
      <c r="B12" s="10" t="s">
        <v>1396</v>
      </c>
      <c r="C12" s="60">
        <v>1.06E-5</v>
      </c>
      <c r="E12" s="62">
        <v>1423.4974007547435</v>
      </c>
      <c r="F12" s="62">
        <v>5164.6350422485184</v>
      </c>
      <c r="G12" s="62">
        <v>2708.1298637860091</v>
      </c>
      <c r="H12" s="62">
        <v>-1080.4085999999995</v>
      </c>
      <c r="I12" s="62">
        <v>0</v>
      </c>
      <c r="J12" s="62"/>
      <c r="K12" s="62">
        <v>-63.780200000000001</v>
      </c>
      <c r="L12" s="62">
        <v>134.25960000000001</v>
      </c>
      <c r="M12" s="62">
        <v>249.12120000000002</v>
      </c>
      <c r="N12" s="62">
        <v>154.91900000000001</v>
      </c>
      <c r="O12" s="62">
        <v>0</v>
      </c>
      <c r="P12" s="62"/>
      <c r="Q12" s="62">
        <v>233.35900000000001</v>
      </c>
      <c r="R12" s="62">
        <v>3871.5439999999999</v>
      </c>
      <c r="S12" s="62">
        <v>1481.4772</v>
      </c>
      <c r="T12" s="62">
        <v>-1654.4904000000001</v>
      </c>
      <c r="U12" s="62">
        <v>0</v>
      </c>
      <c r="V12" s="62"/>
      <c r="W12" s="62">
        <v>691.93619999999999</v>
      </c>
      <c r="X12" s="62">
        <v>691.93619999999999</v>
      </c>
      <c r="Y12" s="62">
        <v>636.06360000000006</v>
      </c>
      <c r="Z12" s="62">
        <v>292.77199999999999</v>
      </c>
      <c r="AA12" s="62">
        <v>0</v>
      </c>
      <c r="AB12" s="62"/>
      <c r="AC12" s="62">
        <v>561.98240075474337</v>
      </c>
      <c r="AD12" s="62">
        <v>466.89524224851937</v>
      </c>
      <c r="AE12" s="62">
        <v>341.46786378600888</v>
      </c>
      <c r="AF12" s="62">
        <v>126.3908000000005</v>
      </c>
      <c r="AG12" s="62">
        <v>0</v>
      </c>
      <c r="AH12" s="62"/>
      <c r="AI12" s="62">
        <v>0</v>
      </c>
      <c r="AJ12" s="62">
        <v>0</v>
      </c>
      <c r="AK12" s="62">
        <v>0</v>
      </c>
      <c r="AL12" s="62">
        <v>0</v>
      </c>
      <c r="AM12" s="62">
        <v>0</v>
      </c>
    </row>
    <row r="13" spans="1:39">
      <c r="A13" s="9">
        <v>90011</v>
      </c>
      <c r="B13" s="10" t="s">
        <v>1397</v>
      </c>
      <c r="C13" s="60">
        <v>1.974E-4</v>
      </c>
      <c r="E13" s="62">
        <v>8405.6519635114109</v>
      </c>
      <c r="F13" s="62">
        <v>77867.599870316393</v>
      </c>
      <c r="G13" s="62">
        <v>36627.877972510272</v>
      </c>
      <c r="H13" s="62">
        <v>-25567.736360000006</v>
      </c>
      <c r="I13" s="62">
        <v>0</v>
      </c>
      <c r="J13" s="62"/>
      <c r="K13" s="62">
        <v>-1187.7557999999999</v>
      </c>
      <c r="L13" s="62">
        <v>2500.2683999999999</v>
      </c>
      <c r="M13" s="62">
        <v>4639.2947999999997</v>
      </c>
      <c r="N13" s="62">
        <v>2885.0010000000002</v>
      </c>
      <c r="O13" s="62">
        <v>0</v>
      </c>
      <c r="P13" s="62"/>
      <c r="Q13" s="62">
        <v>4345.7610000000004</v>
      </c>
      <c r="R13" s="62">
        <v>72098.376000000004</v>
      </c>
      <c r="S13" s="62">
        <v>27589.018800000002</v>
      </c>
      <c r="T13" s="62">
        <v>-30810.981599999999</v>
      </c>
      <c r="U13" s="62">
        <v>0</v>
      </c>
      <c r="V13" s="62"/>
      <c r="W13" s="62">
        <v>12885.6798</v>
      </c>
      <c r="X13" s="62">
        <v>12885.6798</v>
      </c>
      <c r="Y13" s="62">
        <v>11845.1844</v>
      </c>
      <c r="Z13" s="62">
        <v>5452.1880000000001</v>
      </c>
      <c r="AA13" s="62">
        <v>0</v>
      </c>
      <c r="AB13" s="62"/>
      <c r="AC13" s="62">
        <v>2299.7700000000004</v>
      </c>
      <c r="AD13" s="62">
        <v>0</v>
      </c>
      <c r="AE13" s="62">
        <v>0</v>
      </c>
      <c r="AF13" s="62">
        <v>0</v>
      </c>
      <c r="AG13" s="62">
        <v>0</v>
      </c>
      <c r="AH13" s="62"/>
      <c r="AI13" s="62">
        <v>-9937.8030364885908</v>
      </c>
      <c r="AJ13" s="62">
        <v>-9616.7243296836095</v>
      </c>
      <c r="AK13" s="62">
        <v>-7445.6200274897283</v>
      </c>
      <c r="AL13" s="62">
        <v>-3093.9437600000065</v>
      </c>
      <c r="AM13" s="62">
        <v>0</v>
      </c>
    </row>
    <row r="14" spans="1:39">
      <c r="A14" s="9">
        <v>90092</v>
      </c>
      <c r="B14" s="10" t="s">
        <v>1398</v>
      </c>
      <c r="C14" s="60">
        <v>3.5349999999999997E-4</v>
      </c>
      <c r="E14" s="62">
        <v>-13929.080598998342</v>
      </c>
      <c r="F14" s="62">
        <v>130043.91184249544</v>
      </c>
      <c r="G14" s="62">
        <v>67057.25936279833</v>
      </c>
      <c r="H14" s="62">
        <v>-42263.624780000013</v>
      </c>
      <c r="I14" s="62">
        <v>0</v>
      </c>
      <c r="J14" s="62"/>
      <c r="K14" s="62">
        <v>-2127.0094999999997</v>
      </c>
      <c r="L14" s="62">
        <v>4477.4309999999996</v>
      </c>
      <c r="M14" s="62">
        <v>8307.9569999999985</v>
      </c>
      <c r="N14" s="62">
        <v>5166.4024999999992</v>
      </c>
      <c r="O14" s="62">
        <v>0</v>
      </c>
      <c r="P14" s="62"/>
      <c r="Q14" s="62">
        <v>7782.3024999999998</v>
      </c>
      <c r="R14" s="62">
        <v>129112.34</v>
      </c>
      <c r="S14" s="62">
        <v>49405.866999999998</v>
      </c>
      <c r="T14" s="62">
        <v>-55175.693999999996</v>
      </c>
      <c r="U14" s="62">
        <v>0</v>
      </c>
      <c r="V14" s="62"/>
      <c r="W14" s="62">
        <v>23075.4195</v>
      </c>
      <c r="X14" s="62">
        <v>23075.4195</v>
      </c>
      <c r="Y14" s="62">
        <v>21212.120999999999</v>
      </c>
      <c r="Z14" s="62">
        <v>9763.67</v>
      </c>
      <c r="AA14" s="62">
        <v>0</v>
      </c>
      <c r="AB14" s="62"/>
      <c r="AC14" s="62">
        <v>0</v>
      </c>
      <c r="AD14" s="62">
        <v>0</v>
      </c>
      <c r="AE14" s="62">
        <v>0</v>
      </c>
      <c r="AF14" s="62">
        <v>0</v>
      </c>
      <c r="AG14" s="62">
        <v>0</v>
      </c>
      <c r="AH14" s="62"/>
      <c r="AI14" s="62">
        <v>-42659.793098998343</v>
      </c>
      <c r="AJ14" s="62">
        <v>-26621.278657504568</v>
      </c>
      <c r="AK14" s="62">
        <v>-11868.685637201661</v>
      </c>
      <c r="AL14" s="62">
        <v>-2018.0032800000099</v>
      </c>
      <c r="AM14" s="62">
        <v>0</v>
      </c>
    </row>
    <row r="15" spans="1:39">
      <c r="A15" s="9">
        <v>90096</v>
      </c>
      <c r="B15" s="10" t="s">
        <v>1399</v>
      </c>
      <c r="C15" s="60">
        <v>9.7559999999999997E-4</v>
      </c>
      <c r="E15" s="62">
        <v>51502.859420910194</v>
      </c>
      <c r="F15" s="62">
        <v>377869.96031800553</v>
      </c>
      <c r="G15" s="62">
        <v>156501.34845868312</v>
      </c>
      <c r="H15" s="62">
        <v>-162428.93088000006</v>
      </c>
      <c r="I15" s="62">
        <v>0</v>
      </c>
      <c r="J15" s="62"/>
      <c r="K15" s="62">
        <v>-5870.1851999999999</v>
      </c>
      <c r="L15" s="62">
        <v>12356.9496</v>
      </c>
      <c r="M15" s="62">
        <v>22928.551199999998</v>
      </c>
      <c r="N15" s="62">
        <v>14258.394</v>
      </c>
      <c r="O15" s="62">
        <v>0</v>
      </c>
      <c r="P15" s="62"/>
      <c r="Q15" s="62">
        <v>21477.833999999999</v>
      </c>
      <c r="R15" s="62">
        <v>356328.14399999997</v>
      </c>
      <c r="S15" s="62">
        <v>136351.80720000001</v>
      </c>
      <c r="T15" s="62">
        <v>-152275.55040000001</v>
      </c>
      <c r="U15" s="62">
        <v>0</v>
      </c>
      <c r="V15" s="62"/>
      <c r="W15" s="62">
        <v>63684.241199999997</v>
      </c>
      <c r="X15" s="62">
        <v>63684.241199999997</v>
      </c>
      <c r="Y15" s="62">
        <v>58541.853599999995</v>
      </c>
      <c r="Z15" s="62">
        <v>26946.072</v>
      </c>
      <c r="AA15" s="62">
        <v>0</v>
      </c>
      <c r="AB15" s="62"/>
      <c r="AC15" s="62">
        <v>35153.719460580964</v>
      </c>
      <c r="AD15" s="62">
        <v>8443.3755576763924</v>
      </c>
      <c r="AE15" s="62">
        <v>0</v>
      </c>
      <c r="AF15" s="62">
        <v>0</v>
      </c>
      <c r="AG15" s="62">
        <v>0</v>
      </c>
      <c r="AH15" s="62"/>
      <c r="AI15" s="62">
        <v>-62942.750039670769</v>
      </c>
      <c r="AJ15" s="62">
        <v>-62942.750039670769</v>
      </c>
      <c r="AK15" s="62">
        <v>-61320.863541316874</v>
      </c>
      <c r="AL15" s="62">
        <v>-51357.846480000037</v>
      </c>
      <c r="AM15" s="62">
        <v>0</v>
      </c>
    </row>
    <row r="16" spans="1:39">
      <c r="A16" s="9">
        <v>90098</v>
      </c>
      <c r="B16" s="10" t="s">
        <v>1400</v>
      </c>
      <c r="C16" s="60">
        <v>2.9599999999999998E-4</v>
      </c>
      <c r="E16" s="62">
        <v>-27138.518521242426</v>
      </c>
      <c r="F16" s="62">
        <v>98755.53293352935</v>
      </c>
      <c r="G16" s="62">
        <v>43003.638401152224</v>
      </c>
      <c r="H16" s="62">
        <v>-32303.993040000012</v>
      </c>
      <c r="I16" s="62">
        <v>0</v>
      </c>
      <c r="J16" s="62"/>
      <c r="K16" s="62">
        <v>-1781.0319999999999</v>
      </c>
      <c r="L16" s="62">
        <v>3749.136</v>
      </c>
      <c r="M16" s="62">
        <v>6956.5919999999996</v>
      </c>
      <c r="N16" s="62">
        <v>4326.04</v>
      </c>
      <c r="O16" s="62">
        <v>0</v>
      </c>
      <c r="P16" s="62"/>
      <c r="Q16" s="62">
        <v>6516.44</v>
      </c>
      <c r="R16" s="62">
        <v>108111.03999999999</v>
      </c>
      <c r="S16" s="62">
        <v>41369.551999999996</v>
      </c>
      <c r="T16" s="62">
        <v>-46200.863999999994</v>
      </c>
      <c r="U16" s="62">
        <v>0</v>
      </c>
      <c r="V16" s="62"/>
      <c r="W16" s="62">
        <v>19321.991999999998</v>
      </c>
      <c r="X16" s="62">
        <v>19321.991999999998</v>
      </c>
      <c r="Y16" s="62">
        <v>17761.775999999998</v>
      </c>
      <c r="Z16" s="62">
        <v>8175.5199999999995</v>
      </c>
      <c r="AA16" s="62">
        <v>0</v>
      </c>
      <c r="AB16" s="62"/>
      <c r="AC16" s="62">
        <v>1395.310959999985</v>
      </c>
      <c r="AD16" s="62">
        <v>1395.310959999985</v>
      </c>
      <c r="AE16" s="62">
        <v>1395.310959999985</v>
      </c>
      <c r="AF16" s="62">
        <v>1395.310959999985</v>
      </c>
      <c r="AG16" s="62">
        <v>0</v>
      </c>
      <c r="AH16" s="62"/>
      <c r="AI16" s="62">
        <v>-52591.229481242408</v>
      </c>
      <c r="AJ16" s="62">
        <v>-33821.946026470621</v>
      </c>
      <c r="AK16" s="62">
        <v>-24479.592558847748</v>
      </c>
      <c r="AL16" s="62">
        <v>0</v>
      </c>
      <c r="AM16" s="62">
        <v>0</v>
      </c>
    </row>
    <row r="17" spans="1:39">
      <c r="A17" s="9">
        <v>90099</v>
      </c>
      <c r="B17" s="10" t="s">
        <v>1401</v>
      </c>
      <c r="C17" s="60">
        <v>6.6330000000000002E-4</v>
      </c>
      <c r="E17" s="62">
        <v>61665.526085698846</v>
      </c>
      <c r="F17" s="62">
        <v>299856.1545736657</v>
      </c>
      <c r="G17" s="62">
        <v>158349.9334468313</v>
      </c>
      <c r="H17" s="62">
        <v>-53681.663139999982</v>
      </c>
      <c r="I17" s="62">
        <v>0</v>
      </c>
      <c r="J17" s="62"/>
      <c r="K17" s="62">
        <v>-3991.0761000000002</v>
      </c>
      <c r="L17" s="62">
        <v>8401.3577999999998</v>
      </c>
      <c r="M17" s="62">
        <v>15588.876600000001</v>
      </c>
      <c r="N17" s="62">
        <v>9694.1295000000009</v>
      </c>
      <c r="O17" s="62">
        <v>0</v>
      </c>
      <c r="P17" s="62"/>
      <c r="Q17" s="62">
        <v>14602.549500000001</v>
      </c>
      <c r="R17" s="62">
        <v>242263.69200000001</v>
      </c>
      <c r="S17" s="62">
        <v>92704.134600000005</v>
      </c>
      <c r="T17" s="62">
        <v>-103530.5172</v>
      </c>
      <c r="U17" s="62">
        <v>0</v>
      </c>
      <c r="V17" s="62"/>
      <c r="W17" s="62">
        <v>43298.234100000001</v>
      </c>
      <c r="X17" s="62">
        <v>43298.234100000001</v>
      </c>
      <c r="Y17" s="62">
        <v>39801.979800000001</v>
      </c>
      <c r="Z17" s="62">
        <v>18320.346000000001</v>
      </c>
      <c r="AA17" s="62">
        <v>0</v>
      </c>
      <c r="AB17" s="62"/>
      <c r="AC17" s="62">
        <v>24241.068560000022</v>
      </c>
      <c r="AD17" s="62">
        <v>21834.378560000019</v>
      </c>
      <c r="AE17" s="62">
        <v>21834.378560000019</v>
      </c>
      <c r="AF17" s="62">
        <v>21834.378560000019</v>
      </c>
      <c r="AG17" s="62">
        <v>0</v>
      </c>
      <c r="AH17" s="62"/>
      <c r="AI17" s="62">
        <v>-16485.249974301183</v>
      </c>
      <c r="AJ17" s="62">
        <v>-15941.507886334373</v>
      </c>
      <c r="AK17" s="62">
        <v>-11579.436113168709</v>
      </c>
      <c r="AL17" s="62">
        <v>0</v>
      </c>
      <c r="AM17" s="62">
        <v>0</v>
      </c>
    </row>
    <row r="18" spans="1:39">
      <c r="A18" s="9">
        <v>90101</v>
      </c>
      <c r="B18" s="10" t="s">
        <v>1402</v>
      </c>
      <c r="C18" s="60">
        <v>6.6312000000000003E-3</v>
      </c>
      <c r="E18" s="62">
        <v>607104.14883814612</v>
      </c>
      <c r="F18" s="62">
        <v>3024375.1608642875</v>
      </c>
      <c r="G18" s="62">
        <v>1524966.0714665023</v>
      </c>
      <c r="H18" s="62">
        <v>-732846.77207999979</v>
      </c>
      <c r="I18" s="62">
        <v>0</v>
      </c>
      <c r="J18" s="62"/>
      <c r="K18" s="62">
        <v>-39899.930400000005</v>
      </c>
      <c r="L18" s="62">
        <v>83990.779200000004</v>
      </c>
      <c r="M18" s="62">
        <v>155846.46240000002</v>
      </c>
      <c r="N18" s="62">
        <v>96914.987999999998</v>
      </c>
      <c r="O18" s="62">
        <v>0</v>
      </c>
      <c r="P18" s="62"/>
      <c r="Q18" s="62">
        <v>145985.86800000002</v>
      </c>
      <c r="R18" s="62">
        <v>2421979.4879999999</v>
      </c>
      <c r="S18" s="62">
        <v>926789.77439999999</v>
      </c>
      <c r="T18" s="62">
        <v>-1035024.2208</v>
      </c>
      <c r="U18" s="62">
        <v>0</v>
      </c>
      <c r="V18" s="62"/>
      <c r="W18" s="62">
        <v>432864.84240000002</v>
      </c>
      <c r="X18" s="62">
        <v>432864.84240000002</v>
      </c>
      <c r="Y18" s="62">
        <v>397911.78720000002</v>
      </c>
      <c r="Z18" s="62">
        <v>183153.74400000001</v>
      </c>
      <c r="AA18" s="62">
        <v>0</v>
      </c>
      <c r="AB18" s="62"/>
      <c r="AC18" s="62">
        <v>93769.618838146125</v>
      </c>
      <c r="AD18" s="62">
        <v>85540.05126428722</v>
      </c>
      <c r="AE18" s="62">
        <v>44418.047466502001</v>
      </c>
      <c r="AF18" s="62">
        <v>22108.716720000099</v>
      </c>
      <c r="AG18" s="62">
        <v>0</v>
      </c>
      <c r="AH18" s="62"/>
      <c r="AI18" s="62">
        <v>-25616.250000000007</v>
      </c>
      <c r="AJ18" s="62">
        <v>0</v>
      </c>
      <c r="AK18" s="62">
        <v>0</v>
      </c>
      <c r="AL18" s="62">
        <v>0</v>
      </c>
      <c r="AM18" s="62">
        <v>0</v>
      </c>
    </row>
    <row r="19" spans="1:39">
      <c r="A19" s="9">
        <v>90111</v>
      </c>
      <c r="B19" s="10" t="s">
        <v>1403</v>
      </c>
      <c r="C19" s="60">
        <v>4.9740000000000001E-3</v>
      </c>
      <c r="E19" s="62">
        <v>350900.02490591037</v>
      </c>
      <c r="F19" s="62">
        <v>2177441.0354452468</v>
      </c>
      <c r="G19" s="62">
        <v>1095572.2961688887</v>
      </c>
      <c r="H19" s="62">
        <v>-562512.91032000002</v>
      </c>
      <c r="I19" s="62">
        <v>0</v>
      </c>
      <c r="J19" s="62"/>
      <c r="K19" s="62">
        <v>-29928.558000000001</v>
      </c>
      <c r="L19" s="62">
        <v>63000.684000000001</v>
      </c>
      <c r="M19" s="62">
        <v>116898.948</v>
      </c>
      <c r="N19" s="62">
        <v>72695.009999999995</v>
      </c>
      <c r="O19" s="62">
        <v>0</v>
      </c>
      <c r="P19" s="62"/>
      <c r="Q19" s="62">
        <v>109502.61</v>
      </c>
      <c r="R19" s="62">
        <v>1816703.76</v>
      </c>
      <c r="S19" s="62">
        <v>695176.18799999997</v>
      </c>
      <c r="T19" s="62">
        <v>-776361.81599999999</v>
      </c>
      <c r="U19" s="62">
        <v>0</v>
      </c>
      <c r="V19" s="62"/>
      <c r="W19" s="62">
        <v>324687.79800000001</v>
      </c>
      <c r="X19" s="62">
        <v>324687.79800000001</v>
      </c>
      <c r="Y19" s="62">
        <v>298469.84399999998</v>
      </c>
      <c r="Z19" s="62">
        <v>137381.88</v>
      </c>
      <c r="AA19" s="62">
        <v>0</v>
      </c>
      <c r="AB19" s="62"/>
      <c r="AC19" s="62">
        <v>3772.0156799999986</v>
      </c>
      <c r="AD19" s="62">
        <v>3772.0156799999986</v>
      </c>
      <c r="AE19" s="62">
        <v>3772.0156799999986</v>
      </c>
      <c r="AF19" s="62">
        <v>3772.0156799999986</v>
      </c>
      <c r="AG19" s="62">
        <v>0</v>
      </c>
      <c r="AH19" s="62"/>
      <c r="AI19" s="62">
        <v>-57133.840774089629</v>
      </c>
      <c r="AJ19" s="62">
        <v>-30723.222234753521</v>
      </c>
      <c r="AK19" s="62">
        <v>-18744.699511111241</v>
      </c>
      <c r="AL19" s="62">
        <v>0</v>
      </c>
      <c r="AM19" s="62">
        <v>0</v>
      </c>
    </row>
    <row r="20" spans="1:39">
      <c r="A20" s="9">
        <v>90114</v>
      </c>
      <c r="B20" s="10" t="s">
        <v>1404</v>
      </c>
      <c r="C20" s="60">
        <v>1.0919E-3</v>
      </c>
      <c r="E20" s="62">
        <v>459861.49569474661</v>
      </c>
      <c r="F20" s="62">
        <v>827987.69750603312</v>
      </c>
      <c r="G20" s="62">
        <v>480212.09944798343</v>
      </c>
      <c r="H20" s="62">
        <v>1115.5188199998811</v>
      </c>
      <c r="I20" s="62">
        <v>0</v>
      </c>
      <c r="J20" s="62"/>
      <c r="K20" s="62">
        <v>-6569.9623000000001</v>
      </c>
      <c r="L20" s="62">
        <v>13830.0054</v>
      </c>
      <c r="M20" s="62">
        <v>25661.8338</v>
      </c>
      <c r="N20" s="62">
        <v>15958.1185</v>
      </c>
      <c r="O20" s="62">
        <v>0</v>
      </c>
      <c r="P20" s="62"/>
      <c r="Q20" s="62">
        <v>24038.178500000002</v>
      </c>
      <c r="R20" s="62">
        <v>398805.55600000004</v>
      </c>
      <c r="S20" s="62">
        <v>152606.12780000002</v>
      </c>
      <c r="T20" s="62">
        <v>-170428.11960000001</v>
      </c>
      <c r="U20" s="62">
        <v>0</v>
      </c>
      <c r="V20" s="62"/>
      <c r="W20" s="62">
        <v>71275.956300000005</v>
      </c>
      <c r="X20" s="62">
        <v>71275.956300000005</v>
      </c>
      <c r="Y20" s="62">
        <v>65520.551400000004</v>
      </c>
      <c r="Z20" s="62">
        <v>30158.278000000002</v>
      </c>
      <c r="AA20" s="62">
        <v>0</v>
      </c>
      <c r="AB20" s="62"/>
      <c r="AC20" s="62">
        <v>371117.32319474663</v>
      </c>
      <c r="AD20" s="62">
        <v>344076.17980603303</v>
      </c>
      <c r="AE20" s="62">
        <v>236423.5864479834</v>
      </c>
      <c r="AF20" s="62">
        <v>125427.24191999987</v>
      </c>
      <c r="AG20" s="62">
        <v>0</v>
      </c>
      <c r="AH20" s="62"/>
      <c r="AI20" s="62">
        <v>0</v>
      </c>
      <c r="AJ20" s="62">
        <v>0</v>
      </c>
      <c r="AK20" s="62">
        <v>0</v>
      </c>
      <c r="AL20" s="62">
        <v>0</v>
      </c>
      <c r="AM20" s="62">
        <v>0</v>
      </c>
    </row>
    <row r="21" spans="1:39">
      <c r="A21" s="9">
        <v>90117</v>
      </c>
      <c r="B21" s="10" t="s">
        <v>1405</v>
      </c>
      <c r="C21" s="60">
        <v>1.407E-4</v>
      </c>
      <c r="E21" s="62">
        <v>29752.27576516744</v>
      </c>
      <c r="F21" s="62">
        <v>75705.980975955827</v>
      </c>
      <c r="G21" s="62">
        <v>40206.750210699603</v>
      </c>
      <c r="H21" s="62">
        <v>-11952.418299999992</v>
      </c>
      <c r="I21" s="62">
        <v>0</v>
      </c>
      <c r="J21" s="62"/>
      <c r="K21" s="62">
        <v>-846.59190000000001</v>
      </c>
      <c r="L21" s="62">
        <v>1782.1062000000002</v>
      </c>
      <c r="M21" s="62">
        <v>3306.7314000000001</v>
      </c>
      <c r="N21" s="62">
        <v>2056.3305</v>
      </c>
      <c r="O21" s="62">
        <v>0</v>
      </c>
      <c r="P21" s="62"/>
      <c r="Q21" s="62">
        <v>3097.5105000000003</v>
      </c>
      <c r="R21" s="62">
        <v>51389.268000000004</v>
      </c>
      <c r="S21" s="62">
        <v>19664.5134</v>
      </c>
      <c r="T21" s="62">
        <v>-21961.018800000002</v>
      </c>
      <c r="U21" s="62">
        <v>0</v>
      </c>
      <c r="V21" s="62"/>
      <c r="W21" s="62">
        <v>9184.4739000000009</v>
      </c>
      <c r="X21" s="62">
        <v>9184.4739000000009</v>
      </c>
      <c r="Y21" s="62">
        <v>8442.8441999999995</v>
      </c>
      <c r="Z21" s="62">
        <v>3886.134</v>
      </c>
      <c r="AA21" s="62">
        <v>0</v>
      </c>
      <c r="AB21" s="62"/>
      <c r="AC21" s="62">
        <v>18316.883265167438</v>
      </c>
      <c r="AD21" s="62">
        <v>13350.132875955822</v>
      </c>
      <c r="AE21" s="62">
        <v>8792.6612106996017</v>
      </c>
      <c r="AF21" s="62">
        <v>4066.1360000000091</v>
      </c>
      <c r="AG21" s="62">
        <v>0</v>
      </c>
      <c r="AH21" s="62"/>
      <c r="AI21" s="62">
        <v>0</v>
      </c>
      <c r="AJ21" s="62">
        <v>0</v>
      </c>
      <c r="AK21" s="62">
        <v>0</v>
      </c>
      <c r="AL21" s="62">
        <v>0</v>
      </c>
      <c r="AM21" s="62">
        <v>0</v>
      </c>
    </row>
    <row r="22" spans="1:39">
      <c r="A22" s="9">
        <v>90121</v>
      </c>
      <c r="B22" s="10" t="s">
        <v>1406</v>
      </c>
      <c r="C22" s="60">
        <v>1.0991E-3</v>
      </c>
      <c r="E22" s="62">
        <v>64247.9431569718</v>
      </c>
      <c r="F22" s="62">
        <v>460084.41054659832</v>
      </c>
      <c r="G22" s="62">
        <v>226289.27768041153</v>
      </c>
      <c r="H22" s="62">
        <v>-132233.01741999993</v>
      </c>
      <c r="I22" s="62">
        <v>0</v>
      </c>
      <c r="J22" s="62"/>
      <c r="K22" s="62">
        <v>-6613.2847000000002</v>
      </c>
      <c r="L22" s="62">
        <v>13921.2006</v>
      </c>
      <c r="M22" s="62">
        <v>25831.048200000001</v>
      </c>
      <c r="N22" s="62">
        <v>16063.3465</v>
      </c>
      <c r="O22" s="62">
        <v>0</v>
      </c>
      <c r="P22" s="62"/>
      <c r="Q22" s="62">
        <v>24196.6865</v>
      </c>
      <c r="R22" s="62">
        <v>401435.28399999999</v>
      </c>
      <c r="S22" s="62">
        <v>153612.4142</v>
      </c>
      <c r="T22" s="62">
        <v>-171551.92439999999</v>
      </c>
      <c r="U22" s="62">
        <v>0</v>
      </c>
      <c r="V22" s="62"/>
      <c r="W22" s="62">
        <v>71745.950700000001</v>
      </c>
      <c r="X22" s="62">
        <v>71745.950700000001</v>
      </c>
      <c r="Y22" s="62">
        <v>65952.594599999997</v>
      </c>
      <c r="Z22" s="62">
        <v>30357.142</v>
      </c>
      <c r="AA22" s="62">
        <v>0</v>
      </c>
      <c r="AB22" s="62"/>
      <c r="AC22" s="62">
        <v>3244.2300000000005</v>
      </c>
      <c r="AD22" s="62">
        <v>0</v>
      </c>
      <c r="AE22" s="62">
        <v>0</v>
      </c>
      <c r="AF22" s="62">
        <v>0</v>
      </c>
      <c r="AG22" s="62">
        <v>0</v>
      </c>
      <c r="AH22" s="62"/>
      <c r="AI22" s="62">
        <v>-28325.639343028204</v>
      </c>
      <c r="AJ22" s="62">
        <v>-27018.024753401638</v>
      </c>
      <c r="AK22" s="62">
        <v>-19106.779319588441</v>
      </c>
      <c r="AL22" s="62">
        <v>-7101.5815199999497</v>
      </c>
      <c r="AM22" s="62">
        <v>0</v>
      </c>
    </row>
    <row r="23" spans="1:39">
      <c r="A23" s="9">
        <v>90131</v>
      </c>
      <c r="B23" s="10" t="s">
        <v>1407</v>
      </c>
      <c r="C23" s="60">
        <v>4.7639999999999998E-4</v>
      </c>
      <c r="E23" s="62">
        <v>22839.756344006251</v>
      </c>
      <c r="F23" s="62">
        <v>201060.84360018879</v>
      </c>
      <c r="G23" s="62">
        <v>97237.386731028775</v>
      </c>
      <c r="H23" s="62">
        <v>-61223.777520000025</v>
      </c>
      <c r="I23" s="62">
        <v>0</v>
      </c>
      <c r="J23" s="62"/>
      <c r="K23" s="62">
        <v>-2866.4987999999998</v>
      </c>
      <c r="L23" s="62">
        <v>6034.0823999999993</v>
      </c>
      <c r="M23" s="62">
        <v>11196.352799999999</v>
      </c>
      <c r="N23" s="62">
        <v>6962.5859999999993</v>
      </c>
      <c r="O23" s="62">
        <v>0</v>
      </c>
      <c r="P23" s="62"/>
      <c r="Q23" s="62">
        <v>10487.946</v>
      </c>
      <c r="R23" s="62">
        <v>174000.33599999998</v>
      </c>
      <c r="S23" s="62">
        <v>66582.616800000003</v>
      </c>
      <c r="T23" s="62">
        <v>-74358.417600000001</v>
      </c>
      <c r="U23" s="62">
        <v>0</v>
      </c>
      <c r="V23" s="62"/>
      <c r="W23" s="62">
        <v>31097.962799999998</v>
      </c>
      <c r="X23" s="62">
        <v>31097.962799999998</v>
      </c>
      <c r="Y23" s="62">
        <v>28586.858399999997</v>
      </c>
      <c r="Z23" s="62">
        <v>13158.168</v>
      </c>
      <c r="AA23" s="62">
        <v>0</v>
      </c>
      <c r="AB23" s="62"/>
      <c r="AC23" s="62">
        <v>0</v>
      </c>
      <c r="AD23" s="62">
        <v>0</v>
      </c>
      <c r="AE23" s="62">
        <v>0</v>
      </c>
      <c r="AF23" s="62">
        <v>0</v>
      </c>
      <c r="AG23" s="62">
        <v>0</v>
      </c>
      <c r="AH23" s="62"/>
      <c r="AI23" s="62">
        <v>-15879.653655993743</v>
      </c>
      <c r="AJ23" s="62">
        <v>-10071.53759981117</v>
      </c>
      <c r="AK23" s="62">
        <v>-9128.4412689712226</v>
      </c>
      <c r="AL23" s="62">
        <v>-6986.1139200000207</v>
      </c>
      <c r="AM23" s="62">
        <v>0</v>
      </c>
    </row>
    <row r="24" spans="1:39">
      <c r="A24" s="9">
        <v>90141</v>
      </c>
      <c r="B24" s="10" t="s">
        <v>1408</v>
      </c>
      <c r="C24" s="60">
        <v>1.4779999999999999E-4</v>
      </c>
      <c r="E24" s="62">
        <v>11152.048033672463</v>
      </c>
      <c r="F24" s="62">
        <v>64221.321437655868</v>
      </c>
      <c r="G24" s="62">
        <v>31783.36211012346</v>
      </c>
      <c r="H24" s="62">
        <v>-14983.398279999989</v>
      </c>
      <c r="I24" s="62">
        <v>0</v>
      </c>
      <c r="J24" s="62"/>
      <c r="K24" s="62">
        <v>-889.31259999999997</v>
      </c>
      <c r="L24" s="62">
        <v>1872.0347999999999</v>
      </c>
      <c r="M24" s="62">
        <v>3473.5955999999996</v>
      </c>
      <c r="N24" s="62">
        <v>2160.0969999999998</v>
      </c>
      <c r="O24" s="62">
        <v>0</v>
      </c>
      <c r="P24" s="62"/>
      <c r="Q24" s="62">
        <v>3253.8169999999996</v>
      </c>
      <c r="R24" s="62">
        <v>53982.471999999994</v>
      </c>
      <c r="S24" s="62">
        <v>20656.8236</v>
      </c>
      <c r="T24" s="62">
        <v>-23069.215199999999</v>
      </c>
      <c r="U24" s="62">
        <v>0</v>
      </c>
      <c r="V24" s="62"/>
      <c r="W24" s="62">
        <v>9647.9405999999999</v>
      </c>
      <c r="X24" s="62">
        <v>9647.9405999999999</v>
      </c>
      <c r="Y24" s="62">
        <v>8868.8867999999984</v>
      </c>
      <c r="Z24" s="62">
        <v>4082.2359999999999</v>
      </c>
      <c r="AA24" s="62">
        <v>0</v>
      </c>
      <c r="AB24" s="62"/>
      <c r="AC24" s="62">
        <v>2697.0772312033278</v>
      </c>
      <c r="AD24" s="62">
        <v>2276.3482351867301</v>
      </c>
      <c r="AE24" s="62">
        <v>1843.4839200000074</v>
      </c>
      <c r="AF24" s="62">
        <v>1843.4839200000074</v>
      </c>
      <c r="AG24" s="62">
        <v>0</v>
      </c>
      <c r="AH24" s="62"/>
      <c r="AI24" s="62">
        <v>-3557.4741975308639</v>
      </c>
      <c r="AJ24" s="62">
        <v>-3557.4741975308639</v>
      </c>
      <c r="AK24" s="62">
        <v>-3059.427809876544</v>
      </c>
      <c r="AL24" s="62">
        <v>0</v>
      </c>
      <c r="AM24" s="62">
        <v>0</v>
      </c>
    </row>
    <row r="25" spans="1:39">
      <c r="A25" s="9">
        <v>90151</v>
      </c>
      <c r="B25" s="10" t="s">
        <v>1409</v>
      </c>
      <c r="C25" s="60">
        <v>9.9000000000000001E-6</v>
      </c>
      <c r="E25" s="62">
        <v>-283.12487807147772</v>
      </c>
      <c r="F25" s="62">
        <v>3599.044100351759</v>
      </c>
      <c r="G25" s="62">
        <v>1676.4223695473261</v>
      </c>
      <c r="H25" s="62">
        <v>-1435.7890999999997</v>
      </c>
      <c r="I25" s="62">
        <v>0</v>
      </c>
      <c r="J25" s="62"/>
      <c r="K25" s="62">
        <v>-59.568300000000001</v>
      </c>
      <c r="L25" s="62">
        <v>125.3934</v>
      </c>
      <c r="M25" s="62">
        <v>232.66980000000001</v>
      </c>
      <c r="N25" s="62">
        <v>144.6885</v>
      </c>
      <c r="O25" s="62">
        <v>0</v>
      </c>
      <c r="P25" s="62"/>
      <c r="Q25" s="62">
        <v>217.9485</v>
      </c>
      <c r="R25" s="62">
        <v>3615.8760000000002</v>
      </c>
      <c r="S25" s="62">
        <v>1383.6438000000001</v>
      </c>
      <c r="T25" s="62">
        <v>-1545.2316000000001</v>
      </c>
      <c r="U25" s="62">
        <v>0</v>
      </c>
      <c r="V25" s="62"/>
      <c r="W25" s="62">
        <v>646.2423</v>
      </c>
      <c r="X25" s="62">
        <v>646.2423</v>
      </c>
      <c r="Y25" s="62">
        <v>594.05939999999998</v>
      </c>
      <c r="Z25" s="62">
        <v>273.43799999999999</v>
      </c>
      <c r="AA25" s="62">
        <v>0</v>
      </c>
      <c r="AB25" s="62"/>
      <c r="AC25" s="62">
        <v>0</v>
      </c>
      <c r="AD25" s="62">
        <v>0</v>
      </c>
      <c r="AE25" s="62">
        <v>0</v>
      </c>
      <c r="AF25" s="62">
        <v>0</v>
      </c>
      <c r="AG25" s="62">
        <v>0</v>
      </c>
      <c r="AH25" s="62"/>
      <c r="AI25" s="62">
        <v>-1087.7473780714777</v>
      </c>
      <c r="AJ25" s="62">
        <v>-788.46759964824105</v>
      </c>
      <c r="AK25" s="62">
        <v>-533.95063045267398</v>
      </c>
      <c r="AL25" s="62">
        <v>-308.68399999999957</v>
      </c>
      <c r="AM25" s="62">
        <v>0</v>
      </c>
    </row>
    <row r="26" spans="1:39">
      <c r="A26" s="9">
        <v>90161</v>
      </c>
      <c r="B26" s="10" t="s">
        <v>1410</v>
      </c>
      <c r="C26" s="60">
        <v>3.4199999999999998E-5</v>
      </c>
      <c r="E26" s="62">
        <v>4369.6458614599633</v>
      </c>
      <c r="F26" s="62">
        <v>16543.793324530503</v>
      </c>
      <c r="G26" s="62">
        <v>8334.7636637037012</v>
      </c>
      <c r="H26" s="62">
        <v>-4009.026440000001</v>
      </c>
      <c r="I26" s="62">
        <v>0</v>
      </c>
      <c r="J26" s="62"/>
      <c r="K26" s="62">
        <v>-205.78139999999999</v>
      </c>
      <c r="L26" s="62">
        <v>433.17719999999997</v>
      </c>
      <c r="M26" s="62">
        <v>803.76839999999993</v>
      </c>
      <c r="N26" s="62">
        <v>499.83299999999997</v>
      </c>
      <c r="O26" s="62">
        <v>0</v>
      </c>
      <c r="P26" s="62"/>
      <c r="Q26" s="62">
        <v>752.9129999999999</v>
      </c>
      <c r="R26" s="62">
        <v>12491.207999999999</v>
      </c>
      <c r="S26" s="62">
        <v>4779.8603999999996</v>
      </c>
      <c r="T26" s="62">
        <v>-5338.0727999999999</v>
      </c>
      <c r="U26" s="62">
        <v>0</v>
      </c>
      <c r="V26" s="62"/>
      <c r="W26" s="62">
        <v>2232.4733999999999</v>
      </c>
      <c r="X26" s="62">
        <v>2232.4733999999999</v>
      </c>
      <c r="Y26" s="62">
        <v>2052.2051999999999</v>
      </c>
      <c r="Z26" s="62">
        <v>944.60399999999993</v>
      </c>
      <c r="AA26" s="62">
        <v>0</v>
      </c>
      <c r="AB26" s="62"/>
      <c r="AC26" s="62">
        <v>1705.431501459964</v>
      </c>
      <c r="AD26" s="62">
        <v>1502.3253645305035</v>
      </c>
      <c r="AE26" s="62">
        <v>814.32030370370262</v>
      </c>
      <c r="AF26" s="62">
        <v>0</v>
      </c>
      <c r="AG26" s="62">
        <v>0</v>
      </c>
      <c r="AH26" s="62"/>
      <c r="AI26" s="62">
        <v>-115.39064000000035</v>
      </c>
      <c r="AJ26" s="62">
        <v>-115.39064000000035</v>
      </c>
      <c r="AK26" s="62">
        <v>-115.39064000000035</v>
      </c>
      <c r="AL26" s="62">
        <v>-115.39064000000035</v>
      </c>
      <c r="AM26" s="62">
        <v>0</v>
      </c>
    </row>
    <row r="27" spans="1:39">
      <c r="A27" s="9">
        <v>90201</v>
      </c>
      <c r="B27" s="10" t="s">
        <v>1411</v>
      </c>
      <c r="C27" s="60">
        <v>1.2126999999999999E-3</v>
      </c>
      <c r="E27" s="62">
        <v>123197.38089338897</v>
      </c>
      <c r="F27" s="62">
        <v>531168.86128957151</v>
      </c>
      <c r="G27" s="62">
        <v>261643.56723349789</v>
      </c>
      <c r="H27" s="62">
        <v>-147080.48221999998</v>
      </c>
      <c r="I27" s="62">
        <v>0</v>
      </c>
      <c r="J27" s="62"/>
      <c r="K27" s="62">
        <v>-7296.8158999999996</v>
      </c>
      <c r="L27" s="62">
        <v>15360.058199999999</v>
      </c>
      <c r="M27" s="62">
        <v>28500.875399999997</v>
      </c>
      <c r="N27" s="62">
        <v>17723.610499999999</v>
      </c>
      <c r="O27" s="62">
        <v>0</v>
      </c>
      <c r="P27" s="62"/>
      <c r="Q27" s="62">
        <v>26697.590499999998</v>
      </c>
      <c r="R27" s="62">
        <v>442926.54799999995</v>
      </c>
      <c r="S27" s="62">
        <v>169489.3774</v>
      </c>
      <c r="T27" s="62">
        <v>-189283.0668</v>
      </c>
      <c r="U27" s="62">
        <v>0</v>
      </c>
      <c r="V27" s="62"/>
      <c r="W27" s="62">
        <v>79161.4179</v>
      </c>
      <c r="X27" s="62">
        <v>79161.4179</v>
      </c>
      <c r="Y27" s="62">
        <v>72769.276199999993</v>
      </c>
      <c r="Z27" s="62">
        <v>33494.773999999998</v>
      </c>
      <c r="AA27" s="62">
        <v>0</v>
      </c>
      <c r="AB27" s="62"/>
      <c r="AC27" s="62">
        <v>33767.455576763488</v>
      </c>
      <c r="AD27" s="62">
        <v>2853.1043729460562</v>
      </c>
      <c r="AE27" s="62">
        <v>0</v>
      </c>
      <c r="AF27" s="62">
        <v>0</v>
      </c>
      <c r="AG27" s="62">
        <v>0</v>
      </c>
      <c r="AH27" s="62"/>
      <c r="AI27" s="62">
        <v>-9132.2671833745335</v>
      </c>
      <c r="AJ27" s="62">
        <v>-9132.2671833745335</v>
      </c>
      <c r="AK27" s="62">
        <v>-9115.9617665020978</v>
      </c>
      <c r="AL27" s="62">
        <v>-9015.7999199999958</v>
      </c>
      <c r="AM27" s="62">
        <v>0</v>
      </c>
    </row>
    <row r="28" spans="1:39">
      <c r="A28" s="9">
        <v>90203</v>
      </c>
      <c r="B28" s="10" t="s">
        <v>1412</v>
      </c>
      <c r="C28" s="60">
        <v>1.994E-4</v>
      </c>
      <c r="E28" s="62">
        <v>-1749.674748460995</v>
      </c>
      <c r="F28" s="62">
        <v>77147.547841580497</v>
      </c>
      <c r="G28" s="62">
        <v>33142.137281810676</v>
      </c>
      <c r="H28" s="62">
        <v>-29067.398840000016</v>
      </c>
      <c r="I28" s="62">
        <v>0</v>
      </c>
      <c r="J28" s="62"/>
      <c r="K28" s="62">
        <v>-1199.7898</v>
      </c>
      <c r="L28" s="62">
        <v>2525.6003999999998</v>
      </c>
      <c r="M28" s="62">
        <v>4686.2987999999996</v>
      </c>
      <c r="N28" s="62">
        <v>2914.2309999999998</v>
      </c>
      <c r="O28" s="62">
        <v>0</v>
      </c>
      <c r="P28" s="62"/>
      <c r="Q28" s="62">
        <v>4389.7910000000002</v>
      </c>
      <c r="R28" s="62">
        <v>72828.856</v>
      </c>
      <c r="S28" s="62">
        <v>27868.542799999999</v>
      </c>
      <c r="T28" s="62">
        <v>-31123.149600000001</v>
      </c>
      <c r="U28" s="62">
        <v>0</v>
      </c>
      <c r="V28" s="62"/>
      <c r="W28" s="62">
        <v>13016.2338</v>
      </c>
      <c r="X28" s="62">
        <v>13016.2338</v>
      </c>
      <c r="Y28" s="62">
        <v>11965.196399999999</v>
      </c>
      <c r="Z28" s="62">
        <v>5507.4279999999999</v>
      </c>
      <c r="AA28" s="62">
        <v>0</v>
      </c>
      <c r="AB28" s="62"/>
      <c r="AC28" s="62">
        <v>1183.7367219916991</v>
      </c>
      <c r="AD28" s="62">
        <v>970.66411203319365</v>
      </c>
      <c r="AE28" s="62">
        <v>0</v>
      </c>
      <c r="AF28" s="62">
        <v>0</v>
      </c>
      <c r="AG28" s="62">
        <v>0</v>
      </c>
      <c r="AH28" s="62"/>
      <c r="AI28" s="62">
        <v>-19139.646470452695</v>
      </c>
      <c r="AJ28" s="62">
        <v>-12193.806470452695</v>
      </c>
      <c r="AK28" s="62">
        <v>-11377.900718189321</v>
      </c>
      <c r="AL28" s="62">
        <v>-6365.9082400000152</v>
      </c>
      <c r="AM28" s="62">
        <v>0</v>
      </c>
    </row>
    <row r="29" spans="1:39">
      <c r="A29" s="9">
        <v>90205</v>
      </c>
      <c r="B29" s="10" t="s">
        <v>1413</v>
      </c>
      <c r="C29" s="60">
        <v>3.0000000000000001E-5</v>
      </c>
      <c r="E29" s="62">
        <v>2329.2956855311331</v>
      </c>
      <c r="F29" s="62">
        <v>12745.617925365157</v>
      </c>
      <c r="G29" s="62">
        <v>6012.5539060082283</v>
      </c>
      <c r="H29" s="62">
        <v>-3926.7964800000022</v>
      </c>
      <c r="I29" s="62">
        <v>0</v>
      </c>
      <c r="J29" s="62"/>
      <c r="K29" s="62">
        <v>-180.51</v>
      </c>
      <c r="L29" s="62">
        <v>379.98</v>
      </c>
      <c r="M29" s="62">
        <v>705.06000000000006</v>
      </c>
      <c r="N29" s="62">
        <v>438.45</v>
      </c>
      <c r="O29" s="62">
        <v>0</v>
      </c>
      <c r="P29" s="62"/>
      <c r="Q29" s="62">
        <v>660.45</v>
      </c>
      <c r="R29" s="62">
        <v>10957.2</v>
      </c>
      <c r="S29" s="62">
        <v>4192.8599999999997</v>
      </c>
      <c r="T29" s="62">
        <v>-4682.5200000000004</v>
      </c>
      <c r="U29" s="62">
        <v>0</v>
      </c>
      <c r="V29" s="62"/>
      <c r="W29" s="62">
        <v>1958.31</v>
      </c>
      <c r="X29" s="62">
        <v>1958.31</v>
      </c>
      <c r="Y29" s="62">
        <v>1800.18</v>
      </c>
      <c r="Z29" s="62">
        <v>828.6</v>
      </c>
      <c r="AA29" s="62">
        <v>0</v>
      </c>
      <c r="AB29" s="62"/>
      <c r="AC29" s="62">
        <v>604.95311203319363</v>
      </c>
      <c r="AD29" s="62">
        <v>164.03535186721874</v>
      </c>
      <c r="AE29" s="62">
        <v>0</v>
      </c>
      <c r="AF29" s="62">
        <v>0</v>
      </c>
      <c r="AG29" s="62">
        <v>0</v>
      </c>
      <c r="AH29" s="62"/>
      <c r="AI29" s="62">
        <v>-713.90742650206028</v>
      </c>
      <c r="AJ29" s="62">
        <v>-713.90742650206028</v>
      </c>
      <c r="AK29" s="62">
        <v>-685.54609399177207</v>
      </c>
      <c r="AL29" s="62">
        <v>-511.32648000000148</v>
      </c>
      <c r="AM29" s="62">
        <v>0</v>
      </c>
    </row>
    <row r="30" spans="1:39">
      <c r="A30" s="9">
        <v>90206</v>
      </c>
      <c r="B30" s="10" t="s">
        <v>1414</v>
      </c>
      <c r="C30" s="60">
        <v>4.2069999999999998E-4</v>
      </c>
      <c r="E30" s="62">
        <v>35416.337257449581</v>
      </c>
      <c r="F30" s="62">
        <v>178951.87980682717</v>
      </c>
      <c r="G30" s="62">
        <v>87921.752550699588</v>
      </c>
      <c r="H30" s="62">
        <v>-52020.393259999997</v>
      </c>
      <c r="I30" s="62">
        <v>0</v>
      </c>
      <c r="J30" s="62"/>
      <c r="K30" s="62">
        <v>-2531.3518999999997</v>
      </c>
      <c r="L30" s="62">
        <v>5328.5861999999997</v>
      </c>
      <c r="M30" s="62">
        <v>9887.2914000000001</v>
      </c>
      <c r="N30" s="62">
        <v>6148.5304999999998</v>
      </c>
      <c r="O30" s="62">
        <v>0</v>
      </c>
      <c r="P30" s="62"/>
      <c r="Q30" s="62">
        <v>9261.7104999999992</v>
      </c>
      <c r="R30" s="62">
        <v>153656.46799999999</v>
      </c>
      <c r="S30" s="62">
        <v>58797.873399999997</v>
      </c>
      <c r="T30" s="62">
        <v>-65664.538799999995</v>
      </c>
      <c r="U30" s="62">
        <v>0</v>
      </c>
      <c r="V30" s="62"/>
      <c r="W30" s="62">
        <v>27462.033899999999</v>
      </c>
      <c r="X30" s="62">
        <v>27462.033899999999</v>
      </c>
      <c r="Y30" s="62">
        <v>25244.5242</v>
      </c>
      <c r="Z30" s="62">
        <v>11619.733999999999</v>
      </c>
      <c r="AA30" s="62">
        <v>0</v>
      </c>
      <c r="AB30" s="62"/>
      <c r="AC30" s="62">
        <v>8978.3100000000013</v>
      </c>
      <c r="AD30" s="62">
        <v>0</v>
      </c>
      <c r="AE30" s="62">
        <v>0</v>
      </c>
      <c r="AF30" s="62">
        <v>0</v>
      </c>
      <c r="AG30" s="62">
        <v>0</v>
      </c>
      <c r="AH30" s="62"/>
      <c r="AI30" s="62">
        <v>-7754.365242550416</v>
      </c>
      <c r="AJ30" s="62">
        <v>-7495.2082931728237</v>
      </c>
      <c r="AK30" s="62">
        <v>-6007.9364493004159</v>
      </c>
      <c r="AL30" s="62">
        <v>-4124.118959999998</v>
      </c>
      <c r="AM30" s="62">
        <v>0</v>
      </c>
    </row>
    <row r="31" spans="1:39">
      <c r="A31" s="9">
        <v>90211</v>
      </c>
      <c r="B31" s="10" t="s">
        <v>1415</v>
      </c>
      <c r="C31" s="60">
        <v>1.4799999999999999E-4</v>
      </c>
      <c r="E31" s="62">
        <v>5905.2119556552616</v>
      </c>
      <c r="F31" s="62">
        <v>60687.80679507435</v>
      </c>
      <c r="G31" s="62">
        <v>29554.873245843595</v>
      </c>
      <c r="H31" s="62">
        <v>-17678.253920000014</v>
      </c>
      <c r="I31" s="62">
        <v>0</v>
      </c>
      <c r="J31" s="62"/>
      <c r="K31" s="62">
        <v>-890.51599999999996</v>
      </c>
      <c r="L31" s="62">
        <v>1874.568</v>
      </c>
      <c r="M31" s="62">
        <v>3478.2959999999998</v>
      </c>
      <c r="N31" s="62">
        <v>2163.02</v>
      </c>
      <c r="O31" s="62">
        <v>0</v>
      </c>
      <c r="P31" s="62"/>
      <c r="Q31" s="62">
        <v>3258.22</v>
      </c>
      <c r="R31" s="62">
        <v>54055.519999999997</v>
      </c>
      <c r="S31" s="62">
        <v>20684.775999999998</v>
      </c>
      <c r="T31" s="62">
        <v>-23100.431999999997</v>
      </c>
      <c r="U31" s="62">
        <v>0</v>
      </c>
      <c r="V31" s="62"/>
      <c r="W31" s="62">
        <v>9660.9959999999992</v>
      </c>
      <c r="X31" s="62">
        <v>9660.9959999999992</v>
      </c>
      <c r="Y31" s="62">
        <v>8880.887999999999</v>
      </c>
      <c r="Z31" s="62">
        <v>4087.7599999999998</v>
      </c>
      <c r="AA31" s="62">
        <v>0</v>
      </c>
      <c r="AB31" s="62"/>
      <c r="AC31" s="62">
        <v>0</v>
      </c>
      <c r="AD31" s="62">
        <v>0</v>
      </c>
      <c r="AE31" s="62">
        <v>0</v>
      </c>
      <c r="AF31" s="62">
        <v>0</v>
      </c>
      <c r="AG31" s="62">
        <v>0</v>
      </c>
      <c r="AH31" s="62"/>
      <c r="AI31" s="62">
        <v>-6123.4880443447373</v>
      </c>
      <c r="AJ31" s="62">
        <v>-4903.2772049256509</v>
      </c>
      <c r="AK31" s="62">
        <v>-3489.0867541563962</v>
      </c>
      <c r="AL31" s="62">
        <v>-828.60192000001541</v>
      </c>
      <c r="AM31" s="62">
        <v>0</v>
      </c>
    </row>
    <row r="32" spans="1:39">
      <c r="A32" s="9">
        <v>90301</v>
      </c>
      <c r="B32" s="10" t="s">
        <v>1416</v>
      </c>
      <c r="C32" s="60">
        <v>6.7040000000000003E-4</v>
      </c>
      <c r="E32" s="62">
        <v>48971.73685857965</v>
      </c>
      <c r="F32" s="62">
        <v>296331.05735144275</v>
      </c>
      <c r="G32" s="62">
        <v>147290.80763539093</v>
      </c>
      <c r="H32" s="62">
        <v>-76667.795600000012</v>
      </c>
      <c r="I32" s="62">
        <v>0</v>
      </c>
      <c r="J32" s="62"/>
      <c r="K32" s="62">
        <v>-4033.7968000000001</v>
      </c>
      <c r="L32" s="62">
        <v>8491.2864000000009</v>
      </c>
      <c r="M32" s="62">
        <v>15755.740800000001</v>
      </c>
      <c r="N32" s="62">
        <v>9797.8960000000006</v>
      </c>
      <c r="O32" s="62">
        <v>0</v>
      </c>
      <c r="P32" s="62"/>
      <c r="Q32" s="62">
        <v>14758.856000000002</v>
      </c>
      <c r="R32" s="62">
        <v>244856.89600000001</v>
      </c>
      <c r="S32" s="62">
        <v>93696.444799999997</v>
      </c>
      <c r="T32" s="62">
        <v>-104638.7136</v>
      </c>
      <c r="U32" s="62">
        <v>0</v>
      </c>
      <c r="V32" s="62"/>
      <c r="W32" s="62">
        <v>43761.700799999999</v>
      </c>
      <c r="X32" s="62">
        <v>43761.700799999999</v>
      </c>
      <c r="Y32" s="62">
        <v>40228.022400000002</v>
      </c>
      <c r="Z32" s="62">
        <v>18516.448</v>
      </c>
      <c r="AA32" s="62">
        <v>0</v>
      </c>
      <c r="AB32" s="62"/>
      <c r="AC32" s="62">
        <v>2370.2928174273857</v>
      </c>
      <c r="AD32" s="62">
        <v>1943.640110290457</v>
      </c>
      <c r="AE32" s="62">
        <v>0</v>
      </c>
      <c r="AF32" s="62">
        <v>0</v>
      </c>
      <c r="AG32" s="62">
        <v>0</v>
      </c>
      <c r="AH32" s="62"/>
      <c r="AI32" s="62">
        <v>-7885.3159588477338</v>
      </c>
      <c r="AJ32" s="62">
        <v>-2722.4659588477321</v>
      </c>
      <c r="AK32" s="62">
        <v>-2389.4003646090523</v>
      </c>
      <c r="AL32" s="62">
        <v>-343.42600000001312</v>
      </c>
      <c r="AM32" s="62">
        <v>0</v>
      </c>
    </row>
    <row r="33" spans="1:39">
      <c r="A33" s="9">
        <v>90305</v>
      </c>
      <c r="B33" s="10" t="s">
        <v>1417</v>
      </c>
      <c r="C33" s="60">
        <v>1.617E-4</v>
      </c>
      <c r="E33" s="62">
        <v>23146.59023703805</v>
      </c>
      <c r="F33" s="62">
        <v>78749.902586415643</v>
      </c>
      <c r="G33" s="62">
        <v>38802.674432345681</v>
      </c>
      <c r="H33" s="62">
        <v>-17485.724980000006</v>
      </c>
      <c r="I33" s="62">
        <v>0</v>
      </c>
      <c r="J33" s="62"/>
      <c r="K33" s="62">
        <v>-972.94889999999998</v>
      </c>
      <c r="L33" s="62">
        <v>2048.0922</v>
      </c>
      <c r="M33" s="62">
        <v>3800.2734</v>
      </c>
      <c r="N33" s="62">
        <v>2363.2455</v>
      </c>
      <c r="O33" s="62">
        <v>0</v>
      </c>
      <c r="P33" s="62"/>
      <c r="Q33" s="62">
        <v>3559.8254999999999</v>
      </c>
      <c r="R33" s="62">
        <v>59059.307999999997</v>
      </c>
      <c r="S33" s="62">
        <v>22599.5154</v>
      </c>
      <c r="T33" s="62">
        <v>-25238.782800000001</v>
      </c>
      <c r="U33" s="62">
        <v>0</v>
      </c>
      <c r="V33" s="62"/>
      <c r="W33" s="62">
        <v>10555.2909</v>
      </c>
      <c r="X33" s="62">
        <v>10555.2909</v>
      </c>
      <c r="Y33" s="62">
        <v>9702.9701999999997</v>
      </c>
      <c r="Z33" s="62">
        <v>4466.1540000000005</v>
      </c>
      <c r="AA33" s="62">
        <v>0</v>
      </c>
      <c r="AB33" s="62"/>
      <c r="AC33" s="62">
        <v>10004.422737038052</v>
      </c>
      <c r="AD33" s="62">
        <v>7087.2114864156474</v>
      </c>
      <c r="AE33" s="62">
        <v>2699.9154323456751</v>
      </c>
      <c r="AF33" s="62">
        <v>923.65831999999637</v>
      </c>
      <c r="AG33" s="62">
        <v>0</v>
      </c>
      <c r="AH33" s="62"/>
      <c r="AI33" s="62">
        <v>0</v>
      </c>
      <c r="AJ33" s="62">
        <v>0</v>
      </c>
      <c r="AK33" s="62">
        <v>0</v>
      </c>
      <c r="AL33" s="62">
        <v>0</v>
      </c>
      <c r="AM33" s="62">
        <v>0</v>
      </c>
    </row>
    <row r="34" spans="1:39">
      <c r="A34" s="9">
        <v>90307</v>
      </c>
      <c r="B34" s="10" t="s">
        <v>1418</v>
      </c>
      <c r="C34" s="60">
        <v>7.7999999999999999E-6</v>
      </c>
      <c r="E34" s="62">
        <v>794.19036460427219</v>
      </c>
      <c r="F34" s="62">
        <v>3644.6792675088368</v>
      </c>
      <c r="G34" s="62">
        <v>1873.8023992592593</v>
      </c>
      <c r="H34" s="62">
        <v>-761.36755999999912</v>
      </c>
      <c r="I34" s="62">
        <v>0</v>
      </c>
      <c r="J34" s="62"/>
      <c r="K34" s="62">
        <v>-46.932600000000001</v>
      </c>
      <c r="L34" s="62">
        <v>98.794799999999995</v>
      </c>
      <c r="M34" s="62">
        <v>183.31559999999999</v>
      </c>
      <c r="N34" s="62">
        <v>113.997</v>
      </c>
      <c r="O34" s="62">
        <v>0</v>
      </c>
      <c r="P34" s="62"/>
      <c r="Q34" s="62">
        <v>171.71699999999998</v>
      </c>
      <c r="R34" s="62">
        <v>2848.8719999999998</v>
      </c>
      <c r="S34" s="62">
        <v>1090.1435999999999</v>
      </c>
      <c r="T34" s="62">
        <v>-1217.4551999999999</v>
      </c>
      <c r="U34" s="62">
        <v>0</v>
      </c>
      <c r="V34" s="62"/>
      <c r="W34" s="62">
        <v>509.16059999999999</v>
      </c>
      <c r="X34" s="62">
        <v>509.16059999999999</v>
      </c>
      <c r="Y34" s="62">
        <v>468.04680000000002</v>
      </c>
      <c r="Z34" s="62">
        <v>215.43600000000001</v>
      </c>
      <c r="AA34" s="62">
        <v>0</v>
      </c>
      <c r="AB34" s="62"/>
      <c r="AC34" s="62">
        <v>199.84536460427228</v>
      </c>
      <c r="AD34" s="62">
        <v>187.85186750883668</v>
      </c>
      <c r="AE34" s="62">
        <v>132.29639925925954</v>
      </c>
      <c r="AF34" s="62">
        <v>126.65464000000065</v>
      </c>
      <c r="AG34" s="62">
        <v>0</v>
      </c>
      <c r="AH34" s="62"/>
      <c r="AI34" s="62">
        <v>-39.600000000000009</v>
      </c>
      <c r="AJ34" s="62">
        <v>0</v>
      </c>
      <c r="AK34" s="62">
        <v>0</v>
      </c>
      <c r="AL34" s="62">
        <v>0</v>
      </c>
      <c r="AM34" s="62">
        <v>0</v>
      </c>
    </row>
    <row r="35" spans="1:39">
      <c r="A35" s="9">
        <v>90401</v>
      </c>
      <c r="B35" s="10" t="s">
        <v>1419</v>
      </c>
      <c r="C35" s="60">
        <v>1.3270999999999999E-3</v>
      </c>
      <c r="E35" s="62">
        <v>131752.45429362962</v>
      </c>
      <c r="F35" s="62">
        <v>600514.70116375398</v>
      </c>
      <c r="G35" s="62">
        <v>295583.02218938287</v>
      </c>
      <c r="H35" s="62">
        <v>-153915.28725999987</v>
      </c>
      <c r="I35" s="62">
        <v>0</v>
      </c>
      <c r="J35" s="62"/>
      <c r="K35" s="62">
        <v>-7985.1606999999995</v>
      </c>
      <c r="L35" s="62">
        <v>16809.048599999998</v>
      </c>
      <c r="M35" s="62">
        <v>31189.504199999996</v>
      </c>
      <c r="N35" s="62">
        <v>19395.566499999997</v>
      </c>
      <c r="O35" s="62">
        <v>0</v>
      </c>
      <c r="P35" s="62"/>
      <c r="Q35" s="62">
        <v>29216.106499999998</v>
      </c>
      <c r="R35" s="62">
        <v>484710.00399999996</v>
      </c>
      <c r="S35" s="62">
        <v>185478.15019999997</v>
      </c>
      <c r="T35" s="62">
        <v>-207139.07639999999</v>
      </c>
      <c r="U35" s="62">
        <v>0</v>
      </c>
      <c r="V35" s="62"/>
      <c r="W35" s="62">
        <v>86629.106699999989</v>
      </c>
      <c r="X35" s="62">
        <v>86629.106699999989</v>
      </c>
      <c r="Y35" s="62">
        <v>79633.962599999999</v>
      </c>
      <c r="Z35" s="62">
        <v>36654.502</v>
      </c>
      <c r="AA35" s="62">
        <v>0</v>
      </c>
      <c r="AB35" s="62"/>
      <c r="AC35" s="62">
        <v>26718.681153629488</v>
      </c>
      <c r="AD35" s="62">
        <v>15192.821223753968</v>
      </c>
      <c r="AE35" s="62">
        <v>2107.6845493827545</v>
      </c>
      <c r="AF35" s="62">
        <v>0</v>
      </c>
      <c r="AG35" s="62">
        <v>0</v>
      </c>
      <c r="AH35" s="62"/>
      <c r="AI35" s="62">
        <v>-2826.2793599998813</v>
      </c>
      <c r="AJ35" s="62">
        <v>-2826.2793599998813</v>
      </c>
      <c r="AK35" s="62">
        <v>-2826.2793599998813</v>
      </c>
      <c r="AL35" s="62">
        <v>-2826.2793599998813</v>
      </c>
      <c r="AM35" s="62">
        <v>0</v>
      </c>
    </row>
    <row r="36" spans="1:39">
      <c r="A36" s="9">
        <v>90411</v>
      </c>
      <c r="B36" s="10" t="s">
        <v>1420</v>
      </c>
      <c r="C36" s="60">
        <v>3.5100000000000002E-4</v>
      </c>
      <c r="E36" s="62">
        <v>12561.75729110258</v>
      </c>
      <c r="F36" s="62">
        <v>141083.56894628931</v>
      </c>
      <c r="G36" s="62">
        <v>69240.093131440328</v>
      </c>
      <c r="H36" s="62">
        <v>-42379.041319999997</v>
      </c>
      <c r="I36" s="62">
        <v>0</v>
      </c>
      <c r="J36" s="62"/>
      <c r="K36" s="62">
        <v>-2111.9670000000001</v>
      </c>
      <c r="L36" s="62">
        <v>4445.7660000000005</v>
      </c>
      <c r="M36" s="62">
        <v>8249.2020000000011</v>
      </c>
      <c r="N36" s="62">
        <v>5129.8650000000007</v>
      </c>
      <c r="O36" s="62">
        <v>0</v>
      </c>
      <c r="P36" s="62"/>
      <c r="Q36" s="62">
        <v>7727.2650000000003</v>
      </c>
      <c r="R36" s="62">
        <v>128199.24</v>
      </c>
      <c r="S36" s="62">
        <v>49056.462</v>
      </c>
      <c r="T36" s="62">
        <v>-54785.484000000004</v>
      </c>
      <c r="U36" s="62">
        <v>0</v>
      </c>
      <c r="V36" s="62"/>
      <c r="W36" s="62">
        <v>22912.227000000003</v>
      </c>
      <c r="X36" s="62">
        <v>22912.227000000003</v>
      </c>
      <c r="Y36" s="62">
        <v>21062.106</v>
      </c>
      <c r="Z36" s="62">
        <v>9694.6200000000008</v>
      </c>
      <c r="AA36" s="62">
        <v>0</v>
      </c>
      <c r="AB36" s="62"/>
      <c r="AC36" s="62">
        <v>0</v>
      </c>
      <c r="AD36" s="62">
        <v>0</v>
      </c>
      <c r="AE36" s="62">
        <v>0</v>
      </c>
      <c r="AF36" s="62">
        <v>0</v>
      </c>
      <c r="AG36" s="62">
        <v>0</v>
      </c>
      <c r="AH36" s="62"/>
      <c r="AI36" s="62">
        <v>-15965.767708897421</v>
      </c>
      <c r="AJ36" s="62">
        <v>-14473.664053710703</v>
      </c>
      <c r="AK36" s="62">
        <v>-9127.6768685596799</v>
      </c>
      <c r="AL36" s="62">
        <v>-2418.0423199999959</v>
      </c>
      <c r="AM36" s="62">
        <v>0</v>
      </c>
    </row>
    <row r="37" spans="1:39">
      <c r="A37" s="9">
        <v>90413</v>
      </c>
      <c r="B37" s="10" t="s">
        <v>1421</v>
      </c>
      <c r="C37" s="60">
        <v>3.4600000000000001E-5</v>
      </c>
      <c r="E37" s="62">
        <v>6214.7235828027942</v>
      </c>
      <c r="F37" s="62">
        <v>17072.114230105697</v>
      </c>
      <c r="G37" s="62">
        <v>7820.7750509465022</v>
      </c>
      <c r="H37" s="62">
        <v>-4168.1460399999987</v>
      </c>
      <c r="I37" s="62">
        <v>0</v>
      </c>
      <c r="J37" s="62"/>
      <c r="K37" s="62">
        <v>-208.18819999999999</v>
      </c>
      <c r="L37" s="62">
        <v>438.24360000000001</v>
      </c>
      <c r="M37" s="62">
        <v>813.16920000000005</v>
      </c>
      <c r="N37" s="62">
        <v>505.67900000000003</v>
      </c>
      <c r="O37" s="62">
        <v>0</v>
      </c>
      <c r="P37" s="62"/>
      <c r="Q37" s="62">
        <v>761.71900000000005</v>
      </c>
      <c r="R37" s="62">
        <v>12637.304</v>
      </c>
      <c r="S37" s="62">
        <v>4835.7651999999998</v>
      </c>
      <c r="T37" s="62">
        <v>-5400.5064000000002</v>
      </c>
      <c r="U37" s="62">
        <v>0</v>
      </c>
      <c r="V37" s="62"/>
      <c r="W37" s="62">
        <v>2258.5842000000002</v>
      </c>
      <c r="X37" s="62">
        <v>2258.5842000000002</v>
      </c>
      <c r="Y37" s="62">
        <v>2076.2076000000002</v>
      </c>
      <c r="Z37" s="62">
        <v>955.65200000000004</v>
      </c>
      <c r="AA37" s="62">
        <v>0</v>
      </c>
      <c r="AB37" s="62"/>
      <c r="AC37" s="62">
        <v>3631.5792228027931</v>
      </c>
      <c r="AD37" s="62">
        <v>1966.9530701056981</v>
      </c>
      <c r="AE37" s="62">
        <v>324.60369094650127</v>
      </c>
      <c r="AF37" s="62">
        <v>0</v>
      </c>
      <c r="AG37" s="62">
        <v>0</v>
      </c>
      <c r="AH37" s="62"/>
      <c r="AI37" s="62">
        <v>-228.97063999999847</v>
      </c>
      <c r="AJ37" s="62">
        <v>-228.97063999999847</v>
      </c>
      <c r="AK37" s="62">
        <v>-228.97063999999847</v>
      </c>
      <c r="AL37" s="62">
        <v>-228.97063999999847</v>
      </c>
      <c r="AM37" s="62">
        <v>0</v>
      </c>
    </row>
    <row r="38" spans="1:39">
      <c r="A38" s="9">
        <v>90417</v>
      </c>
      <c r="B38" s="10" t="s">
        <v>1422</v>
      </c>
      <c r="C38" s="60">
        <v>1.17E-5</v>
      </c>
      <c r="E38" s="62">
        <v>2169.0640842316807</v>
      </c>
      <c r="F38" s="62">
        <v>6137.9202634847934</v>
      </c>
      <c r="G38" s="62">
        <v>3385.3933796707815</v>
      </c>
      <c r="H38" s="62">
        <v>-798.85858000000007</v>
      </c>
      <c r="I38" s="62">
        <v>0</v>
      </c>
      <c r="J38" s="62"/>
      <c r="K38" s="62">
        <v>-70.398899999999998</v>
      </c>
      <c r="L38" s="62">
        <v>148.19219999999999</v>
      </c>
      <c r="M38" s="62">
        <v>274.97339999999997</v>
      </c>
      <c r="N38" s="62">
        <v>170.99549999999999</v>
      </c>
      <c r="O38" s="62">
        <v>0</v>
      </c>
      <c r="P38" s="62"/>
      <c r="Q38" s="62">
        <v>257.57549999999998</v>
      </c>
      <c r="R38" s="62">
        <v>4273.308</v>
      </c>
      <c r="S38" s="62">
        <v>1635.2154</v>
      </c>
      <c r="T38" s="62">
        <v>-1826.1828</v>
      </c>
      <c r="U38" s="62">
        <v>0</v>
      </c>
      <c r="V38" s="62"/>
      <c r="W38" s="62">
        <v>763.74090000000001</v>
      </c>
      <c r="X38" s="62">
        <v>763.74090000000001</v>
      </c>
      <c r="Y38" s="62">
        <v>702.0702</v>
      </c>
      <c r="Z38" s="62">
        <v>323.154</v>
      </c>
      <c r="AA38" s="62">
        <v>0</v>
      </c>
      <c r="AB38" s="62"/>
      <c r="AC38" s="62">
        <v>1218.1465842316809</v>
      </c>
      <c r="AD38" s="62">
        <v>952.67916348479309</v>
      </c>
      <c r="AE38" s="62">
        <v>773.13437967078153</v>
      </c>
      <c r="AF38" s="62">
        <v>533.17471999999998</v>
      </c>
      <c r="AG38" s="62">
        <v>0</v>
      </c>
      <c r="AH38" s="62"/>
      <c r="AI38" s="62">
        <v>0</v>
      </c>
      <c r="AJ38" s="62">
        <v>0</v>
      </c>
      <c r="AK38" s="62">
        <v>0</v>
      </c>
      <c r="AL38" s="62">
        <v>0</v>
      </c>
      <c r="AM38" s="62">
        <v>0</v>
      </c>
    </row>
    <row r="39" spans="1:39">
      <c r="A39" s="9">
        <v>90421</v>
      </c>
      <c r="B39" s="10" t="s">
        <v>1423</v>
      </c>
      <c r="C39" s="60">
        <v>2.19E-5</v>
      </c>
      <c r="E39" s="62">
        <v>-29.202353017093856</v>
      </c>
      <c r="F39" s="62">
        <v>8451.7676148667251</v>
      </c>
      <c r="G39" s="62">
        <v>3821.0521257613163</v>
      </c>
      <c r="H39" s="62">
        <v>-3082.2555800000009</v>
      </c>
      <c r="I39" s="62">
        <v>0</v>
      </c>
      <c r="J39" s="62"/>
      <c r="K39" s="62">
        <v>-131.7723</v>
      </c>
      <c r="L39" s="62">
        <v>277.3854</v>
      </c>
      <c r="M39" s="62">
        <v>514.69380000000001</v>
      </c>
      <c r="N39" s="62">
        <v>320.06850000000003</v>
      </c>
      <c r="O39" s="62">
        <v>0</v>
      </c>
      <c r="P39" s="62"/>
      <c r="Q39" s="62">
        <v>482.12850000000003</v>
      </c>
      <c r="R39" s="62">
        <v>7998.7560000000003</v>
      </c>
      <c r="S39" s="62">
        <v>3060.7878000000001</v>
      </c>
      <c r="T39" s="62">
        <v>-3418.2395999999999</v>
      </c>
      <c r="U39" s="62">
        <v>0</v>
      </c>
      <c r="V39" s="62"/>
      <c r="W39" s="62">
        <v>1429.5663</v>
      </c>
      <c r="X39" s="62">
        <v>1429.5663</v>
      </c>
      <c r="Y39" s="62">
        <v>1314.1314</v>
      </c>
      <c r="Z39" s="62">
        <v>604.87800000000004</v>
      </c>
      <c r="AA39" s="62">
        <v>0</v>
      </c>
      <c r="AB39" s="62"/>
      <c r="AC39" s="62">
        <v>0</v>
      </c>
      <c r="AD39" s="62">
        <v>0</v>
      </c>
      <c r="AE39" s="62">
        <v>0</v>
      </c>
      <c r="AF39" s="62">
        <v>0</v>
      </c>
      <c r="AG39" s="62">
        <v>0</v>
      </c>
      <c r="AH39" s="62"/>
      <c r="AI39" s="62">
        <v>-1809.124853017094</v>
      </c>
      <c r="AJ39" s="62">
        <v>-1253.9400851332764</v>
      </c>
      <c r="AK39" s="62">
        <v>-1068.5608742386842</v>
      </c>
      <c r="AL39" s="62">
        <v>-588.96248000000082</v>
      </c>
      <c r="AM39" s="62">
        <v>0</v>
      </c>
    </row>
    <row r="40" spans="1:39">
      <c r="A40" s="9">
        <v>90431</v>
      </c>
      <c r="B40" s="10" t="s">
        <v>1424</v>
      </c>
      <c r="C40" s="60">
        <v>4.8300000000000002E-5</v>
      </c>
      <c r="E40" s="62">
        <v>7566.9113836548713</v>
      </c>
      <c r="F40" s="62">
        <v>23825.034963322927</v>
      </c>
      <c r="G40" s="62">
        <v>11256.926361646094</v>
      </c>
      <c r="H40" s="62">
        <v>-4642.9897399999982</v>
      </c>
      <c r="I40" s="62">
        <v>0</v>
      </c>
      <c r="J40" s="62"/>
      <c r="K40" s="62">
        <v>-290.62110000000001</v>
      </c>
      <c r="L40" s="62">
        <v>611.76779999999997</v>
      </c>
      <c r="M40" s="62">
        <v>1135.1466</v>
      </c>
      <c r="N40" s="62">
        <v>705.90449999999998</v>
      </c>
      <c r="O40" s="62">
        <v>0</v>
      </c>
      <c r="P40" s="62"/>
      <c r="Q40" s="62">
        <v>1063.3244999999999</v>
      </c>
      <c r="R40" s="62">
        <v>17641.092000000001</v>
      </c>
      <c r="S40" s="62">
        <v>6750.5046000000002</v>
      </c>
      <c r="T40" s="62">
        <v>-7538.8572000000004</v>
      </c>
      <c r="U40" s="62">
        <v>0</v>
      </c>
      <c r="V40" s="62"/>
      <c r="W40" s="62">
        <v>3152.8791000000001</v>
      </c>
      <c r="X40" s="62">
        <v>3152.8791000000001</v>
      </c>
      <c r="Y40" s="62">
        <v>2898.2898</v>
      </c>
      <c r="Z40" s="62">
        <v>1334.046</v>
      </c>
      <c r="AA40" s="62">
        <v>0</v>
      </c>
      <c r="AB40" s="62"/>
      <c r="AC40" s="62">
        <v>4086.5981840663922</v>
      </c>
      <c r="AD40" s="62">
        <v>2864.5653637344426</v>
      </c>
      <c r="AE40" s="62">
        <v>855.91696000000229</v>
      </c>
      <c r="AF40" s="62">
        <v>855.91696000000229</v>
      </c>
      <c r="AG40" s="62">
        <v>0</v>
      </c>
      <c r="AH40" s="62"/>
      <c r="AI40" s="62">
        <v>-445.26930041152104</v>
      </c>
      <c r="AJ40" s="62">
        <v>-445.26930041152104</v>
      </c>
      <c r="AK40" s="62">
        <v>-382.93159835390821</v>
      </c>
      <c r="AL40" s="62">
        <v>0</v>
      </c>
      <c r="AM40" s="62">
        <v>0</v>
      </c>
    </row>
    <row r="41" spans="1:39">
      <c r="A41" s="9">
        <v>90441</v>
      </c>
      <c r="B41" s="10" t="s">
        <v>1425</v>
      </c>
      <c r="C41" s="60">
        <v>8.3999999999999992E-6</v>
      </c>
      <c r="E41" s="62">
        <v>1297.9271655318196</v>
      </c>
      <c r="F41" s="62">
        <v>3747.8323049509063</v>
      </c>
      <c r="G41" s="62">
        <v>1953.1869063374479</v>
      </c>
      <c r="H41" s="62">
        <v>-913.21152000000029</v>
      </c>
      <c r="I41" s="62">
        <v>0</v>
      </c>
      <c r="J41" s="62"/>
      <c r="K41" s="62">
        <v>-50.542799999999993</v>
      </c>
      <c r="L41" s="62">
        <v>106.39439999999999</v>
      </c>
      <c r="M41" s="62">
        <v>197.41679999999999</v>
      </c>
      <c r="N41" s="62">
        <v>122.76599999999999</v>
      </c>
      <c r="O41" s="62">
        <v>0</v>
      </c>
      <c r="P41" s="62"/>
      <c r="Q41" s="62">
        <v>184.92599999999999</v>
      </c>
      <c r="R41" s="62">
        <v>3068.0159999999996</v>
      </c>
      <c r="S41" s="62">
        <v>1174.0007999999998</v>
      </c>
      <c r="T41" s="62">
        <v>-1311.1055999999999</v>
      </c>
      <c r="U41" s="62">
        <v>0</v>
      </c>
      <c r="V41" s="62"/>
      <c r="W41" s="62">
        <v>548.32679999999993</v>
      </c>
      <c r="X41" s="62">
        <v>548.32679999999993</v>
      </c>
      <c r="Y41" s="62">
        <v>504.05039999999997</v>
      </c>
      <c r="Z41" s="62">
        <v>232.00799999999998</v>
      </c>
      <c r="AA41" s="62">
        <v>0</v>
      </c>
      <c r="AB41" s="62"/>
      <c r="AC41" s="62">
        <v>686.26127341563756</v>
      </c>
      <c r="AD41" s="62">
        <v>83.351273415637465</v>
      </c>
      <c r="AE41" s="62">
        <v>77.718906337448175</v>
      </c>
      <c r="AF41" s="62">
        <v>43.120079999999518</v>
      </c>
      <c r="AG41" s="62">
        <v>0</v>
      </c>
      <c r="AH41" s="62"/>
      <c r="AI41" s="62">
        <v>-71.044107883817802</v>
      </c>
      <c r="AJ41" s="62">
        <v>-58.256168464730621</v>
      </c>
      <c r="AK41" s="62">
        <v>0</v>
      </c>
      <c r="AL41" s="62">
        <v>0</v>
      </c>
      <c r="AM41" s="62">
        <v>0</v>
      </c>
    </row>
    <row r="42" spans="1:39">
      <c r="A42" s="9">
        <v>90451</v>
      </c>
      <c r="B42" s="10" t="s">
        <v>1426</v>
      </c>
      <c r="C42" s="60">
        <v>1.6699999999999999E-5</v>
      </c>
      <c r="E42" s="62">
        <v>1989.6026195915506</v>
      </c>
      <c r="F42" s="62">
        <v>7831.0656677243305</v>
      </c>
      <c r="G42" s="62">
        <v>4145.2116631275712</v>
      </c>
      <c r="H42" s="62">
        <v>-2080.4710200000009</v>
      </c>
      <c r="I42" s="62">
        <v>0</v>
      </c>
      <c r="J42" s="62"/>
      <c r="K42" s="62">
        <v>-100.48389999999999</v>
      </c>
      <c r="L42" s="62">
        <v>211.5222</v>
      </c>
      <c r="M42" s="62">
        <v>392.48339999999996</v>
      </c>
      <c r="N42" s="62">
        <v>244.07049999999998</v>
      </c>
      <c r="O42" s="62">
        <v>0</v>
      </c>
      <c r="P42" s="62"/>
      <c r="Q42" s="62">
        <v>367.65049999999997</v>
      </c>
      <c r="R42" s="62">
        <v>6099.5079999999998</v>
      </c>
      <c r="S42" s="62">
        <v>2334.0254</v>
      </c>
      <c r="T42" s="62">
        <v>-2606.6028000000001</v>
      </c>
      <c r="U42" s="62">
        <v>0</v>
      </c>
      <c r="V42" s="62"/>
      <c r="W42" s="62">
        <v>1090.1259</v>
      </c>
      <c r="X42" s="62">
        <v>1090.1259</v>
      </c>
      <c r="Y42" s="62">
        <v>1002.1002</v>
      </c>
      <c r="Z42" s="62">
        <v>461.25399999999996</v>
      </c>
      <c r="AA42" s="62">
        <v>0</v>
      </c>
      <c r="AB42" s="62"/>
      <c r="AC42" s="62">
        <v>913.55532921810709</v>
      </c>
      <c r="AD42" s="62">
        <v>692.78532921810699</v>
      </c>
      <c r="AE42" s="62">
        <v>595.79538312757222</v>
      </c>
      <c r="AF42" s="62">
        <v>0</v>
      </c>
      <c r="AG42" s="62">
        <v>0</v>
      </c>
      <c r="AH42" s="62"/>
      <c r="AI42" s="62">
        <v>-281.2452096265564</v>
      </c>
      <c r="AJ42" s="62">
        <v>-262.87576149377634</v>
      </c>
      <c r="AK42" s="62">
        <v>-179.19272000000055</v>
      </c>
      <c r="AL42" s="62">
        <v>-179.19272000000055</v>
      </c>
      <c r="AM42" s="62">
        <v>0</v>
      </c>
    </row>
    <row r="43" spans="1:39">
      <c r="A43" s="9">
        <v>90461</v>
      </c>
      <c r="B43" s="10" t="s">
        <v>1427</v>
      </c>
      <c r="C43" s="60">
        <v>7.4000000000000003E-6</v>
      </c>
      <c r="E43" s="62">
        <v>-390.23163412871918</v>
      </c>
      <c r="F43" s="62">
        <v>2951.9205990663031</v>
      </c>
      <c r="G43" s="62">
        <v>-39.179490041155077</v>
      </c>
      <c r="H43" s="62">
        <v>-2426.4415600000029</v>
      </c>
      <c r="I43" s="62">
        <v>0</v>
      </c>
      <c r="J43" s="62"/>
      <c r="K43" s="62">
        <v>-44.525800000000004</v>
      </c>
      <c r="L43" s="62">
        <v>93.728400000000008</v>
      </c>
      <c r="M43" s="62">
        <v>173.91480000000001</v>
      </c>
      <c r="N43" s="62">
        <v>108.15100000000001</v>
      </c>
      <c r="O43" s="62">
        <v>0</v>
      </c>
      <c r="P43" s="62"/>
      <c r="Q43" s="62">
        <v>162.911</v>
      </c>
      <c r="R43" s="62">
        <v>2702.7760000000003</v>
      </c>
      <c r="S43" s="62">
        <v>1034.2388000000001</v>
      </c>
      <c r="T43" s="62">
        <v>-1155.0216</v>
      </c>
      <c r="U43" s="62">
        <v>0</v>
      </c>
      <c r="V43" s="62"/>
      <c r="W43" s="62">
        <v>483.0498</v>
      </c>
      <c r="X43" s="62">
        <v>483.0498</v>
      </c>
      <c r="Y43" s="62">
        <v>444.0444</v>
      </c>
      <c r="Z43" s="62">
        <v>204.38800000000001</v>
      </c>
      <c r="AA43" s="62">
        <v>0</v>
      </c>
      <c r="AB43" s="62"/>
      <c r="AC43" s="62">
        <v>1684.4275933609961</v>
      </c>
      <c r="AD43" s="62">
        <v>1381.2306265560173</v>
      </c>
      <c r="AE43" s="62">
        <v>0</v>
      </c>
      <c r="AF43" s="62">
        <v>0</v>
      </c>
      <c r="AG43" s="62">
        <v>0</v>
      </c>
      <c r="AH43" s="62"/>
      <c r="AI43" s="62">
        <v>-2676.0942274897152</v>
      </c>
      <c r="AJ43" s="62">
        <v>-1708.8642274897147</v>
      </c>
      <c r="AK43" s="62">
        <v>-1691.3774900411552</v>
      </c>
      <c r="AL43" s="62">
        <v>-1583.9589600000029</v>
      </c>
      <c r="AM43" s="62">
        <v>0</v>
      </c>
    </row>
    <row r="44" spans="1:39">
      <c r="A44" s="9">
        <v>90501</v>
      </c>
      <c r="B44" s="10" t="s">
        <v>1428</v>
      </c>
      <c r="C44" s="60">
        <v>1.4176E-3</v>
      </c>
      <c r="E44" s="62">
        <v>142228.18739914556</v>
      </c>
      <c r="F44" s="62">
        <v>640782.55971823272</v>
      </c>
      <c r="G44" s="62">
        <v>324077.59236814821</v>
      </c>
      <c r="H44" s="62">
        <v>-154576.46008000005</v>
      </c>
      <c r="I44" s="62">
        <v>0</v>
      </c>
      <c r="J44" s="62"/>
      <c r="K44" s="62">
        <v>-8529.6991999999991</v>
      </c>
      <c r="L44" s="62">
        <v>17955.321599999999</v>
      </c>
      <c r="M44" s="62">
        <v>33316.4352</v>
      </c>
      <c r="N44" s="62">
        <v>20718.223999999998</v>
      </c>
      <c r="O44" s="62">
        <v>0</v>
      </c>
      <c r="P44" s="62"/>
      <c r="Q44" s="62">
        <v>31208.464</v>
      </c>
      <c r="R44" s="62">
        <v>517764.22399999999</v>
      </c>
      <c r="S44" s="62">
        <v>198126.61119999998</v>
      </c>
      <c r="T44" s="62">
        <v>-221264.6784</v>
      </c>
      <c r="U44" s="62">
        <v>0</v>
      </c>
      <c r="V44" s="62"/>
      <c r="W44" s="62">
        <v>92536.675199999998</v>
      </c>
      <c r="X44" s="62">
        <v>92536.675199999998</v>
      </c>
      <c r="Y44" s="62">
        <v>85064.505600000004</v>
      </c>
      <c r="Z44" s="62">
        <v>39154.112000000001</v>
      </c>
      <c r="AA44" s="62">
        <v>0</v>
      </c>
      <c r="AB44" s="62"/>
      <c r="AC44" s="62">
        <v>27012.747399145548</v>
      </c>
      <c r="AD44" s="62">
        <v>12526.338918232688</v>
      </c>
      <c r="AE44" s="62">
        <v>7570.040368148173</v>
      </c>
      <c r="AF44" s="62">
        <v>6815.8823199999752</v>
      </c>
      <c r="AG44" s="62">
        <v>0</v>
      </c>
      <c r="AH44" s="62"/>
      <c r="AI44" s="62">
        <v>0</v>
      </c>
      <c r="AJ44" s="62">
        <v>0</v>
      </c>
      <c r="AK44" s="62">
        <v>0</v>
      </c>
      <c r="AL44" s="62">
        <v>0</v>
      </c>
      <c r="AM44" s="62">
        <v>0</v>
      </c>
    </row>
    <row r="45" spans="1:39">
      <c r="A45" s="9">
        <v>90507</v>
      </c>
      <c r="B45" s="10" t="s">
        <v>62</v>
      </c>
      <c r="C45" s="60">
        <v>6.6000000000000003E-6</v>
      </c>
      <c r="E45" s="62">
        <v>4650.1630920150938</v>
      </c>
      <c r="F45" s="62">
        <v>6532.6670928449694</v>
      </c>
      <c r="G45" s="62">
        <v>3939.3970912757195</v>
      </c>
      <c r="H45" s="62">
        <v>606.80195999999921</v>
      </c>
      <c r="I45" s="62">
        <v>0</v>
      </c>
      <c r="J45" s="62"/>
      <c r="K45" s="62">
        <v>-39.712200000000003</v>
      </c>
      <c r="L45" s="62">
        <v>83.595600000000005</v>
      </c>
      <c r="M45" s="62">
        <v>155.11320000000001</v>
      </c>
      <c r="N45" s="62">
        <v>96.459000000000003</v>
      </c>
      <c r="O45" s="62">
        <v>0</v>
      </c>
      <c r="P45" s="62"/>
      <c r="Q45" s="62">
        <v>145.29900000000001</v>
      </c>
      <c r="R45" s="62">
        <v>2410.5840000000003</v>
      </c>
      <c r="S45" s="62">
        <v>922.42920000000004</v>
      </c>
      <c r="T45" s="62">
        <v>-1030.1544000000001</v>
      </c>
      <c r="U45" s="62">
        <v>0</v>
      </c>
      <c r="V45" s="62"/>
      <c r="W45" s="62">
        <v>430.82820000000004</v>
      </c>
      <c r="X45" s="62">
        <v>430.82820000000004</v>
      </c>
      <c r="Y45" s="62">
        <v>396.03960000000001</v>
      </c>
      <c r="Z45" s="62">
        <v>182.292</v>
      </c>
      <c r="AA45" s="62">
        <v>0</v>
      </c>
      <c r="AB45" s="62"/>
      <c r="AC45" s="62">
        <v>4113.7480920150938</v>
      </c>
      <c r="AD45" s="62">
        <v>3607.6592928449691</v>
      </c>
      <c r="AE45" s="62">
        <v>2465.8150912757196</v>
      </c>
      <c r="AF45" s="62">
        <v>1358.2053599999992</v>
      </c>
      <c r="AG45" s="62">
        <v>0</v>
      </c>
      <c r="AH45" s="62"/>
      <c r="AI45" s="62">
        <v>0</v>
      </c>
      <c r="AJ45" s="62">
        <v>0</v>
      </c>
      <c r="AK45" s="62">
        <v>0</v>
      </c>
      <c r="AL45" s="62">
        <v>0</v>
      </c>
      <c r="AM45" s="62">
        <v>0</v>
      </c>
    </row>
    <row r="46" spans="1:39">
      <c r="A46" s="9">
        <v>90511</v>
      </c>
      <c r="B46" s="10" t="s">
        <v>1429</v>
      </c>
      <c r="C46" s="60">
        <v>8.7000000000000001E-5</v>
      </c>
      <c r="E46" s="62">
        <v>13535.16531140482</v>
      </c>
      <c r="F46" s="62">
        <v>42684.836832981586</v>
      </c>
      <c r="G46" s="62">
        <v>22197.310397119349</v>
      </c>
      <c r="H46" s="62">
        <v>-8836.9893999999949</v>
      </c>
      <c r="I46" s="62">
        <v>0</v>
      </c>
      <c r="J46" s="62"/>
      <c r="K46" s="62">
        <v>-523.47900000000004</v>
      </c>
      <c r="L46" s="62">
        <v>1101.942</v>
      </c>
      <c r="M46" s="62">
        <v>2044.674</v>
      </c>
      <c r="N46" s="62">
        <v>1271.5050000000001</v>
      </c>
      <c r="O46" s="62">
        <v>0</v>
      </c>
      <c r="P46" s="62"/>
      <c r="Q46" s="62">
        <v>1915.3050000000001</v>
      </c>
      <c r="R46" s="62">
        <v>31775.88</v>
      </c>
      <c r="S46" s="62">
        <v>12159.294</v>
      </c>
      <c r="T46" s="62">
        <v>-13579.308000000001</v>
      </c>
      <c r="U46" s="62">
        <v>0</v>
      </c>
      <c r="V46" s="62"/>
      <c r="W46" s="62">
        <v>5679.0990000000002</v>
      </c>
      <c r="X46" s="62">
        <v>5679.0990000000002</v>
      </c>
      <c r="Y46" s="62">
        <v>5220.5219999999999</v>
      </c>
      <c r="Z46" s="62">
        <v>2402.94</v>
      </c>
      <c r="AA46" s="62">
        <v>0</v>
      </c>
      <c r="AB46" s="62"/>
      <c r="AC46" s="62">
        <v>6464.2403114048211</v>
      </c>
      <c r="AD46" s="62">
        <v>4127.9158329815837</v>
      </c>
      <c r="AE46" s="62">
        <v>2772.820397119347</v>
      </c>
      <c r="AF46" s="62">
        <v>1067.8736000000047</v>
      </c>
      <c r="AG46" s="62">
        <v>0</v>
      </c>
      <c r="AH46" s="62"/>
      <c r="AI46" s="62">
        <v>0</v>
      </c>
      <c r="AJ46" s="62">
        <v>0</v>
      </c>
      <c r="AK46" s="62">
        <v>0</v>
      </c>
      <c r="AL46" s="62">
        <v>0</v>
      </c>
      <c r="AM46" s="62">
        <v>0</v>
      </c>
    </row>
    <row r="47" spans="1:39">
      <c r="A47" s="9">
        <v>90521</v>
      </c>
      <c r="B47" s="10" t="s">
        <v>1430</v>
      </c>
      <c r="C47" s="60">
        <v>1.3880000000000001E-4</v>
      </c>
      <c r="E47" s="62">
        <v>4161.3612463705713</v>
      </c>
      <c r="F47" s="62">
        <v>55813.806856246098</v>
      </c>
      <c r="G47" s="62">
        <v>26985.445050617283</v>
      </c>
      <c r="H47" s="62">
        <v>-17424.0628</v>
      </c>
      <c r="I47" s="62">
        <v>0</v>
      </c>
      <c r="J47" s="62"/>
      <c r="K47" s="62">
        <v>-835.15960000000007</v>
      </c>
      <c r="L47" s="62">
        <v>1758.0408000000002</v>
      </c>
      <c r="M47" s="62">
        <v>3262.0776000000001</v>
      </c>
      <c r="N47" s="62">
        <v>2028.5620000000001</v>
      </c>
      <c r="O47" s="62">
        <v>0</v>
      </c>
      <c r="P47" s="62"/>
      <c r="Q47" s="62">
        <v>3055.6820000000002</v>
      </c>
      <c r="R47" s="62">
        <v>50695.312000000005</v>
      </c>
      <c r="S47" s="62">
        <v>19398.965600000003</v>
      </c>
      <c r="T47" s="62">
        <v>-21664.459200000001</v>
      </c>
      <c r="U47" s="62">
        <v>0</v>
      </c>
      <c r="V47" s="62"/>
      <c r="W47" s="62">
        <v>9060.4476000000013</v>
      </c>
      <c r="X47" s="62">
        <v>9060.4476000000013</v>
      </c>
      <c r="Y47" s="62">
        <v>8328.8328000000001</v>
      </c>
      <c r="Z47" s="62">
        <v>3833.6560000000004</v>
      </c>
      <c r="AA47" s="62">
        <v>0</v>
      </c>
      <c r="AB47" s="62"/>
      <c r="AC47" s="62">
        <v>0</v>
      </c>
      <c r="AD47" s="62">
        <v>0</v>
      </c>
      <c r="AE47" s="62">
        <v>0</v>
      </c>
      <c r="AF47" s="62">
        <v>0</v>
      </c>
      <c r="AG47" s="62">
        <v>0</v>
      </c>
      <c r="AH47" s="62"/>
      <c r="AI47" s="62">
        <v>-7119.6087536294299</v>
      </c>
      <c r="AJ47" s="62">
        <v>-5699.9935437539116</v>
      </c>
      <c r="AK47" s="62">
        <v>-4004.4309493827209</v>
      </c>
      <c r="AL47" s="62">
        <v>-1621.8216000000016</v>
      </c>
      <c r="AM47" s="62">
        <v>0</v>
      </c>
    </row>
    <row r="48" spans="1:39">
      <c r="A48" s="9">
        <v>90601</v>
      </c>
      <c r="B48" s="10" t="s">
        <v>1431</v>
      </c>
      <c r="C48" s="60">
        <v>1.1888000000000001E-3</v>
      </c>
      <c r="E48" s="62">
        <v>104874.70207451396</v>
      </c>
      <c r="F48" s="62">
        <v>524051.10528729414</v>
      </c>
      <c r="G48" s="62">
        <v>260229.10599572014</v>
      </c>
      <c r="H48" s="62">
        <v>-134588.83567999999</v>
      </c>
      <c r="I48" s="62">
        <v>0</v>
      </c>
      <c r="J48" s="62"/>
      <c r="K48" s="62">
        <v>-7153.0096000000003</v>
      </c>
      <c r="L48" s="62">
        <v>15057.3408</v>
      </c>
      <c r="M48" s="62">
        <v>27939.177600000003</v>
      </c>
      <c r="N48" s="62">
        <v>17374.312000000002</v>
      </c>
      <c r="O48" s="62">
        <v>0</v>
      </c>
      <c r="P48" s="62"/>
      <c r="Q48" s="62">
        <v>26171.432000000001</v>
      </c>
      <c r="R48" s="62">
        <v>434197.31200000003</v>
      </c>
      <c r="S48" s="62">
        <v>166149.0656</v>
      </c>
      <c r="T48" s="62">
        <v>-185552.65919999999</v>
      </c>
      <c r="U48" s="62">
        <v>0</v>
      </c>
      <c r="V48" s="62"/>
      <c r="W48" s="62">
        <v>77601.297600000005</v>
      </c>
      <c r="X48" s="62">
        <v>77601.297600000005</v>
      </c>
      <c r="Y48" s="62">
        <v>71335.132800000007</v>
      </c>
      <c r="Z48" s="62">
        <v>32834.656000000003</v>
      </c>
      <c r="AA48" s="62">
        <v>0</v>
      </c>
      <c r="AB48" s="62"/>
      <c r="AC48" s="62">
        <v>15172.569893443995</v>
      </c>
      <c r="AD48" s="62">
        <v>4112.7427062240768</v>
      </c>
      <c r="AE48" s="62">
        <v>754.85552000000598</v>
      </c>
      <c r="AF48" s="62">
        <v>754.85552000000598</v>
      </c>
      <c r="AG48" s="62">
        <v>0</v>
      </c>
      <c r="AH48" s="62"/>
      <c r="AI48" s="62">
        <v>-6917.587818930042</v>
      </c>
      <c r="AJ48" s="62">
        <v>-6917.587818930042</v>
      </c>
      <c r="AK48" s="62">
        <v>-5949.1255242798379</v>
      </c>
      <c r="AL48" s="62">
        <v>0</v>
      </c>
      <c r="AM48" s="62">
        <v>0</v>
      </c>
    </row>
    <row r="49" spans="1:39">
      <c r="A49" s="9">
        <v>90602</v>
      </c>
      <c r="B49" s="10" t="s">
        <v>923</v>
      </c>
      <c r="C49" s="60">
        <v>6.3899999999999995E-5</v>
      </c>
      <c r="E49" s="62">
        <v>19354.072369820187</v>
      </c>
      <c r="F49" s="62">
        <v>41950.965354052554</v>
      </c>
      <c r="G49" s="62">
        <v>24085.358393333328</v>
      </c>
      <c r="H49" s="62">
        <v>-6075.8885400000045</v>
      </c>
      <c r="I49" s="62">
        <v>0</v>
      </c>
      <c r="J49" s="62"/>
      <c r="K49" s="62">
        <v>-384.48629999999997</v>
      </c>
      <c r="L49" s="62">
        <v>809.35739999999998</v>
      </c>
      <c r="M49" s="62">
        <v>1501.7777999999998</v>
      </c>
      <c r="N49" s="62">
        <v>933.8984999999999</v>
      </c>
      <c r="O49" s="62">
        <v>0</v>
      </c>
      <c r="P49" s="62"/>
      <c r="Q49" s="62">
        <v>1406.7584999999999</v>
      </c>
      <c r="R49" s="62">
        <v>23338.835999999999</v>
      </c>
      <c r="S49" s="62">
        <v>8930.7917999999991</v>
      </c>
      <c r="T49" s="62">
        <v>-9973.7675999999992</v>
      </c>
      <c r="U49" s="62">
        <v>0</v>
      </c>
      <c r="V49" s="62"/>
      <c r="W49" s="62">
        <v>4171.2002999999995</v>
      </c>
      <c r="X49" s="62">
        <v>4171.2002999999995</v>
      </c>
      <c r="Y49" s="62">
        <v>3834.3833999999997</v>
      </c>
      <c r="Z49" s="62">
        <v>1764.9179999999999</v>
      </c>
      <c r="AA49" s="62">
        <v>0</v>
      </c>
      <c r="AB49" s="62"/>
      <c r="AC49" s="62">
        <v>14160.599869820187</v>
      </c>
      <c r="AD49" s="62">
        <v>13631.571654052554</v>
      </c>
      <c r="AE49" s="62">
        <v>9818.4053933333307</v>
      </c>
      <c r="AF49" s="62">
        <v>1199.0625599999955</v>
      </c>
      <c r="AG49" s="62">
        <v>0</v>
      </c>
      <c r="AH49" s="62"/>
      <c r="AI49" s="62">
        <v>0</v>
      </c>
      <c r="AJ49" s="62">
        <v>0</v>
      </c>
      <c r="AK49" s="62">
        <v>0</v>
      </c>
      <c r="AL49" s="62">
        <v>0</v>
      </c>
      <c r="AM49" s="62">
        <v>0</v>
      </c>
    </row>
    <row r="50" spans="1:39">
      <c r="A50" s="9">
        <v>90605</v>
      </c>
      <c r="B50" s="10" t="s">
        <v>1432</v>
      </c>
      <c r="C50" s="60">
        <v>4.1999999999999998E-5</v>
      </c>
      <c r="E50" s="62">
        <v>9030.4889240209704</v>
      </c>
      <c r="F50" s="62">
        <v>23344.179581282384</v>
      </c>
      <c r="G50" s="62">
        <v>12615.508898106997</v>
      </c>
      <c r="H50" s="62">
        <v>-2942.3631200000009</v>
      </c>
      <c r="I50" s="62">
        <v>0</v>
      </c>
      <c r="J50" s="62"/>
      <c r="K50" s="62">
        <v>-252.714</v>
      </c>
      <c r="L50" s="62">
        <v>531.97199999999998</v>
      </c>
      <c r="M50" s="62">
        <v>987.08399999999995</v>
      </c>
      <c r="N50" s="62">
        <v>613.82999999999993</v>
      </c>
      <c r="O50" s="62">
        <v>0</v>
      </c>
      <c r="P50" s="62"/>
      <c r="Q50" s="62">
        <v>924.63</v>
      </c>
      <c r="R50" s="62">
        <v>15340.08</v>
      </c>
      <c r="S50" s="62">
        <v>5870.0039999999999</v>
      </c>
      <c r="T50" s="62">
        <v>-6555.5279999999993</v>
      </c>
      <c r="U50" s="62">
        <v>0</v>
      </c>
      <c r="V50" s="62"/>
      <c r="W50" s="62">
        <v>2741.634</v>
      </c>
      <c r="X50" s="62">
        <v>2741.634</v>
      </c>
      <c r="Y50" s="62">
        <v>2520.252</v>
      </c>
      <c r="Z50" s="62">
        <v>1160.04</v>
      </c>
      <c r="AA50" s="62">
        <v>0</v>
      </c>
      <c r="AB50" s="62"/>
      <c r="AC50" s="62">
        <v>5616.9389240209694</v>
      </c>
      <c r="AD50" s="62">
        <v>4730.4935812823805</v>
      </c>
      <c r="AE50" s="62">
        <v>3238.1688981069956</v>
      </c>
      <c r="AF50" s="62">
        <v>1839.2948799999986</v>
      </c>
      <c r="AG50" s="62">
        <v>0</v>
      </c>
      <c r="AH50" s="62"/>
      <c r="AI50" s="62">
        <v>0</v>
      </c>
      <c r="AJ50" s="62">
        <v>0</v>
      </c>
      <c r="AK50" s="62">
        <v>0</v>
      </c>
      <c r="AL50" s="62">
        <v>0</v>
      </c>
      <c r="AM50" s="62">
        <v>0</v>
      </c>
    </row>
    <row r="51" spans="1:39">
      <c r="A51" s="9">
        <v>90611</v>
      </c>
      <c r="B51" s="10" t="s">
        <v>1433</v>
      </c>
      <c r="C51" s="60">
        <v>1.4880000000000001E-4</v>
      </c>
      <c r="E51" s="62">
        <v>8986.720705816304</v>
      </c>
      <c r="F51" s="62">
        <v>60402.64434241382</v>
      </c>
      <c r="G51" s="62">
        <v>28502.774663456788</v>
      </c>
      <c r="H51" s="62">
        <v>-19053.087760000002</v>
      </c>
      <c r="I51" s="62">
        <v>0</v>
      </c>
      <c r="J51" s="62"/>
      <c r="K51" s="62">
        <v>-895.32960000000003</v>
      </c>
      <c r="L51" s="62">
        <v>1884.7008000000001</v>
      </c>
      <c r="M51" s="62">
        <v>3497.0976000000001</v>
      </c>
      <c r="N51" s="62">
        <v>2174.712</v>
      </c>
      <c r="O51" s="62">
        <v>0</v>
      </c>
      <c r="P51" s="62"/>
      <c r="Q51" s="62">
        <v>3275.8320000000003</v>
      </c>
      <c r="R51" s="62">
        <v>54347.712000000007</v>
      </c>
      <c r="S51" s="62">
        <v>20796.585600000002</v>
      </c>
      <c r="T51" s="62">
        <v>-23225.299200000001</v>
      </c>
      <c r="U51" s="62">
        <v>0</v>
      </c>
      <c r="V51" s="62"/>
      <c r="W51" s="62">
        <v>9713.2175999999999</v>
      </c>
      <c r="X51" s="62">
        <v>9713.2175999999999</v>
      </c>
      <c r="Y51" s="62">
        <v>8928.8928000000014</v>
      </c>
      <c r="Z51" s="62">
        <v>4109.8560000000007</v>
      </c>
      <c r="AA51" s="62">
        <v>0</v>
      </c>
      <c r="AB51" s="62"/>
      <c r="AC51" s="62">
        <v>2523.5100000000007</v>
      </c>
      <c r="AD51" s="62">
        <v>0</v>
      </c>
      <c r="AE51" s="62">
        <v>0</v>
      </c>
      <c r="AF51" s="62">
        <v>0</v>
      </c>
      <c r="AG51" s="62">
        <v>0</v>
      </c>
      <c r="AH51" s="62"/>
      <c r="AI51" s="62">
        <v>-5630.5092941836974</v>
      </c>
      <c r="AJ51" s="62">
        <v>-5542.9860575861876</v>
      </c>
      <c r="AK51" s="62">
        <v>-4719.8013365432107</v>
      </c>
      <c r="AL51" s="62">
        <v>-2112.3565600000015</v>
      </c>
      <c r="AM51" s="62">
        <v>0</v>
      </c>
    </row>
    <row r="52" spans="1:39">
      <c r="A52" s="9">
        <v>90617</v>
      </c>
      <c r="B52" s="10" t="s">
        <v>1434</v>
      </c>
      <c r="C52" s="60">
        <v>2.5999999999999998E-5</v>
      </c>
      <c r="E52" s="62">
        <v>6177.7182705271225</v>
      </c>
      <c r="F52" s="62">
        <v>13234.831925298908</v>
      </c>
      <c r="G52" s="62">
        <v>7017.3270340740728</v>
      </c>
      <c r="H52" s="62">
        <v>-2317.2602400000014</v>
      </c>
      <c r="I52" s="62">
        <v>0</v>
      </c>
      <c r="J52" s="62"/>
      <c r="K52" s="62">
        <v>-156.44199999999998</v>
      </c>
      <c r="L52" s="62">
        <v>329.31599999999997</v>
      </c>
      <c r="M52" s="62">
        <v>611.05199999999991</v>
      </c>
      <c r="N52" s="62">
        <v>379.98999999999995</v>
      </c>
      <c r="O52" s="62">
        <v>0</v>
      </c>
      <c r="P52" s="62"/>
      <c r="Q52" s="62">
        <v>572.39</v>
      </c>
      <c r="R52" s="62">
        <v>9496.24</v>
      </c>
      <c r="S52" s="62">
        <v>3633.8119999999999</v>
      </c>
      <c r="T52" s="62">
        <v>-4058.1839999999997</v>
      </c>
      <c r="U52" s="62">
        <v>0</v>
      </c>
      <c r="V52" s="62"/>
      <c r="W52" s="62">
        <v>1697.202</v>
      </c>
      <c r="X52" s="62">
        <v>1697.202</v>
      </c>
      <c r="Y52" s="62">
        <v>1560.1559999999999</v>
      </c>
      <c r="Z52" s="62">
        <v>718.12</v>
      </c>
      <c r="AA52" s="62">
        <v>0</v>
      </c>
      <c r="AB52" s="62"/>
      <c r="AC52" s="62">
        <v>4064.5682705271229</v>
      </c>
      <c r="AD52" s="62">
        <v>1712.0739252989072</v>
      </c>
      <c r="AE52" s="62">
        <v>1212.307034074073</v>
      </c>
      <c r="AF52" s="62">
        <v>642.81375999999864</v>
      </c>
      <c r="AG52" s="62">
        <v>0</v>
      </c>
      <c r="AH52" s="62"/>
      <c r="AI52" s="62">
        <v>0</v>
      </c>
      <c r="AJ52" s="62">
        <v>0</v>
      </c>
      <c r="AK52" s="62">
        <v>0</v>
      </c>
      <c r="AL52" s="62">
        <v>0</v>
      </c>
      <c r="AM52" s="62">
        <v>0</v>
      </c>
    </row>
    <row r="53" spans="1:39">
      <c r="A53" s="9">
        <v>90621</v>
      </c>
      <c r="B53" s="10" t="s">
        <v>1435</v>
      </c>
      <c r="C53" s="60">
        <v>6.3999999999999997E-5</v>
      </c>
      <c r="E53" s="62">
        <v>-141.61834647542128</v>
      </c>
      <c r="F53" s="62">
        <v>22751.467917342005</v>
      </c>
      <c r="G53" s="62">
        <v>10236.122978847732</v>
      </c>
      <c r="H53" s="62">
        <v>-10690.139280000007</v>
      </c>
      <c r="I53" s="62">
        <v>0</v>
      </c>
      <c r="J53" s="62"/>
      <c r="K53" s="62">
        <v>-385.08799999999997</v>
      </c>
      <c r="L53" s="62">
        <v>810.62399999999991</v>
      </c>
      <c r="M53" s="62">
        <v>1504.1279999999999</v>
      </c>
      <c r="N53" s="62">
        <v>935.36</v>
      </c>
      <c r="O53" s="62">
        <v>0</v>
      </c>
      <c r="P53" s="62"/>
      <c r="Q53" s="62">
        <v>1408.96</v>
      </c>
      <c r="R53" s="62">
        <v>23375.360000000001</v>
      </c>
      <c r="S53" s="62">
        <v>8944.768</v>
      </c>
      <c r="T53" s="62">
        <v>-9989.3760000000002</v>
      </c>
      <c r="U53" s="62">
        <v>0</v>
      </c>
      <c r="V53" s="62"/>
      <c r="W53" s="62">
        <v>4177.7280000000001</v>
      </c>
      <c r="X53" s="62">
        <v>4177.7280000000001</v>
      </c>
      <c r="Y53" s="62">
        <v>3840.384</v>
      </c>
      <c r="Z53" s="62">
        <v>1767.6799999999998</v>
      </c>
      <c r="AA53" s="62">
        <v>0</v>
      </c>
      <c r="AB53" s="62"/>
      <c r="AC53" s="62">
        <v>588.06000000000017</v>
      </c>
      <c r="AD53" s="62">
        <v>0</v>
      </c>
      <c r="AE53" s="62">
        <v>0</v>
      </c>
      <c r="AF53" s="62">
        <v>0</v>
      </c>
      <c r="AG53" s="62">
        <v>0</v>
      </c>
      <c r="AH53" s="62"/>
      <c r="AI53" s="62">
        <v>-5931.278346475422</v>
      </c>
      <c r="AJ53" s="62">
        <v>-5612.244082657995</v>
      </c>
      <c r="AK53" s="62">
        <v>-4053.157021152268</v>
      </c>
      <c r="AL53" s="62">
        <v>-3403.8032800000065</v>
      </c>
      <c r="AM53" s="62">
        <v>0</v>
      </c>
    </row>
    <row r="54" spans="1:39">
      <c r="A54" s="9">
        <v>90631</v>
      </c>
      <c r="B54" s="10" t="s">
        <v>1436</v>
      </c>
      <c r="C54" s="60">
        <v>3.9560000000000002E-4</v>
      </c>
      <c r="E54" s="62">
        <v>31704.429005908158</v>
      </c>
      <c r="F54" s="62">
        <v>178867.07315669654</v>
      </c>
      <c r="G54" s="62">
        <v>93389.051647736633</v>
      </c>
      <c r="H54" s="62">
        <v>-43666.250399999997</v>
      </c>
      <c r="I54" s="62">
        <v>0</v>
      </c>
      <c r="J54" s="62"/>
      <c r="K54" s="62">
        <v>-2380.3252000000002</v>
      </c>
      <c r="L54" s="62">
        <v>5010.6696000000002</v>
      </c>
      <c r="M54" s="62">
        <v>9297.3912</v>
      </c>
      <c r="N54" s="62">
        <v>5781.6940000000004</v>
      </c>
      <c r="O54" s="62">
        <v>0</v>
      </c>
      <c r="P54" s="62"/>
      <c r="Q54" s="62">
        <v>8709.134</v>
      </c>
      <c r="R54" s="62">
        <v>144488.94400000002</v>
      </c>
      <c r="S54" s="62">
        <v>55289.847200000004</v>
      </c>
      <c r="T54" s="62">
        <v>-61746.830400000006</v>
      </c>
      <c r="U54" s="62">
        <v>0</v>
      </c>
      <c r="V54" s="62"/>
      <c r="W54" s="62">
        <v>25823.581200000001</v>
      </c>
      <c r="X54" s="62">
        <v>25823.581200000001</v>
      </c>
      <c r="Y54" s="62">
        <v>23738.373600000003</v>
      </c>
      <c r="Z54" s="62">
        <v>10926.472</v>
      </c>
      <c r="AA54" s="62">
        <v>0</v>
      </c>
      <c r="AB54" s="62"/>
      <c r="AC54" s="62">
        <v>5664.3042880658431</v>
      </c>
      <c r="AD54" s="62">
        <v>5664.3042880658431</v>
      </c>
      <c r="AE54" s="62">
        <v>5063.4396477366263</v>
      </c>
      <c r="AF54" s="62">
        <v>1372.4140000000014</v>
      </c>
      <c r="AG54" s="62">
        <v>0</v>
      </c>
      <c r="AH54" s="62"/>
      <c r="AI54" s="62">
        <v>-6112.2652821576876</v>
      </c>
      <c r="AJ54" s="62">
        <v>-2120.4259313693042</v>
      </c>
      <c r="AK54" s="62">
        <v>0</v>
      </c>
      <c r="AL54" s="62">
        <v>0</v>
      </c>
      <c r="AM54" s="62">
        <v>0</v>
      </c>
    </row>
    <row r="55" spans="1:39">
      <c r="A55" s="9">
        <v>90641</v>
      </c>
      <c r="B55" s="10" t="s">
        <v>1437</v>
      </c>
      <c r="C55" s="60">
        <v>1.38E-5</v>
      </c>
      <c r="E55" s="62">
        <v>1000.1210756627902</v>
      </c>
      <c r="F55" s="62">
        <v>6099.4425105175615</v>
      </c>
      <c r="G55" s="62">
        <v>2984.7807894650196</v>
      </c>
      <c r="H55" s="62">
        <v>-1549.9781200000011</v>
      </c>
      <c r="I55" s="62">
        <v>0</v>
      </c>
      <c r="J55" s="62"/>
      <c r="K55" s="62">
        <v>-83.034599999999998</v>
      </c>
      <c r="L55" s="62">
        <v>174.79079999999999</v>
      </c>
      <c r="M55" s="62">
        <v>324.32760000000002</v>
      </c>
      <c r="N55" s="62">
        <v>201.68700000000001</v>
      </c>
      <c r="O55" s="62">
        <v>0</v>
      </c>
      <c r="P55" s="62"/>
      <c r="Q55" s="62">
        <v>303.80700000000002</v>
      </c>
      <c r="R55" s="62">
        <v>5040.3119999999999</v>
      </c>
      <c r="S55" s="62">
        <v>1928.7156</v>
      </c>
      <c r="T55" s="62">
        <v>-2153.9591999999998</v>
      </c>
      <c r="U55" s="62">
        <v>0</v>
      </c>
      <c r="V55" s="62"/>
      <c r="W55" s="62">
        <v>900.82259999999997</v>
      </c>
      <c r="X55" s="62">
        <v>900.82259999999997</v>
      </c>
      <c r="Y55" s="62">
        <v>828.08280000000002</v>
      </c>
      <c r="Z55" s="62">
        <v>381.15600000000001</v>
      </c>
      <c r="AA55" s="62">
        <v>0</v>
      </c>
      <c r="AB55" s="62"/>
      <c r="AC55" s="62">
        <v>141.85455302904501</v>
      </c>
      <c r="AD55" s="62">
        <v>120.12558788381672</v>
      </c>
      <c r="AE55" s="62">
        <v>21.138079999998808</v>
      </c>
      <c r="AF55" s="62">
        <v>21.138079999998808</v>
      </c>
      <c r="AG55" s="62">
        <v>0</v>
      </c>
      <c r="AH55" s="62"/>
      <c r="AI55" s="62">
        <v>-263.3284773662549</v>
      </c>
      <c r="AJ55" s="62">
        <v>-136.6084773662549</v>
      </c>
      <c r="AK55" s="62">
        <v>-117.48329053497926</v>
      </c>
      <c r="AL55" s="62">
        <v>0</v>
      </c>
      <c r="AM55" s="62">
        <v>0</v>
      </c>
    </row>
    <row r="56" spans="1:39">
      <c r="A56" s="9">
        <v>90651</v>
      </c>
      <c r="B56" s="10" t="s">
        <v>1438</v>
      </c>
      <c r="C56" s="60">
        <v>1E-4</v>
      </c>
      <c r="E56" s="62">
        <v>33845.708789257376</v>
      </c>
      <c r="F56" s="62">
        <v>72822.818995398469</v>
      </c>
      <c r="G56" s="62">
        <v>40710.991462057609</v>
      </c>
      <c r="H56" s="62">
        <v>-2765.9534400000066</v>
      </c>
      <c r="I56" s="62">
        <v>0</v>
      </c>
      <c r="J56" s="62"/>
      <c r="K56" s="62">
        <v>-601.70000000000005</v>
      </c>
      <c r="L56" s="62">
        <v>1266.6000000000001</v>
      </c>
      <c r="M56" s="62">
        <v>2350.2000000000003</v>
      </c>
      <c r="N56" s="62">
        <v>1461.5</v>
      </c>
      <c r="O56" s="62">
        <v>0</v>
      </c>
      <c r="P56" s="62"/>
      <c r="Q56" s="62">
        <v>2201.5</v>
      </c>
      <c r="R56" s="62">
        <v>36524</v>
      </c>
      <c r="S56" s="62">
        <v>13976.2</v>
      </c>
      <c r="T56" s="62">
        <v>-15608.400000000001</v>
      </c>
      <c r="U56" s="62">
        <v>0</v>
      </c>
      <c r="V56" s="62"/>
      <c r="W56" s="62">
        <v>6527.7000000000007</v>
      </c>
      <c r="X56" s="62">
        <v>6527.7000000000007</v>
      </c>
      <c r="Y56" s="62">
        <v>6000.6</v>
      </c>
      <c r="Z56" s="62">
        <v>2762</v>
      </c>
      <c r="AA56" s="62">
        <v>0</v>
      </c>
      <c r="AB56" s="62"/>
      <c r="AC56" s="62">
        <v>30377.148789257375</v>
      </c>
      <c r="AD56" s="62">
        <v>28504.518995398459</v>
      </c>
      <c r="AE56" s="62">
        <v>18383.991462057609</v>
      </c>
      <c r="AF56" s="62">
        <v>8618.9465599999949</v>
      </c>
      <c r="AG56" s="62">
        <v>0</v>
      </c>
      <c r="AH56" s="62"/>
      <c r="AI56" s="62">
        <v>-4658.9400000000014</v>
      </c>
      <c r="AJ56" s="62">
        <v>0</v>
      </c>
      <c r="AK56" s="62">
        <v>0</v>
      </c>
      <c r="AL56" s="62">
        <v>0</v>
      </c>
      <c r="AM56" s="62">
        <v>0</v>
      </c>
    </row>
    <row r="57" spans="1:39">
      <c r="A57" s="9">
        <v>90701</v>
      </c>
      <c r="B57" s="10" t="s">
        <v>1439</v>
      </c>
      <c r="C57" s="60">
        <v>2.6581E-3</v>
      </c>
      <c r="E57" s="62">
        <v>249728.98274715128</v>
      </c>
      <c r="F57" s="62">
        <v>1194513.9652827529</v>
      </c>
      <c r="G57" s="62">
        <v>614012.8307869134</v>
      </c>
      <c r="H57" s="62">
        <v>-274371.56306000007</v>
      </c>
      <c r="I57" s="62">
        <v>0</v>
      </c>
      <c r="J57" s="62"/>
      <c r="K57" s="62">
        <v>-15993.787700000001</v>
      </c>
      <c r="L57" s="62">
        <v>33667.494599999998</v>
      </c>
      <c r="M57" s="62">
        <v>62470.6662</v>
      </c>
      <c r="N57" s="62">
        <v>38848.131500000003</v>
      </c>
      <c r="O57" s="62">
        <v>0</v>
      </c>
      <c r="P57" s="62"/>
      <c r="Q57" s="62">
        <v>58518.071499999998</v>
      </c>
      <c r="R57" s="62">
        <v>970844.44400000002</v>
      </c>
      <c r="S57" s="62">
        <v>371501.37219999998</v>
      </c>
      <c r="T57" s="62">
        <v>-414886.88040000002</v>
      </c>
      <c r="U57" s="62">
        <v>0</v>
      </c>
      <c r="V57" s="62"/>
      <c r="W57" s="62">
        <v>173512.79370000001</v>
      </c>
      <c r="X57" s="62">
        <v>173512.79370000001</v>
      </c>
      <c r="Y57" s="62">
        <v>159501.9486</v>
      </c>
      <c r="Z57" s="62">
        <v>73416.721999999994</v>
      </c>
      <c r="AA57" s="62">
        <v>0</v>
      </c>
      <c r="AB57" s="62"/>
      <c r="AC57" s="62">
        <v>46066.503839999918</v>
      </c>
      <c r="AD57" s="62">
        <v>28250.463839999917</v>
      </c>
      <c r="AE57" s="62">
        <v>28250.463839999917</v>
      </c>
      <c r="AF57" s="62">
        <v>28250.463839999917</v>
      </c>
      <c r="AG57" s="62">
        <v>0</v>
      </c>
      <c r="AH57" s="62"/>
      <c r="AI57" s="62">
        <v>-12374.598592848639</v>
      </c>
      <c r="AJ57" s="62">
        <v>-11761.230857246994</v>
      </c>
      <c r="AK57" s="62">
        <v>-7711.6200530864135</v>
      </c>
      <c r="AL57" s="62">
        <v>0</v>
      </c>
      <c r="AM57" s="62">
        <v>0</v>
      </c>
    </row>
    <row r="58" spans="1:39">
      <c r="A58" s="9">
        <v>90704</v>
      </c>
      <c r="B58" s="10" t="s">
        <v>1440</v>
      </c>
      <c r="C58" s="60">
        <v>3.3300000000000003E-5</v>
      </c>
      <c r="E58" s="62">
        <v>8339.8749299274277</v>
      </c>
      <c r="F58" s="62">
        <v>19175.500149014566</v>
      </c>
      <c r="G58" s="62">
        <v>10566.850245020578</v>
      </c>
      <c r="H58" s="62">
        <v>-2345.0340200000023</v>
      </c>
      <c r="I58" s="62">
        <v>0</v>
      </c>
      <c r="J58" s="62"/>
      <c r="K58" s="62">
        <v>-200.36610000000002</v>
      </c>
      <c r="L58" s="62">
        <v>421.77780000000001</v>
      </c>
      <c r="M58" s="62">
        <v>782.61660000000006</v>
      </c>
      <c r="N58" s="62">
        <v>486.67950000000002</v>
      </c>
      <c r="O58" s="62">
        <v>0</v>
      </c>
      <c r="P58" s="62"/>
      <c r="Q58" s="62">
        <v>733.09950000000003</v>
      </c>
      <c r="R58" s="62">
        <v>12162.492000000002</v>
      </c>
      <c r="S58" s="62">
        <v>4654.0746000000008</v>
      </c>
      <c r="T58" s="62">
        <v>-5197.5972000000002</v>
      </c>
      <c r="U58" s="62">
        <v>0</v>
      </c>
      <c r="V58" s="62"/>
      <c r="W58" s="62">
        <v>2173.7241000000004</v>
      </c>
      <c r="X58" s="62">
        <v>2173.7241000000004</v>
      </c>
      <c r="Y58" s="62">
        <v>1998.1998000000001</v>
      </c>
      <c r="Z58" s="62">
        <v>919.74600000000009</v>
      </c>
      <c r="AA58" s="62">
        <v>0</v>
      </c>
      <c r="AB58" s="62"/>
      <c r="AC58" s="62">
        <v>5633.4174299274264</v>
      </c>
      <c r="AD58" s="62">
        <v>4417.5062490145629</v>
      </c>
      <c r="AE58" s="62">
        <v>3131.9592450205755</v>
      </c>
      <c r="AF58" s="62">
        <v>1446.1376799999975</v>
      </c>
      <c r="AG58" s="62">
        <v>0</v>
      </c>
      <c r="AH58" s="62"/>
      <c r="AI58" s="62">
        <v>0</v>
      </c>
      <c r="AJ58" s="62">
        <v>0</v>
      </c>
      <c r="AK58" s="62">
        <v>0</v>
      </c>
      <c r="AL58" s="62">
        <v>0</v>
      </c>
      <c r="AM58" s="62">
        <v>0</v>
      </c>
    </row>
    <row r="59" spans="1:39">
      <c r="A59" s="9">
        <v>90705</v>
      </c>
      <c r="B59" s="10" t="s">
        <v>1441</v>
      </c>
      <c r="C59" s="60">
        <v>5.3000000000000001E-5</v>
      </c>
      <c r="E59" s="62">
        <v>10494.305535581174</v>
      </c>
      <c r="F59" s="62">
        <v>28699.867470021007</v>
      </c>
      <c r="G59" s="62">
        <v>15846.570970123461</v>
      </c>
      <c r="H59" s="62">
        <v>-3078.9065199999968</v>
      </c>
      <c r="I59" s="62">
        <v>0</v>
      </c>
      <c r="J59" s="62"/>
      <c r="K59" s="62">
        <v>-318.90100000000001</v>
      </c>
      <c r="L59" s="62">
        <v>671.298</v>
      </c>
      <c r="M59" s="62">
        <v>1245.606</v>
      </c>
      <c r="N59" s="62">
        <v>774.59500000000003</v>
      </c>
      <c r="O59" s="62">
        <v>0</v>
      </c>
      <c r="P59" s="62"/>
      <c r="Q59" s="62">
        <v>1166.7950000000001</v>
      </c>
      <c r="R59" s="62">
        <v>19357.72</v>
      </c>
      <c r="S59" s="62">
        <v>7407.3860000000004</v>
      </c>
      <c r="T59" s="62">
        <v>-8272.4519999999993</v>
      </c>
      <c r="U59" s="62">
        <v>0</v>
      </c>
      <c r="V59" s="62"/>
      <c r="W59" s="62">
        <v>3459.681</v>
      </c>
      <c r="X59" s="62">
        <v>3459.681</v>
      </c>
      <c r="Y59" s="62">
        <v>3180.3180000000002</v>
      </c>
      <c r="Z59" s="62">
        <v>1463.8600000000001</v>
      </c>
      <c r="AA59" s="62">
        <v>0</v>
      </c>
      <c r="AB59" s="62"/>
      <c r="AC59" s="62">
        <v>6186.7305355811732</v>
      </c>
      <c r="AD59" s="62">
        <v>5211.1684700210071</v>
      </c>
      <c r="AE59" s="62">
        <v>4013.2609701234596</v>
      </c>
      <c r="AF59" s="62">
        <v>2955.0904800000026</v>
      </c>
      <c r="AG59" s="62">
        <v>0</v>
      </c>
      <c r="AH59" s="62"/>
      <c r="AI59" s="62">
        <v>0</v>
      </c>
      <c r="AJ59" s="62">
        <v>0</v>
      </c>
      <c r="AK59" s="62">
        <v>0</v>
      </c>
      <c r="AL59" s="62">
        <v>0</v>
      </c>
      <c r="AM59" s="62">
        <v>0</v>
      </c>
    </row>
    <row r="60" spans="1:39">
      <c r="A60" s="9">
        <v>90709</v>
      </c>
      <c r="B60" s="10" t="s">
        <v>1442</v>
      </c>
      <c r="C60" s="60">
        <v>1.2650000000000001E-4</v>
      </c>
      <c r="E60" s="62">
        <v>856.31100504789174</v>
      </c>
      <c r="F60" s="62">
        <v>41869.195588450399</v>
      </c>
      <c r="G60" s="62">
        <v>16927.184293086415</v>
      </c>
      <c r="H60" s="62">
        <v>-16893.006260000006</v>
      </c>
      <c r="I60" s="62">
        <v>0</v>
      </c>
      <c r="J60" s="62"/>
      <c r="K60" s="62">
        <v>-761.15050000000008</v>
      </c>
      <c r="L60" s="62">
        <v>1602.2490000000003</v>
      </c>
      <c r="M60" s="62">
        <v>2973.0030000000002</v>
      </c>
      <c r="N60" s="62">
        <v>1848.7975000000001</v>
      </c>
      <c r="O60" s="62">
        <v>0</v>
      </c>
      <c r="P60" s="62"/>
      <c r="Q60" s="62">
        <v>2784.8975</v>
      </c>
      <c r="R60" s="62">
        <v>46202.860000000008</v>
      </c>
      <c r="S60" s="62">
        <v>17679.893</v>
      </c>
      <c r="T60" s="62">
        <v>-19744.626</v>
      </c>
      <c r="U60" s="62">
        <v>0</v>
      </c>
      <c r="V60" s="62"/>
      <c r="W60" s="62">
        <v>8257.540500000001</v>
      </c>
      <c r="X60" s="62">
        <v>8257.540500000001</v>
      </c>
      <c r="Y60" s="62">
        <v>7590.7590000000009</v>
      </c>
      <c r="Z60" s="62">
        <v>3493.9300000000003</v>
      </c>
      <c r="AA60" s="62">
        <v>0</v>
      </c>
      <c r="AB60" s="62"/>
      <c r="AC60" s="62">
        <v>5084.6400000000012</v>
      </c>
      <c r="AD60" s="62">
        <v>0</v>
      </c>
      <c r="AE60" s="62">
        <v>0</v>
      </c>
      <c r="AF60" s="62">
        <v>0</v>
      </c>
      <c r="AG60" s="62">
        <v>0</v>
      </c>
      <c r="AH60" s="62"/>
      <c r="AI60" s="62">
        <v>-14509.61649495211</v>
      </c>
      <c r="AJ60" s="62">
        <v>-14193.453911549619</v>
      </c>
      <c r="AK60" s="62">
        <v>-11316.470706913587</v>
      </c>
      <c r="AL60" s="62">
        <v>-2491.1077600000062</v>
      </c>
      <c r="AM60" s="62">
        <v>0</v>
      </c>
    </row>
    <row r="61" spans="1:39">
      <c r="A61" s="9">
        <v>90711</v>
      </c>
      <c r="B61" s="10" t="s">
        <v>1443</v>
      </c>
      <c r="C61" s="60">
        <v>1.6877000000000001E-3</v>
      </c>
      <c r="E61" s="62">
        <v>68508.208147854879</v>
      </c>
      <c r="F61" s="62">
        <v>696166.59733607073</v>
      </c>
      <c r="G61" s="62">
        <v>343648.72682600829</v>
      </c>
      <c r="H61" s="62">
        <v>-199374.65465999994</v>
      </c>
      <c r="I61" s="62">
        <v>0</v>
      </c>
      <c r="J61" s="62"/>
      <c r="K61" s="62">
        <v>-10154.8909</v>
      </c>
      <c r="L61" s="62">
        <v>21376.408200000002</v>
      </c>
      <c r="M61" s="62">
        <v>39664.325400000002</v>
      </c>
      <c r="N61" s="62">
        <v>24665.735500000003</v>
      </c>
      <c r="O61" s="62">
        <v>0</v>
      </c>
      <c r="P61" s="62"/>
      <c r="Q61" s="62">
        <v>37154.715500000006</v>
      </c>
      <c r="R61" s="62">
        <v>616415.54800000007</v>
      </c>
      <c r="S61" s="62">
        <v>235876.32740000001</v>
      </c>
      <c r="T61" s="62">
        <v>-263422.96679999999</v>
      </c>
      <c r="U61" s="62">
        <v>0</v>
      </c>
      <c r="V61" s="62"/>
      <c r="W61" s="62">
        <v>110167.99290000001</v>
      </c>
      <c r="X61" s="62">
        <v>110167.99290000001</v>
      </c>
      <c r="Y61" s="62">
        <v>101272.1262</v>
      </c>
      <c r="Z61" s="62">
        <v>46614.274000000005</v>
      </c>
      <c r="AA61" s="62">
        <v>0</v>
      </c>
      <c r="AB61" s="62"/>
      <c r="AC61" s="62">
        <v>0</v>
      </c>
      <c r="AD61" s="62">
        <v>0</v>
      </c>
      <c r="AE61" s="62">
        <v>0</v>
      </c>
      <c r="AF61" s="62">
        <v>0</v>
      </c>
      <c r="AG61" s="62">
        <v>0</v>
      </c>
      <c r="AH61" s="62"/>
      <c r="AI61" s="62">
        <v>-68659.609352145126</v>
      </c>
      <c r="AJ61" s="62">
        <v>-51793.351763929364</v>
      </c>
      <c r="AK61" s="62">
        <v>-33164.052173991746</v>
      </c>
      <c r="AL61" s="62">
        <v>-7231.6973599999674</v>
      </c>
      <c r="AM61" s="62">
        <v>0</v>
      </c>
    </row>
    <row r="62" spans="1:39">
      <c r="A62" s="9">
        <v>90721</v>
      </c>
      <c r="B62" s="10" t="s">
        <v>1444</v>
      </c>
      <c r="C62" s="60">
        <v>2.8600000000000001E-5</v>
      </c>
      <c r="E62" s="62">
        <v>3379.5515501029686</v>
      </c>
      <c r="F62" s="62">
        <v>11938.144822551101</v>
      </c>
      <c r="G62" s="62">
        <v>5107.454889629631</v>
      </c>
      <c r="H62" s="62">
        <v>-4282.5620399999998</v>
      </c>
      <c r="I62" s="62">
        <v>0</v>
      </c>
      <c r="J62" s="62"/>
      <c r="K62" s="62">
        <v>-172.08619999999999</v>
      </c>
      <c r="L62" s="62">
        <v>362.24760000000003</v>
      </c>
      <c r="M62" s="62">
        <v>672.15719999999999</v>
      </c>
      <c r="N62" s="62">
        <v>417.98900000000003</v>
      </c>
      <c r="O62" s="62">
        <v>0</v>
      </c>
      <c r="P62" s="62"/>
      <c r="Q62" s="62">
        <v>629.62900000000002</v>
      </c>
      <c r="R62" s="62">
        <v>10445.864</v>
      </c>
      <c r="S62" s="62">
        <v>3997.1932000000002</v>
      </c>
      <c r="T62" s="62">
        <v>-4464.0024000000003</v>
      </c>
      <c r="U62" s="62">
        <v>0</v>
      </c>
      <c r="V62" s="62"/>
      <c r="W62" s="62">
        <v>1866.9222</v>
      </c>
      <c r="X62" s="62">
        <v>1866.9222</v>
      </c>
      <c r="Y62" s="62">
        <v>1716.1716000000001</v>
      </c>
      <c r="Z62" s="62">
        <v>789.93200000000002</v>
      </c>
      <c r="AA62" s="62">
        <v>0</v>
      </c>
      <c r="AB62" s="62"/>
      <c r="AC62" s="62">
        <v>2374.109597510374</v>
      </c>
      <c r="AD62" s="62">
        <v>582.13406995850653</v>
      </c>
      <c r="AE62" s="62">
        <v>0</v>
      </c>
      <c r="AF62" s="62">
        <v>0</v>
      </c>
      <c r="AG62" s="62">
        <v>0</v>
      </c>
      <c r="AH62" s="62"/>
      <c r="AI62" s="62">
        <v>-1319.023047407406</v>
      </c>
      <c r="AJ62" s="62">
        <v>-1319.023047407406</v>
      </c>
      <c r="AK62" s="62">
        <v>-1278.0671103703694</v>
      </c>
      <c r="AL62" s="62">
        <v>-1026.4806399999998</v>
      </c>
      <c r="AM62" s="62">
        <v>0</v>
      </c>
    </row>
    <row r="63" spans="1:39">
      <c r="A63" s="9">
        <v>90731</v>
      </c>
      <c r="B63" s="10" t="s">
        <v>1445</v>
      </c>
      <c r="C63" s="60">
        <v>1.741E-4</v>
      </c>
      <c r="E63" s="62">
        <v>7149.1945491047354</v>
      </c>
      <c r="F63" s="62">
        <v>72728.381517984395</v>
      </c>
      <c r="G63" s="62">
        <v>35180.768728477371</v>
      </c>
      <c r="H63" s="62">
        <v>-22848.477459999995</v>
      </c>
      <c r="I63" s="62">
        <v>0</v>
      </c>
      <c r="J63" s="62"/>
      <c r="K63" s="62">
        <v>-1047.5597</v>
      </c>
      <c r="L63" s="62">
        <v>2205.1505999999999</v>
      </c>
      <c r="M63" s="62">
        <v>4091.6982000000003</v>
      </c>
      <c r="N63" s="62">
        <v>2544.4715000000001</v>
      </c>
      <c r="O63" s="62">
        <v>0</v>
      </c>
      <c r="P63" s="62"/>
      <c r="Q63" s="62">
        <v>3832.8115000000003</v>
      </c>
      <c r="R63" s="62">
        <v>63588.284</v>
      </c>
      <c r="S63" s="62">
        <v>24332.564200000001</v>
      </c>
      <c r="T63" s="62">
        <v>-27174.224399999999</v>
      </c>
      <c r="U63" s="62">
        <v>0</v>
      </c>
      <c r="V63" s="62"/>
      <c r="W63" s="62">
        <v>11364.725700000001</v>
      </c>
      <c r="X63" s="62">
        <v>11364.725700000001</v>
      </c>
      <c r="Y63" s="62">
        <v>10447.044600000001</v>
      </c>
      <c r="Z63" s="62">
        <v>4808.6419999999998</v>
      </c>
      <c r="AA63" s="62">
        <v>0</v>
      </c>
      <c r="AB63" s="62"/>
      <c r="AC63" s="62">
        <v>0</v>
      </c>
      <c r="AD63" s="62">
        <v>0</v>
      </c>
      <c r="AE63" s="62">
        <v>0</v>
      </c>
      <c r="AF63" s="62">
        <v>0</v>
      </c>
      <c r="AG63" s="62">
        <v>0</v>
      </c>
      <c r="AH63" s="62"/>
      <c r="AI63" s="62">
        <v>-7000.7829508952655</v>
      </c>
      <c r="AJ63" s="62">
        <v>-4429.7787820155972</v>
      </c>
      <c r="AK63" s="62">
        <v>-3690.5382715226274</v>
      </c>
      <c r="AL63" s="62">
        <v>-3027.3665599999949</v>
      </c>
      <c r="AM63" s="62">
        <v>0</v>
      </c>
    </row>
    <row r="64" spans="1:39">
      <c r="A64" s="9">
        <v>90741</v>
      </c>
      <c r="B64" s="10" t="s">
        <v>1446</v>
      </c>
      <c r="C64" s="60">
        <v>9.0999999999999993E-6</v>
      </c>
      <c r="E64" s="62">
        <v>982.2100134873557</v>
      </c>
      <c r="F64" s="62">
        <v>4881.2382699188911</v>
      </c>
      <c r="G64" s="62">
        <v>2210.1772809053496</v>
      </c>
      <c r="H64" s="62">
        <v>-1087.8111800000001</v>
      </c>
      <c r="I64" s="62">
        <v>0</v>
      </c>
      <c r="J64" s="62"/>
      <c r="K64" s="62">
        <v>-54.754699999999993</v>
      </c>
      <c r="L64" s="62">
        <v>115.2606</v>
      </c>
      <c r="M64" s="62">
        <v>213.86819999999997</v>
      </c>
      <c r="N64" s="62">
        <v>132.9965</v>
      </c>
      <c r="O64" s="62">
        <v>0</v>
      </c>
      <c r="P64" s="62"/>
      <c r="Q64" s="62">
        <v>200.33649999999997</v>
      </c>
      <c r="R64" s="62">
        <v>3323.6839999999997</v>
      </c>
      <c r="S64" s="62">
        <v>1271.8342</v>
      </c>
      <c r="T64" s="62">
        <v>-1420.3643999999999</v>
      </c>
      <c r="U64" s="62">
        <v>0</v>
      </c>
      <c r="V64" s="62"/>
      <c r="W64" s="62">
        <v>594.02069999999992</v>
      </c>
      <c r="X64" s="62">
        <v>594.02069999999992</v>
      </c>
      <c r="Y64" s="62">
        <v>546.05459999999994</v>
      </c>
      <c r="Z64" s="62">
        <v>251.34199999999998</v>
      </c>
      <c r="AA64" s="62">
        <v>0</v>
      </c>
      <c r="AB64" s="62"/>
      <c r="AC64" s="62">
        <v>1038.8727934873559</v>
      </c>
      <c r="AD64" s="62">
        <v>900.05824991889119</v>
      </c>
      <c r="AE64" s="62">
        <v>230.20556090534978</v>
      </c>
      <c r="AF64" s="62">
        <v>0</v>
      </c>
      <c r="AG64" s="62">
        <v>0</v>
      </c>
      <c r="AH64" s="62"/>
      <c r="AI64" s="62">
        <v>-796.26528000000019</v>
      </c>
      <c r="AJ64" s="62">
        <v>-51.785280000000057</v>
      </c>
      <c r="AK64" s="62">
        <v>-51.785280000000057</v>
      </c>
      <c r="AL64" s="62">
        <v>-51.785280000000057</v>
      </c>
      <c r="AM64" s="62">
        <v>0</v>
      </c>
    </row>
    <row r="65" spans="1:39">
      <c r="A65" s="9">
        <v>90751</v>
      </c>
      <c r="B65" s="10" t="s">
        <v>1447</v>
      </c>
      <c r="C65" s="60">
        <v>6.8700000000000003E-5</v>
      </c>
      <c r="E65" s="62">
        <v>8961.7201525785895</v>
      </c>
      <c r="F65" s="62">
        <v>31419.930451084816</v>
      </c>
      <c r="G65" s="62">
        <v>15117.146022880657</v>
      </c>
      <c r="H65" s="62">
        <v>-8091.4923800000024</v>
      </c>
      <c r="I65" s="62">
        <v>0</v>
      </c>
      <c r="J65" s="62"/>
      <c r="K65" s="62">
        <v>-413.36790000000002</v>
      </c>
      <c r="L65" s="62">
        <v>870.15420000000006</v>
      </c>
      <c r="M65" s="62">
        <v>1614.5874000000001</v>
      </c>
      <c r="N65" s="62">
        <v>1004.0505000000001</v>
      </c>
      <c r="O65" s="62">
        <v>0</v>
      </c>
      <c r="P65" s="62"/>
      <c r="Q65" s="62">
        <v>1512.4305000000002</v>
      </c>
      <c r="R65" s="62">
        <v>25091.988000000001</v>
      </c>
      <c r="S65" s="62">
        <v>9601.6494000000002</v>
      </c>
      <c r="T65" s="62">
        <v>-10722.970800000001</v>
      </c>
      <c r="U65" s="62">
        <v>0</v>
      </c>
      <c r="V65" s="62"/>
      <c r="W65" s="62">
        <v>4484.5299000000005</v>
      </c>
      <c r="X65" s="62">
        <v>4484.5299000000005</v>
      </c>
      <c r="Y65" s="62">
        <v>4122.4121999999998</v>
      </c>
      <c r="Z65" s="62">
        <v>1897.4940000000001</v>
      </c>
      <c r="AA65" s="62">
        <v>0</v>
      </c>
      <c r="AB65" s="62"/>
      <c r="AC65" s="62">
        <v>3648.1937325785902</v>
      </c>
      <c r="AD65" s="62">
        <v>1243.3244310848138</v>
      </c>
      <c r="AE65" s="62">
        <v>48.563102880656885</v>
      </c>
      <c r="AF65" s="62">
        <v>0</v>
      </c>
      <c r="AG65" s="62">
        <v>0</v>
      </c>
      <c r="AH65" s="62"/>
      <c r="AI65" s="62">
        <v>-270.06608000000119</v>
      </c>
      <c r="AJ65" s="62">
        <v>-270.06608000000119</v>
      </c>
      <c r="AK65" s="62">
        <v>-270.06608000000119</v>
      </c>
      <c r="AL65" s="62">
        <v>-270.06608000000119</v>
      </c>
      <c r="AM65" s="62">
        <v>0</v>
      </c>
    </row>
    <row r="66" spans="1:39">
      <c r="A66" s="9">
        <v>90801</v>
      </c>
      <c r="B66" s="10" t="s">
        <v>1448</v>
      </c>
      <c r="C66" s="60">
        <v>1.3064000000000001E-3</v>
      </c>
      <c r="E66" s="62">
        <v>171526.12501886237</v>
      </c>
      <c r="F66" s="62">
        <v>634407.1050599413</v>
      </c>
      <c r="G66" s="62">
        <v>310434.04181168723</v>
      </c>
      <c r="H66" s="62">
        <v>-136626.27432000003</v>
      </c>
      <c r="I66" s="62">
        <v>0</v>
      </c>
      <c r="J66" s="62"/>
      <c r="K66" s="62">
        <v>-7860.6088000000009</v>
      </c>
      <c r="L66" s="62">
        <v>16546.862400000002</v>
      </c>
      <c r="M66" s="62">
        <v>30703.012800000004</v>
      </c>
      <c r="N66" s="62">
        <v>19093.036</v>
      </c>
      <c r="O66" s="62">
        <v>0</v>
      </c>
      <c r="P66" s="62"/>
      <c r="Q66" s="62">
        <v>28760.396000000001</v>
      </c>
      <c r="R66" s="62">
        <v>477149.53600000002</v>
      </c>
      <c r="S66" s="62">
        <v>182585.07680000001</v>
      </c>
      <c r="T66" s="62">
        <v>-203908.13760000002</v>
      </c>
      <c r="U66" s="62">
        <v>0</v>
      </c>
      <c r="V66" s="62"/>
      <c r="W66" s="62">
        <v>85277.872800000012</v>
      </c>
      <c r="X66" s="62">
        <v>85277.872800000012</v>
      </c>
      <c r="Y66" s="62">
        <v>78391.838400000008</v>
      </c>
      <c r="Z66" s="62">
        <v>36082.768000000004</v>
      </c>
      <c r="AA66" s="62">
        <v>0</v>
      </c>
      <c r="AB66" s="62"/>
      <c r="AC66" s="62">
        <v>65348.465018862378</v>
      </c>
      <c r="AD66" s="62">
        <v>55432.833859941231</v>
      </c>
      <c r="AE66" s="62">
        <v>18754.113811687221</v>
      </c>
      <c r="AF66" s="62">
        <v>12106.059279999999</v>
      </c>
      <c r="AG66" s="62">
        <v>0</v>
      </c>
      <c r="AH66" s="62"/>
      <c r="AI66" s="62">
        <v>0</v>
      </c>
      <c r="AJ66" s="62">
        <v>0</v>
      </c>
      <c r="AK66" s="62">
        <v>0</v>
      </c>
      <c r="AL66" s="62">
        <v>0</v>
      </c>
      <c r="AM66" s="62">
        <v>0</v>
      </c>
    </row>
    <row r="67" spans="1:39">
      <c r="A67" s="9">
        <v>90804</v>
      </c>
      <c r="B67" s="10" t="s">
        <v>1449</v>
      </c>
      <c r="C67" s="60">
        <v>6.1999999999999999E-6</v>
      </c>
      <c r="E67" s="62">
        <v>1392.1231256356409</v>
      </c>
      <c r="F67" s="62">
        <v>3131.6254019841886</v>
      </c>
      <c r="G67" s="62">
        <v>1559.6687563786013</v>
      </c>
      <c r="H67" s="62">
        <v>-691.3805999999995</v>
      </c>
      <c r="I67" s="62">
        <v>0</v>
      </c>
      <c r="J67" s="62"/>
      <c r="K67" s="62">
        <v>-37.305399999999999</v>
      </c>
      <c r="L67" s="62">
        <v>78.529200000000003</v>
      </c>
      <c r="M67" s="62">
        <v>145.7124</v>
      </c>
      <c r="N67" s="62">
        <v>90.613</v>
      </c>
      <c r="O67" s="62">
        <v>0</v>
      </c>
      <c r="P67" s="62"/>
      <c r="Q67" s="62">
        <v>136.49299999999999</v>
      </c>
      <c r="R67" s="62">
        <v>2264.4879999999998</v>
      </c>
      <c r="S67" s="62">
        <v>866.52440000000001</v>
      </c>
      <c r="T67" s="62">
        <v>-967.72079999999994</v>
      </c>
      <c r="U67" s="62">
        <v>0</v>
      </c>
      <c r="V67" s="62"/>
      <c r="W67" s="62">
        <v>404.7174</v>
      </c>
      <c r="X67" s="62">
        <v>404.7174</v>
      </c>
      <c r="Y67" s="62">
        <v>372.03719999999998</v>
      </c>
      <c r="Z67" s="62">
        <v>171.244</v>
      </c>
      <c r="AA67" s="62">
        <v>0</v>
      </c>
      <c r="AB67" s="62"/>
      <c r="AC67" s="62">
        <v>888.21812563564094</v>
      </c>
      <c r="AD67" s="62">
        <v>383.89080198418867</v>
      </c>
      <c r="AE67" s="62">
        <v>175.39475637860136</v>
      </c>
      <c r="AF67" s="62">
        <v>14.48320000000049</v>
      </c>
      <c r="AG67" s="62">
        <v>0</v>
      </c>
      <c r="AH67" s="62"/>
      <c r="AI67" s="62">
        <v>0</v>
      </c>
      <c r="AJ67" s="62">
        <v>0</v>
      </c>
      <c r="AK67" s="62">
        <v>0</v>
      </c>
      <c r="AL67" s="62">
        <v>0</v>
      </c>
      <c r="AM67" s="62">
        <v>0</v>
      </c>
    </row>
    <row r="68" spans="1:39">
      <c r="A68" s="9">
        <v>90805</v>
      </c>
      <c r="B68" s="10" t="s">
        <v>1450</v>
      </c>
      <c r="C68" s="60">
        <v>5.1900000000000001E-5</v>
      </c>
      <c r="E68" s="62">
        <v>13637.66917607807</v>
      </c>
      <c r="F68" s="62">
        <v>29628.423358650685</v>
      </c>
      <c r="G68" s="62">
        <v>15744.06904962963</v>
      </c>
      <c r="H68" s="62">
        <v>-4090.3407799999995</v>
      </c>
      <c r="I68" s="62">
        <v>0</v>
      </c>
      <c r="J68" s="62"/>
      <c r="K68" s="62">
        <v>-312.28230000000002</v>
      </c>
      <c r="L68" s="62">
        <v>657.36540000000002</v>
      </c>
      <c r="M68" s="62">
        <v>1219.7538</v>
      </c>
      <c r="N68" s="62">
        <v>758.51850000000002</v>
      </c>
      <c r="O68" s="62">
        <v>0</v>
      </c>
      <c r="P68" s="62"/>
      <c r="Q68" s="62">
        <v>1142.5785000000001</v>
      </c>
      <c r="R68" s="62">
        <v>18955.956000000002</v>
      </c>
      <c r="S68" s="62">
        <v>7253.6477999999997</v>
      </c>
      <c r="T68" s="62">
        <v>-8100.7596000000003</v>
      </c>
      <c r="U68" s="62">
        <v>0</v>
      </c>
      <c r="V68" s="62"/>
      <c r="W68" s="62">
        <v>3387.8762999999999</v>
      </c>
      <c r="X68" s="62">
        <v>3387.8762999999999</v>
      </c>
      <c r="Y68" s="62">
        <v>3114.3114</v>
      </c>
      <c r="Z68" s="62">
        <v>1433.4780000000001</v>
      </c>
      <c r="AA68" s="62">
        <v>0</v>
      </c>
      <c r="AB68" s="62"/>
      <c r="AC68" s="62">
        <v>9419.4966760780699</v>
      </c>
      <c r="AD68" s="62">
        <v>6627.2256586506855</v>
      </c>
      <c r="AE68" s="62">
        <v>4156.3560496296313</v>
      </c>
      <c r="AF68" s="62">
        <v>1818.4223200000008</v>
      </c>
      <c r="AG68" s="62">
        <v>0</v>
      </c>
      <c r="AH68" s="62"/>
      <c r="AI68" s="62">
        <v>0</v>
      </c>
      <c r="AJ68" s="62">
        <v>0</v>
      </c>
      <c r="AK68" s="62">
        <v>0</v>
      </c>
      <c r="AL68" s="62">
        <v>0</v>
      </c>
      <c r="AM68" s="62">
        <v>0</v>
      </c>
    </row>
    <row r="69" spans="1:39">
      <c r="A69" s="9">
        <v>90808</v>
      </c>
      <c r="B69" s="10" t="s">
        <v>1451</v>
      </c>
      <c r="C69" s="60">
        <v>1.131E-4</v>
      </c>
      <c r="E69" s="62">
        <v>9926.8231054751268</v>
      </c>
      <c r="F69" s="62">
        <v>51163.875379334044</v>
      </c>
      <c r="G69" s="62">
        <v>25957.242259012339</v>
      </c>
      <c r="H69" s="62">
        <v>-11686.185019999999</v>
      </c>
      <c r="I69" s="62">
        <v>0</v>
      </c>
      <c r="J69" s="62"/>
      <c r="K69" s="62">
        <v>-680.52269999999999</v>
      </c>
      <c r="L69" s="62">
        <v>1432.5246</v>
      </c>
      <c r="M69" s="62">
        <v>2658.0762</v>
      </c>
      <c r="N69" s="62">
        <v>1652.9565</v>
      </c>
      <c r="O69" s="62">
        <v>0</v>
      </c>
      <c r="P69" s="62"/>
      <c r="Q69" s="62">
        <v>2489.8964999999998</v>
      </c>
      <c r="R69" s="62">
        <v>41308.644</v>
      </c>
      <c r="S69" s="62">
        <v>15807.082199999999</v>
      </c>
      <c r="T69" s="62">
        <v>-17653.100399999999</v>
      </c>
      <c r="U69" s="62">
        <v>0</v>
      </c>
      <c r="V69" s="62"/>
      <c r="W69" s="62">
        <v>7382.8287</v>
      </c>
      <c r="X69" s="62">
        <v>7382.8287</v>
      </c>
      <c r="Y69" s="62">
        <v>6786.6786000000002</v>
      </c>
      <c r="Z69" s="62">
        <v>3123.8220000000001</v>
      </c>
      <c r="AA69" s="62">
        <v>0</v>
      </c>
      <c r="AB69" s="62"/>
      <c r="AC69" s="62">
        <v>1694.2620252282177</v>
      </c>
      <c r="AD69" s="62">
        <v>1603.5194990871385</v>
      </c>
      <c r="AE69" s="62">
        <v>1190.1368799999996</v>
      </c>
      <c r="AF69" s="62">
        <v>1190.1368799999996</v>
      </c>
      <c r="AG69" s="62">
        <v>0</v>
      </c>
      <c r="AH69" s="62"/>
      <c r="AI69" s="62">
        <v>-959.64141975309064</v>
      </c>
      <c r="AJ69" s="62">
        <v>-563.64141975309053</v>
      </c>
      <c r="AK69" s="62">
        <v>-484.73162098765806</v>
      </c>
      <c r="AL69" s="62">
        <v>0</v>
      </c>
      <c r="AM69" s="62">
        <v>0</v>
      </c>
    </row>
    <row r="70" spans="1:39">
      <c r="A70" s="9">
        <v>90811</v>
      </c>
      <c r="B70" s="10" t="s">
        <v>1452</v>
      </c>
      <c r="C70" s="60">
        <v>3.3599999999999997E-5</v>
      </c>
      <c r="E70" s="62">
        <v>739.9432147601733</v>
      </c>
      <c r="F70" s="62">
        <v>12476.942647955193</v>
      </c>
      <c r="G70" s="62">
        <v>5358.6499144032932</v>
      </c>
      <c r="H70" s="62">
        <v>-5652.0543999999991</v>
      </c>
      <c r="I70" s="62">
        <v>0</v>
      </c>
      <c r="J70" s="62"/>
      <c r="K70" s="62">
        <v>-202.17119999999997</v>
      </c>
      <c r="L70" s="62">
        <v>425.57759999999996</v>
      </c>
      <c r="M70" s="62">
        <v>789.66719999999998</v>
      </c>
      <c r="N70" s="62">
        <v>491.06399999999996</v>
      </c>
      <c r="O70" s="62">
        <v>0</v>
      </c>
      <c r="P70" s="62"/>
      <c r="Q70" s="62">
        <v>739.70399999999995</v>
      </c>
      <c r="R70" s="62">
        <v>12272.063999999998</v>
      </c>
      <c r="S70" s="62">
        <v>4696.0031999999992</v>
      </c>
      <c r="T70" s="62">
        <v>-5244.4223999999995</v>
      </c>
      <c r="U70" s="62">
        <v>0</v>
      </c>
      <c r="V70" s="62"/>
      <c r="W70" s="62">
        <v>2193.3071999999997</v>
      </c>
      <c r="X70" s="62">
        <v>2193.3071999999997</v>
      </c>
      <c r="Y70" s="62">
        <v>2016.2015999999999</v>
      </c>
      <c r="Z70" s="62">
        <v>928.03199999999993</v>
      </c>
      <c r="AA70" s="62">
        <v>0</v>
      </c>
      <c r="AB70" s="62"/>
      <c r="AC70" s="62">
        <v>471.24000000000012</v>
      </c>
      <c r="AD70" s="62">
        <v>0</v>
      </c>
      <c r="AE70" s="62">
        <v>0</v>
      </c>
      <c r="AF70" s="62">
        <v>0</v>
      </c>
      <c r="AG70" s="62">
        <v>0</v>
      </c>
      <c r="AH70" s="62"/>
      <c r="AI70" s="62">
        <v>-2462.1367852398266</v>
      </c>
      <c r="AJ70" s="62">
        <v>-2414.0061520448057</v>
      </c>
      <c r="AK70" s="62">
        <v>-2143.2220855967062</v>
      </c>
      <c r="AL70" s="62">
        <v>-1826.7280000000001</v>
      </c>
      <c r="AM70" s="62">
        <v>0</v>
      </c>
    </row>
    <row r="71" spans="1:39">
      <c r="A71" s="9">
        <v>90812</v>
      </c>
      <c r="B71" s="10" t="s">
        <v>1453</v>
      </c>
      <c r="C71" s="60">
        <v>2.2900000000000001E-4</v>
      </c>
      <c r="E71" s="62">
        <v>21691.076774666588</v>
      </c>
      <c r="F71" s="62">
        <v>100792.42206470808</v>
      </c>
      <c r="G71" s="62">
        <v>50620.720589300407</v>
      </c>
      <c r="H71" s="62">
        <v>-23407.601400000003</v>
      </c>
      <c r="I71" s="62">
        <v>0</v>
      </c>
      <c r="J71" s="62"/>
      <c r="K71" s="62">
        <v>-1377.893</v>
      </c>
      <c r="L71" s="62">
        <v>2900.5140000000001</v>
      </c>
      <c r="M71" s="62">
        <v>5381.9580000000005</v>
      </c>
      <c r="N71" s="62">
        <v>3346.835</v>
      </c>
      <c r="O71" s="62">
        <v>0</v>
      </c>
      <c r="P71" s="62"/>
      <c r="Q71" s="62">
        <v>5041.4350000000004</v>
      </c>
      <c r="R71" s="62">
        <v>83639.960000000006</v>
      </c>
      <c r="S71" s="62">
        <v>32005.498</v>
      </c>
      <c r="T71" s="62">
        <v>-35743.236000000004</v>
      </c>
      <c r="U71" s="62">
        <v>0</v>
      </c>
      <c r="V71" s="62"/>
      <c r="W71" s="62">
        <v>14948.433000000001</v>
      </c>
      <c r="X71" s="62">
        <v>14948.433000000001</v>
      </c>
      <c r="Y71" s="62">
        <v>13741.374</v>
      </c>
      <c r="Z71" s="62">
        <v>6324.9800000000005</v>
      </c>
      <c r="AA71" s="62">
        <v>0</v>
      </c>
      <c r="AB71" s="62"/>
      <c r="AC71" s="62">
        <v>6767.3913219916967</v>
      </c>
      <c r="AD71" s="62">
        <v>2991.8046120331915</v>
      </c>
      <c r="AE71" s="62">
        <v>2663.8196000000025</v>
      </c>
      <c r="AF71" s="62">
        <v>2663.8196000000025</v>
      </c>
      <c r="AG71" s="62">
        <v>0</v>
      </c>
      <c r="AH71" s="62"/>
      <c r="AI71" s="62">
        <v>-3688.2895473251133</v>
      </c>
      <c r="AJ71" s="62">
        <v>-3688.2895473251133</v>
      </c>
      <c r="AK71" s="62">
        <v>-3171.9290106995986</v>
      </c>
      <c r="AL71" s="62">
        <v>0</v>
      </c>
      <c r="AM71" s="62">
        <v>0</v>
      </c>
    </row>
    <row r="72" spans="1:39">
      <c r="A72" s="9">
        <v>90813</v>
      </c>
      <c r="B72" s="10" t="s">
        <v>1454</v>
      </c>
      <c r="C72" s="60">
        <v>5.3000000000000001E-6</v>
      </c>
      <c r="E72" s="62">
        <v>-73.192204151084979</v>
      </c>
      <c r="F72" s="62">
        <v>2007.0193676331471</v>
      </c>
      <c r="G72" s="62">
        <v>1012.8232991769551</v>
      </c>
      <c r="H72" s="62">
        <v>-711.42809999999997</v>
      </c>
      <c r="I72" s="62">
        <v>0</v>
      </c>
      <c r="J72" s="62"/>
      <c r="K72" s="62">
        <v>-31.8901</v>
      </c>
      <c r="L72" s="62">
        <v>67.129800000000003</v>
      </c>
      <c r="M72" s="62">
        <v>124.56060000000001</v>
      </c>
      <c r="N72" s="62">
        <v>77.459500000000006</v>
      </c>
      <c r="O72" s="62">
        <v>0</v>
      </c>
      <c r="P72" s="62"/>
      <c r="Q72" s="62">
        <v>116.6795</v>
      </c>
      <c r="R72" s="62">
        <v>1935.7719999999999</v>
      </c>
      <c r="S72" s="62">
        <v>740.73860000000002</v>
      </c>
      <c r="T72" s="62">
        <v>-827.24520000000007</v>
      </c>
      <c r="U72" s="62">
        <v>0</v>
      </c>
      <c r="V72" s="62"/>
      <c r="W72" s="62">
        <v>345.96809999999999</v>
      </c>
      <c r="X72" s="62">
        <v>345.96809999999999</v>
      </c>
      <c r="Y72" s="62">
        <v>318.03180000000003</v>
      </c>
      <c r="Z72" s="62">
        <v>146.386</v>
      </c>
      <c r="AA72" s="62">
        <v>0</v>
      </c>
      <c r="AB72" s="62"/>
      <c r="AC72" s="62">
        <v>0</v>
      </c>
      <c r="AD72" s="62">
        <v>0</v>
      </c>
      <c r="AE72" s="62">
        <v>0</v>
      </c>
      <c r="AF72" s="62">
        <v>0</v>
      </c>
      <c r="AG72" s="62">
        <v>0</v>
      </c>
      <c r="AH72" s="62"/>
      <c r="AI72" s="62">
        <v>-503.94970415108497</v>
      </c>
      <c r="AJ72" s="62">
        <v>-341.85053236685263</v>
      </c>
      <c r="AK72" s="62">
        <v>-170.5077008230451</v>
      </c>
      <c r="AL72" s="62">
        <v>-108.02839999999996</v>
      </c>
      <c r="AM72" s="62">
        <v>0</v>
      </c>
    </row>
    <row r="73" spans="1:39">
      <c r="A73" s="9">
        <v>90861</v>
      </c>
      <c r="B73" s="10" t="s">
        <v>1455</v>
      </c>
      <c r="C73" s="60">
        <v>4.1999999999999996E-6</v>
      </c>
      <c r="E73" s="62">
        <v>543.5559055492372</v>
      </c>
      <c r="F73" s="62">
        <v>3032.9123843874117</v>
      </c>
      <c r="G73" s="62">
        <v>1403.4789147325105</v>
      </c>
      <c r="H73" s="62">
        <v>-223.82243999999969</v>
      </c>
      <c r="I73" s="62">
        <v>0</v>
      </c>
      <c r="J73" s="62"/>
      <c r="K73" s="62">
        <v>-25.271399999999996</v>
      </c>
      <c r="L73" s="62">
        <v>53.197199999999995</v>
      </c>
      <c r="M73" s="62">
        <v>98.708399999999997</v>
      </c>
      <c r="N73" s="62">
        <v>61.382999999999996</v>
      </c>
      <c r="O73" s="62">
        <v>0</v>
      </c>
      <c r="P73" s="62"/>
      <c r="Q73" s="62">
        <v>92.462999999999994</v>
      </c>
      <c r="R73" s="62">
        <v>1534.0079999999998</v>
      </c>
      <c r="S73" s="62">
        <v>587.0003999999999</v>
      </c>
      <c r="T73" s="62">
        <v>-655.55279999999993</v>
      </c>
      <c r="U73" s="62">
        <v>0</v>
      </c>
      <c r="V73" s="62"/>
      <c r="W73" s="62">
        <v>274.16339999999997</v>
      </c>
      <c r="X73" s="62">
        <v>274.16339999999997</v>
      </c>
      <c r="Y73" s="62">
        <v>252.02519999999998</v>
      </c>
      <c r="Z73" s="62">
        <v>116.00399999999999</v>
      </c>
      <c r="AA73" s="62">
        <v>0</v>
      </c>
      <c r="AB73" s="62"/>
      <c r="AC73" s="62">
        <v>1318.9209055492374</v>
      </c>
      <c r="AD73" s="62">
        <v>1171.543784387412</v>
      </c>
      <c r="AE73" s="62">
        <v>465.74491473251067</v>
      </c>
      <c r="AF73" s="62">
        <v>254.34336000000019</v>
      </c>
      <c r="AG73" s="62">
        <v>0</v>
      </c>
      <c r="AH73" s="62"/>
      <c r="AI73" s="62">
        <v>-1116.7200000000003</v>
      </c>
      <c r="AJ73" s="62">
        <v>0</v>
      </c>
      <c r="AK73" s="62">
        <v>0</v>
      </c>
      <c r="AL73" s="62">
        <v>0</v>
      </c>
      <c r="AM73" s="62">
        <v>0</v>
      </c>
    </row>
    <row r="74" spans="1:39">
      <c r="A74" s="9">
        <v>90901</v>
      </c>
      <c r="B74" s="10" t="s">
        <v>1456</v>
      </c>
      <c r="C74" s="60">
        <v>2.1814999999999998E-3</v>
      </c>
      <c r="E74" s="62">
        <v>171286.27242907605</v>
      </c>
      <c r="F74" s="62">
        <v>957106.76609538309</v>
      </c>
      <c r="G74" s="62">
        <v>482696.20295465022</v>
      </c>
      <c r="H74" s="62">
        <v>-243898.48453999989</v>
      </c>
      <c r="I74" s="62">
        <v>0</v>
      </c>
      <c r="J74" s="62"/>
      <c r="K74" s="62">
        <v>-13126.085499999999</v>
      </c>
      <c r="L74" s="62">
        <v>27630.878999999997</v>
      </c>
      <c r="M74" s="62">
        <v>51269.612999999998</v>
      </c>
      <c r="N74" s="62">
        <v>31882.622499999998</v>
      </c>
      <c r="O74" s="62">
        <v>0</v>
      </c>
      <c r="P74" s="62"/>
      <c r="Q74" s="62">
        <v>48025.722499999996</v>
      </c>
      <c r="R74" s="62">
        <v>796771.05999999994</v>
      </c>
      <c r="S74" s="62">
        <v>304890.80299999996</v>
      </c>
      <c r="T74" s="62">
        <v>-340497.24599999998</v>
      </c>
      <c r="U74" s="62">
        <v>0</v>
      </c>
      <c r="V74" s="62"/>
      <c r="W74" s="62">
        <v>142401.77549999999</v>
      </c>
      <c r="X74" s="62">
        <v>142401.77549999999</v>
      </c>
      <c r="Y74" s="62">
        <v>130903.08899999999</v>
      </c>
      <c r="Z74" s="62">
        <v>60253.03</v>
      </c>
      <c r="AA74" s="62">
        <v>0</v>
      </c>
      <c r="AB74" s="62"/>
      <c r="AC74" s="62">
        <v>8999.2889600001017</v>
      </c>
      <c r="AD74" s="62">
        <v>4463.1089600001005</v>
      </c>
      <c r="AE74" s="62">
        <v>4463.1089600001005</v>
      </c>
      <c r="AF74" s="62">
        <v>4463.1089600001005</v>
      </c>
      <c r="AG74" s="62">
        <v>0</v>
      </c>
      <c r="AH74" s="62"/>
      <c r="AI74" s="62">
        <v>-15014.429030924006</v>
      </c>
      <c r="AJ74" s="62">
        <v>-14160.057364616947</v>
      </c>
      <c r="AK74" s="62">
        <v>-8830.4110053498025</v>
      </c>
      <c r="AL74" s="62">
        <v>0</v>
      </c>
      <c r="AM74" s="62">
        <v>0</v>
      </c>
    </row>
    <row r="75" spans="1:39">
      <c r="A75" s="9">
        <v>90911</v>
      </c>
      <c r="B75" s="10" t="s">
        <v>1457</v>
      </c>
      <c r="C75" s="60">
        <v>3.9780000000000002E-4</v>
      </c>
      <c r="E75" s="62">
        <v>14125.247919866804</v>
      </c>
      <c r="F75" s="62">
        <v>170541.05988077965</v>
      </c>
      <c r="G75" s="62">
        <v>86402.156155802499</v>
      </c>
      <c r="H75" s="62">
        <v>-43587.673879999988</v>
      </c>
      <c r="I75" s="62">
        <v>0</v>
      </c>
      <c r="J75" s="62"/>
      <c r="K75" s="62">
        <v>-2393.5626000000002</v>
      </c>
      <c r="L75" s="62">
        <v>5038.5348000000004</v>
      </c>
      <c r="M75" s="62">
        <v>9349.0956000000006</v>
      </c>
      <c r="N75" s="62">
        <v>5813.8470000000007</v>
      </c>
      <c r="O75" s="62">
        <v>0</v>
      </c>
      <c r="P75" s="62"/>
      <c r="Q75" s="62">
        <v>8757.5670000000009</v>
      </c>
      <c r="R75" s="62">
        <v>145292.47200000001</v>
      </c>
      <c r="S75" s="62">
        <v>55597.323600000003</v>
      </c>
      <c r="T75" s="62">
        <v>-62090.215200000006</v>
      </c>
      <c r="U75" s="62">
        <v>0</v>
      </c>
      <c r="V75" s="62"/>
      <c r="W75" s="62">
        <v>25967.190600000002</v>
      </c>
      <c r="X75" s="62">
        <v>25967.190600000002</v>
      </c>
      <c r="Y75" s="62">
        <v>23870.3868</v>
      </c>
      <c r="Z75" s="62">
        <v>10987.236000000001</v>
      </c>
      <c r="AA75" s="62">
        <v>0</v>
      </c>
      <c r="AB75" s="62"/>
      <c r="AC75" s="62">
        <v>1701.458320000017</v>
      </c>
      <c r="AD75" s="62">
        <v>1701.458320000017</v>
      </c>
      <c r="AE75" s="62">
        <v>1701.458320000017</v>
      </c>
      <c r="AF75" s="62">
        <v>1701.458320000017</v>
      </c>
      <c r="AG75" s="62">
        <v>0</v>
      </c>
      <c r="AH75" s="62"/>
      <c r="AI75" s="62">
        <v>-19907.405400133215</v>
      </c>
      <c r="AJ75" s="62">
        <v>-7458.5958392203465</v>
      </c>
      <c r="AK75" s="62">
        <v>-4116.1081641975352</v>
      </c>
      <c r="AL75" s="62">
        <v>0</v>
      </c>
      <c r="AM75" s="62">
        <v>0</v>
      </c>
    </row>
    <row r="76" spans="1:39">
      <c r="A76" s="9">
        <v>90917</v>
      </c>
      <c r="B76" s="10" t="s">
        <v>1458</v>
      </c>
      <c r="C76" s="60">
        <v>1.4399999999999999E-5</v>
      </c>
      <c r="E76" s="62">
        <v>1152.8363231173273</v>
      </c>
      <c r="F76" s="62">
        <v>6782.0666293413942</v>
      </c>
      <c r="G76" s="62">
        <v>3459.2703025514406</v>
      </c>
      <c r="H76" s="62">
        <v>-1771.3441599999992</v>
      </c>
      <c r="I76" s="62">
        <v>0</v>
      </c>
      <c r="J76" s="62"/>
      <c r="K76" s="62">
        <v>-86.644799999999989</v>
      </c>
      <c r="L76" s="62">
        <v>182.3904</v>
      </c>
      <c r="M76" s="62">
        <v>338.42879999999997</v>
      </c>
      <c r="N76" s="62">
        <v>210.45599999999999</v>
      </c>
      <c r="O76" s="62">
        <v>0</v>
      </c>
      <c r="P76" s="62"/>
      <c r="Q76" s="62">
        <v>317.01599999999996</v>
      </c>
      <c r="R76" s="62">
        <v>5259.4560000000001</v>
      </c>
      <c r="S76" s="62">
        <v>2012.5727999999999</v>
      </c>
      <c r="T76" s="62">
        <v>-2247.6095999999998</v>
      </c>
      <c r="U76" s="62">
        <v>0</v>
      </c>
      <c r="V76" s="62"/>
      <c r="W76" s="62">
        <v>939.98879999999997</v>
      </c>
      <c r="X76" s="62">
        <v>939.98879999999997</v>
      </c>
      <c r="Y76" s="62">
        <v>864.08639999999991</v>
      </c>
      <c r="Z76" s="62">
        <v>397.72800000000001</v>
      </c>
      <c r="AA76" s="62">
        <v>0</v>
      </c>
      <c r="AB76" s="62"/>
      <c r="AC76" s="62">
        <v>552.96488311732685</v>
      </c>
      <c r="AD76" s="62">
        <v>532.14998934139328</v>
      </c>
      <c r="AE76" s="62">
        <v>376.10086255144057</v>
      </c>
      <c r="AF76" s="62">
        <v>0</v>
      </c>
      <c r="AG76" s="62">
        <v>0</v>
      </c>
      <c r="AH76" s="62"/>
      <c r="AI76" s="62">
        <v>-570.48855999999955</v>
      </c>
      <c r="AJ76" s="62">
        <v>-131.9185599999995</v>
      </c>
      <c r="AK76" s="62">
        <v>-131.9185599999995</v>
      </c>
      <c r="AL76" s="62">
        <v>-131.9185599999995</v>
      </c>
      <c r="AM76" s="62">
        <v>0</v>
      </c>
    </row>
    <row r="77" spans="1:39">
      <c r="A77" s="9">
        <v>90918</v>
      </c>
      <c r="B77" s="10" t="s">
        <v>1459</v>
      </c>
      <c r="C77" s="60">
        <v>1.19E-5</v>
      </c>
      <c r="E77" s="62">
        <v>-117.18139983709921</v>
      </c>
      <c r="F77" s="62">
        <v>4524.9289512002451</v>
      </c>
      <c r="G77" s="62">
        <v>2159.3721985185189</v>
      </c>
      <c r="H77" s="62">
        <v>-1576.6454199999996</v>
      </c>
      <c r="I77" s="62">
        <v>0</v>
      </c>
      <c r="J77" s="62"/>
      <c r="K77" s="62">
        <v>-71.6023</v>
      </c>
      <c r="L77" s="62">
        <v>150.72540000000001</v>
      </c>
      <c r="M77" s="62">
        <v>279.67379999999997</v>
      </c>
      <c r="N77" s="62">
        <v>173.91849999999999</v>
      </c>
      <c r="O77" s="62">
        <v>0</v>
      </c>
      <c r="P77" s="62"/>
      <c r="Q77" s="62">
        <v>261.9785</v>
      </c>
      <c r="R77" s="62">
        <v>4346.3559999999998</v>
      </c>
      <c r="S77" s="62">
        <v>1663.1677999999999</v>
      </c>
      <c r="T77" s="62">
        <v>-1857.3996</v>
      </c>
      <c r="U77" s="62">
        <v>0</v>
      </c>
      <c r="V77" s="62"/>
      <c r="W77" s="62">
        <v>776.79629999999997</v>
      </c>
      <c r="X77" s="62">
        <v>776.79629999999997</v>
      </c>
      <c r="Y77" s="62">
        <v>714.07139999999993</v>
      </c>
      <c r="Z77" s="62">
        <v>328.678</v>
      </c>
      <c r="AA77" s="62">
        <v>0</v>
      </c>
      <c r="AB77" s="62"/>
      <c r="AC77" s="62">
        <v>0</v>
      </c>
      <c r="AD77" s="62">
        <v>0</v>
      </c>
      <c r="AE77" s="62">
        <v>0</v>
      </c>
      <c r="AF77" s="62">
        <v>0</v>
      </c>
      <c r="AG77" s="62">
        <v>0</v>
      </c>
      <c r="AH77" s="62"/>
      <c r="AI77" s="62">
        <v>-1084.3538998370991</v>
      </c>
      <c r="AJ77" s="62">
        <v>-748.94874879975441</v>
      </c>
      <c r="AK77" s="62">
        <v>-497.54080148148131</v>
      </c>
      <c r="AL77" s="62">
        <v>-221.84231999999957</v>
      </c>
      <c r="AM77" s="62">
        <v>0</v>
      </c>
    </row>
    <row r="78" spans="1:39">
      <c r="A78" s="9">
        <v>90921</v>
      </c>
      <c r="B78" s="10" t="s">
        <v>1460</v>
      </c>
      <c r="C78" s="60">
        <v>1.2970000000000001E-4</v>
      </c>
      <c r="E78" s="62">
        <v>15660.078773480531</v>
      </c>
      <c r="F78" s="62">
        <v>64006.938094061443</v>
      </c>
      <c r="G78" s="62">
        <v>34439.147537613186</v>
      </c>
      <c r="H78" s="62">
        <v>-7687.5256199999894</v>
      </c>
      <c r="I78" s="62">
        <v>0</v>
      </c>
      <c r="J78" s="62"/>
      <c r="K78" s="62">
        <v>-780.4049</v>
      </c>
      <c r="L78" s="62">
        <v>1642.7802000000001</v>
      </c>
      <c r="M78" s="62">
        <v>3048.2094000000002</v>
      </c>
      <c r="N78" s="62">
        <v>1895.5655000000002</v>
      </c>
      <c r="O78" s="62">
        <v>0</v>
      </c>
      <c r="P78" s="62"/>
      <c r="Q78" s="62">
        <v>2855.3455000000004</v>
      </c>
      <c r="R78" s="62">
        <v>47371.628000000004</v>
      </c>
      <c r="S78" s="62">
        <v>18127.131400000002</v>
      </c>
      <c r="T78" s="62">
        <v>-20244.094800000003</v>
      </c>
      <c r="U78" s="62">
        <v>0</v>
      </c>
      <c r="V78" s="62"/>
      <c r="W78" s="62">
        <v>8466.4269000000004</v>
      </c>
      <c r="X78" s="62">
        <v>8466.4269000000004</v>
      </c>
      <c r="Y78" s="62">
        <v>7782.7782000000007</v>
      </c>
      <c r="Z78" s="62">
        <v>3582.3140000000003</v>
      </c>
      <c r="AA78" s="62">
        <v>0</v>
      </c>
      <c r="AB78" s="62"/>
      <c r="AC78" s="62">
        <v>8670.3467878838237</v>
      </c>
      <c r="AD78" s="62">
        <v>8383.8485084647382</v>
      </c>
      <c r="AE78" s="62">
        <v>7078.6896800000122</v>
      </c>
      <c r="AF78" s="62">
        <v>7078.6896800000122</v>
      </c>
      <c r="AG78" s="62">
        <v>0</v>
      </c>
      <c r="AH78" s="62"/>
      <c r="AI78" s="62">
        <v>-3551.6355144032937</v>
      </c>
      <c r="AJ78" s="62">
        <v>-1857.7455144032933</v>
      </c>
      <c r="AK78" s="62">
        <v>-1597.6611423868328</v>
      </c>
      <c r="AL78" s="62">
        <v>0</v>
      </c>
      <c r="AM78" s="62">
        <v>0</v>
      </c>
    </row>
    <row r="79" spans="1:39">
      <c r="A79" s="9">
        <v>90931</v>
      </c>
      <c r="B79" s="10" t="s">
        <v>1461</v>
      </c>
      <c r="C79" s="60">
        <v>4.07E-5</v>
      </c>
      <c r="E79" s="62">
        <v>1995.4754715014606</v>
      </c>
      <c r="F79" s="62">
        <v>15105.128224364529</v>
      </c>
      <c r="G79" s="62">
        <v>5319.0226837037007</v>
      </c>
      <c r="H79" s="62">
        <v>-7014.3162200000033</v>
      </c>
      <c r="I79" s="62">
        <v>0</v>
      </c>
      <c r="J79" s="62"/>
      <c r="K79" s="62">
        <v>-244.89189999999999</v>
      </c>
      <c r="L79" s="62">
        <v>515.50620000000004</v>
      </c>
      <c r="M79" s="62">
        <v>956.53139999999996</v>
      </c>
      <c r="N79" s="62">
        <v>594.83050000000003</v>
      </c>
      <c r="O79" s="62">
        <v>0</v>
      </c>
      <c r="P79" s="62"/>
      <c r="Q79" s="62">
        <v>896.01049999999998</v>
      </c>
      <c r="R79" s="62">
        <v>14865.268</v>
      </c>
      <c r="S79" s="62">
        <v>5688.3134</v>
      </c>
      <c r="T79" s="62">
        <v>-6352.6188000000002</v>
      </c>
      <c r="U79" s="62">
        <v>0</v>
      </c>
      <c r="V79" s="62"/>
      <c r="W79" s="62">
        <v>2656.7739000000001</v>
      </c>
      <c r="X79" s="62">
        <v>2656.7739000000001</v>
      </c>
      <c r="Y79" s="62">
        <v>2442.2442000000001</v>
      </c>
      <c r="Z79" s="62">
        <v>1124.134</v>
      </c>
      <c r="AA79" s="62">
        <v>0</v>
      </c>
      <c r="AB79" s="62"/>
      <c r="AC79" s="62">
        <v>2681.505817427389</v>
      </c>
      <c r="AD79" s="62">
        <v>1061.5029702904592</v>
      </c>
      <c r="AE79" s="62">
        <v>0</v>
      </c>
      <c r="AF79" s="62">
        <v>0</v>
      </c>
      <c r="AG79" s="62">
        <v>0</v>
      </c>
      <c r="AH79" s="62"/>
      <c r="AI79" s="62">
        <v>-3993.9228459259284</v>
      </c>
      <c r="AJ79" s="62">
        <v>-3993.9228459259284</v>
      </c>
      <c r="AK79" s="62">
        <v>-3768.0663162962996</v>
      </c>
      <c r="AL79" s="62">
        <v>-2380.6619200000032</v>
      </c>
      <c r="AM79" s="62">
        <v>0</v>
      </c>
    </row>
    <row r="80" spans="1:39">
      <c r="A80" s="9">
        <v>90941</v>
      </c>
      <c r="B80" s="10" t="s">
        <v>1462</v>
      </c>
      <c r="C80" s="60">
        <v>7.0300000000000001E-5</v>
      </c>
      <c r="E80" s="62">
        <v>728.12926236325529</v>
      </c>
      <c r="F80" s="62">
        <v>26888.930726678609</v>
      </c>
      <c r="G80" s="62">
        <v>13402.77549909464</v>
      </c>
      <c r="H80" s="62">
        <v>-10803.526140000009</v>
      </c>
      <c r="I80" s="62">
        <v>0</v>
      </c>
      <c r="J80" s="62"/>
      <c r="K80" s="62">
        <v>-422.99509999999998</v>
      </c>
      <c r="L80" s="62">
        <v>890.41980000000001</v>
      </c>
      <c r="M80" s="62">
        <v>1652.1906000000001</v>
      </c>
      <c r="N80" s="62">
        <v>1027.4345000000001</v>
      </c>
      <c r="O80" s="62">
        <v>0</v>
      </c>
      <c r="P80" s="62"/>
      <c r="Q80" s="62">
        <v>1547.6545000000001</v>
      </c>
      <c r="R80" s="62">
        <v>25676.371999999999</v>
      </c>
      <c r="S80" s="62">
        <v>9825.2685999999994</v>
      </c>
      <c r="T80" s="62">
        <v>-10972.7052</v>
      </c>
      <c r="U80" s="62">
        <v>0</v>
      </c>
      <c r="V80" s="62"/>
      <c r="W80" s="62">
        <v>4588.9731000000002</v>
      </c>
      <c r="X80" s="62">
        <v>4588.9731000000002</v>
      </c>
      <c r="Y80" s="62">
        <v>4218.4218000000001</v>
      </c>
      <c r="Z80" s="62">
        <v>1941.6859999999999</v>
      </c>
      <c r="AA80" s="62">
        <v>0</v>
      </c>
      <c r="AB80" s="62"/>
      <c r="AC80" s="62">
        <v>589.34411522633525</v>
      </c>
      <c r="AD80" s="62">
        <v>589.34411522633525</v>
      </c>
      <c r="AE80" s="62">
        <v>506.8359390946485</v>
      </c>
      <c r="AF80" s="62">
        <v>0</v>
      </c>
      <c r="AG80" s="62">
        <v>0</v>
      </c>
      <c r="AH80" s="62"/>
      <c r="AI80" s="62">
        <v>-5574.8473528630793</v>
      </c>
      <c r="AJ80" s="62">
        <v>-4856.178288547726</v>
      </c>
      <c r="AK80" s="62">
        <v>-2799.9414400000073</v>
      </c>
      <c r="AL80" s="62">
        <v>-2799.9414400000073</v>
      </c>
      <c r="AM80" s="62">
        <v>0</v>
      </c>
    </row>
    <row r="81" spans="1:39">
      <c r="A81" s="9">
        <v>91001</v>
      </c>
      <c r="B81" s="10" t="s">
        <v>1463</v>
      </c>
      <c r="C81" s="60">
        <v>6.6703999999999999E-3</v>
      </c>
      <c r="E81" s="62">
        <v>491713.7839461671</v>
      </c>
      <c r="F81" s="62">
        <v>2872088.6150494865</v>
      </c>
      <c r="G81" s="62">
        <v>1421064.6962526748</v>
      </c>
      <c r="H81" s="62">
        <v>-789822.13080000016</v>
      </c>
      <c r="I81" s="62">
        <v>0</v>
      </c>
      <c r="J81" s="62"/>
      <c r="K81" s="62">
        <v>-40135.796799999996</v>
      </c>
      <c r="L81" s="62">
        <v>84487.286399999997</v>
      </c>
      <c r="M81" s="62">
        <v>156767.7408</v>
      </c>
      <c r="N81" s="62">
        <v>97487.895999999993</v>
      </c>
      <c r="O81" s="62">
        <v>0</v>
      </c>
      <c r="P81" s="62"/>
      <c r="Q81" s="62">
        <v>146848.856</v>
      </c>
      <c r="R81" s="62">
        <v>2436296.8960000002</v>
      </c>
      <c r="S81" s="62">
        <v>932268.44479999994</v>
      </c>
      <c r="T81" s="62">
        <v>-1041142.7136</v>
      </c>
      <c r="U81" s="62">
        <v>0</v>
      </c>
      <c r="V81" s="62"/>
      <c r="W81" s="62">
        <v>435423.70079999999</v>
      </c>
      <c r="X81" s="62">
        <v>435423.70079999999</v>
      </c>
      <c r="Y81" s="62">
        <v>400264.02240000002</v>
      </c>
      <c r="Z81" s="62">
        <v>184236.448</v>
      </c>
      <c r="AA81" s="62">
        <v>0</v>
      </c>
      <c r="AB81" s="62"/>
      <c r="AC81" s="62">
        <v>35831.070000000007</v>
      </c>
      <c r="AD81" s="62">
        <v>0</v>
      </c>
      <c r="AE81" s="62">
        <v>0</v>
      </c>
      <c r="AF81" s="62">
        <v>0</v>
      </c>
      <c r="AG81" s="62">
        <v>0</v>
      </c>
      <c r="AH81" s="62"/>
      <c r="AI81" s="62">
        <v>-86254.046053832979</v>
      </c>
      <c r="AJ81" s="62">
        <v>-84119.268150513424</v>
      </c>
      <c r="AK81" s="62">
        <v>-68235.511747325188</v>
      </c>
      <c r="AL81" s="62">
        <v>-30403.76120000007</v>
      </c>
      <c r="AM81" s="62">
        <v>0</v>
      </c>
    </row>
    <row r="82" spans="1:39">
      <c r="A82" s="9">
        <v>91002</v>
      </c>
      <c r="B82" s="10" t="s">
        <v>1464</v>
      </c>
      <c r="C82" s="60">
        <v>6.8860000000000004E-4</v>
      </c>
      <c r="E82" s="62">
        <v>47090.409265846341</v>
      </c>
      <c r="F82" s="62">
        <v>295502.82456418662</v>
      </c>
      <c r="G82" s="62">
        <v>153892.82161794239</v>
      </c>
      <c r="H82" s="62">
        <v>-69206.439880000034</v>
      </c>
      <c r="I82" s="62">
        <v>0</v>
      </c>
      <c r="J82" s="62"/>
      <c r="K82" s="62">
        <v>-4143.3062</v>
      </c>
      <c r="L82" s="62">
        <v>8721.8076000000001</v>
      </c>
      <c r="M82" s="62">
        <v>16183.477200000001</v>
      </c>
      <c r="N82" s="62">
        <v>10063.889000000001</v>
      </c>
      <c r="O82" s="62">
        <v>0</v>
      </c>
      <c r="P82" s="62"/>
      <c r="Q82" s="62">
        <v>15159.529</v>
      </c>
      <c r="R82" s="62">
        <v>251504.26400000002</v>
      </c>
      <c r="S82" s="62">
        <v>96240.113200000007</v>
      </c>
      <c r="T82" s="62">
        <v>-107479.4424</v>
      </c>
      <c r="U82" s="62">
        <v>0</v>
      </c>
      <c r="V82" s="62"/>
      <c r="W82" s="62">
        <v>44949.742200000001</v>
      </c>
      <c r="X82" s="62">
        <v>44949.742200000001</v>
      </c>
      <c r="Y82" s="62">
        <v>41320.131600000001</v>
      </c>
      <c r="Z82" s="62">
        <v>19019.132000000001</v>
      </c>
      <c r="AA82" s="62">
        <v>0</v>
      </c>
      <c r="AB82" s="62"/>
      <c r="AC82" s="62">
        <v>11820.411519999972</v>
      </c>
      <c r="AD82" s="62">
        <v>9189.9815199999721</v>
      </c>
      <c r="AE82" s="62">
        <v>9189.9815199999721</v>
      </c>
      <c r="AF82" s="62">
        <v>9189.9815199999721</v>
      </c>
      <c r="AG82" s="62">
        <v>0</v>
      </c>
      <c r="AH82" s="62"/>
      <c r="AI82" s="62">
        <v>-20695.96725415362</v>
      </c>
      <c r="AJ82" s="62">
        <v>-18862.970755813374</v>
      </c>
      <c r="AK82" s="62">
        <v>-9040.8819020575938</v>
      </c>
      <c r="AL82" s="62">
        <v>0</v>
      </c>
      <c r="AM82" s="62">
        <v>0</v>
      </c>
    </row>
    <row r="83" spans="1:39">
      <c r="A83" s="9">
        <v>91003</v>
      </c>
      <c r="B83" s="10" t="s">
        <v>1465</v>
      </c>
      <c r="C83" s="60">
        <v>5.7260000000000004E-4</v>
      </c>
      <c r="E83" s="62">
        <v>53698.151930857435</v>
      </c>
      <c r="F83" s="62">
        <v>249646.91473500684</v>
      </c>
      <c r="G83" s="62">
        <v>121640.67797325106</v>
      </c>
      <c r="H83" s="62">
        <v>-62816.443799999979</v>
      </c>
      <c r="I83" s="62">
        <v>0</v>
      </c>
      <c r="J83" s="62"/>
      <c r="K83" s="62">
        <v>-3445.3342000000002</v>
      </c>
      <c r="L83" s="62">
        <v>7252.5516000000007</v>
      </c>
      <c r="M83" s="62">
        <v>13457.245200000001</v>
      </c>
      <c r="N83" s="62">
        <v>8368.5490000000009</v>
      </c>
      <c r="O83" s="62">
        <v>0</v>
      </c>
      <c r="P83" s="62"/>
      <c r="Q83" s="62">
        <v>12605.789000000001</v>
      </c>
      <c r="R83" s="62">
        <v>209136.42400000003</v>
      </c>
      <c r="S83" s="62">
        <v>80027.7212</v>
      </c>
      <c r="T83" s="62">
        <v>-89373.698400000008</v>
      </c>
      <c r="U83" s="62">
        <v>0</v>
      </c>
      <c r="V83" s="62"/>
      <c r="W83" s="62">
        <v>37377.610200000003</v>
      </c>
      <c r="X83" s="62">
        <v>37377.610200000003</v>
      </c>
      <c r="Y83" s="62">
        <v>34359.435600000004</v>
      </c>
      <c r="Z83" s="62">
        <v>15815.212000000001</v>
      </c>
      <c r="AA83" s="62">
        <v>0</v>
      </c>
      <c r="AB83" s="62"/>
      <c r="AC83" s="62">
        <v>17133.59579917018</v>
      </c>
      <c r="AD83" s="62">
        <v>5853.8378033195513</v>
      </c>
      <c r="AE83" s="62">
        <v>2373.4936000000334</v>
      </c>
      <c r="AF83" s="62">
        <v>2373.4936000000334</v>
      </c>
      <c r="AG83" s="62">
        <v>0</v>
      </c>
      <c r="AH83" s="62"/>
      <c r="AI83" s="62">
        <v>-9973.5088683127506</v>
      </c>
      <c r="AJ83" s="62">
        <v>-9973.5088683127506</v>
      </c>
      <c r="AK83" s="62">
        <v>-8577.2176267489685</v>
      </c>
      <c r="AL83" s="62">
        <v>0</v>
      </c>
      <c r="AM83" s="62">
        <v>0</v>
      </c>
    </row>
    <row r="84" spans="1:39">
      <c r="A84" s="9">
        <v>91004</v>
      </c>
      <c r="B84" s="10" t="s">
        <v>1466</v>
      </c>
      <c r="C84" s="60">
        <v>2.58E-5</v>
      </c>
      <c r="E84" s="62">
        <v>6374.6953144135405</v>
      </c>
      <c r="F84" s="62">
        <v>15409.733808189476</v>
      </c>
      <c r="G84" s="62">
        <v>7815.7484473251043</v>
      </c>
      <c r="H84" s="62">
        <v>-1201.3881999999981</v>
      </c>
      <c r="I84" s="62">
        <v>0</v>
      </c>
      <c r="J84" s="62"/>
      <c r="K84" s="62">
        <v>-155.23859999999999</v>
      </c>
      <c r="L84" s="62">
        <v>326.78280000000001</v>
      </c>
      <c r="M84" s="62">
        <v>606.35159999999996</v>
      </c>
      <c r="N84" s="62">
        <v>377.06700000000001</v>
      </c>
      <c r="O84" s="62">
        <v>0</v>
      </c>
      <c r="P84" s="62"/>
      <c r="Q84" s="62">
        <v>567.98699999999997</v>
      </c>
      <c r="R84" s="62">
        <v>9423.1920000000009</v>
      </c>
      <c r="S84" s="62">
        <v>3605.8596000000002</v>
      </c>
      <c r="T84" s="62">
        <v>-4026.9672</v>
      </c>
      <c r="U84" s="62">
        <v>0</v>
      </c>
      <c r="V84" s="62"/>
      <c r="W84" s="62">
        <v>1684.1466</v>
      </c>
      <c r="X84" s="62">
        <v>1684.1466</v>
      </c>
      <c r="Y84" s="62">
        <v>1548.1548</v>
      </c>
      <c r="Z84" s="62">
        <v>712.596</v>
      </c>
      <c r="AA84" s="62">
        <v>0</v>
      </c>
      <c r="AB84" s="62"/>
      <c r="AC84" s="62">
        <v>4385.7103144135399</v>
      </c>
      <c r="AD84" s="62">
        <v>3975.6124081894741</v>
      </c>
      <c r="AE84" s="62">
        <v>2055.3824473251047</v>
      </c>
      <c r="AF84" s="62">
        <v>1735.916000000002</v>
      </c>
      <c r="AG84" s="62">
        <v>0</v>
      </c>
      <c r="AH84" s="62"/>
      <c r="AI84" s="62">
        <v>-107.91000000000003</v>
      </c>
      <c r="AJ84" s="62">
        <v>0</v>
      </c>
      <c r="AK84" s="62">
        <v>0</v>
      </c>
      <c r="AL84" s="62">
        <v>0</v>
      </c>
      <c r="AM84" s="62">
        <v>0</v>
      </c>
    </row>
    <row r="85" spans="1:39">
      <c r="A85" s="9">
        <v>91006</v>
      </c>
      <c r="B85" s="10" t="s">
        <v>1467</v>
      </c>
      <c r="C85" s="60">
        <v>1.0317E-3</v>
      </c>
      <c r="E85" s="62">
        <v>87068.942101290362</v>
      </c>
      <c r="F85" s="62">
        <v>457512.11701747292</v>
      </c>
      <c r="G85" s="62">
        <v>223788.53190189309</v>
      </c>
      <c r="H85" s="62">
        <v>-119155.19257999993</v>
      </c>
      <c r="I85" s="62">
        <v>0</v>
      </c>
      <c r="J85" s="62"/>
      <c r="K85" s="62">
        <v>-6207.7389000000003</v>
      </c>
      <c r="L85" s="62">
        <v>13067.512199999999</v>
      </c>
      <c r="M85" s="62">
        <v>24247.0134</v>
      </c>
      <c r="N85" s="62">
        <v>15078.2955</v>
      </c>
      <c r="O85" s="62">
        <v>0</v>
      </c>
      <c r="P85" s="62"/>
      <c r="Q85" s="62">
        <v>22712.875499999998</v>
      </c>
      <c r="R85" s="62">
        <v>376818.10800000001</v>
      </c>
      <c r="S85" s="62">
        <v>144192.45540000001</v>
      </c>
      <c r="T85" s="62">
        <v>-161031.8628</v>
      </c>
      <c r="U85" s="62">
        <v>0</v>
      </c>
      <c r="V85" s="62"/>
      <c r="W85" s="62">
        <v>67346.280899999998</v>
      </c>
      <c r="X85" s="62">
        <v>67346.280899999998</v>
      </c>
      <c r="Y85" s="62">
        <v>61908.190199999997</v>
      </c>
      <c r="Z85" s="62">
        <v>28495.554</v>
      </c>
      <c r="AA85" s="62">
        <v>0</v>
      </c>
      <c r="AB85" s="62"/>
      <c r="AC85" s="62">
        <v>10568.131576763521</v>
      </c>
      <c r="AD85" s="62">
        <v>7630.8228929460893</v>
      </c>
      <c r="AE85" s="62">
        <v>0</v>
      </c>
      <c r="AF85" s="62">
        <v>0</v>
      </c>
      <c r="AG85" s="62">
        <v>0</v>
      </c>
      <c r="AH85" s="62"/>
      <c r="AI85" s="62">
        <v>-7350.6069754731543</v>
      </c>
      <c r="AJ85" s="62">
        <v>-7350.6069754731543</v>
      </c>
      <c r="AK85" s="62">
        <v>-6559.1270981069065</v>
      </c>
      <c r="AL85" s="62">
        <v>-1697.1792799999353</v>
      </c>
      <c r="AM85" s="62">
        <v>0</v>
      </c>
    </row>
    <row r="86" spans="1:39">
      <c r="A86" s="9">
        <v>91007</v>
      </c>
      <c r="B86" s="10" t="s">
        <v>1468</v>
      </c>
      <c r="C86" s="60">
        <v>9.5000000000000005E-6</v>
      </c>
      <c r="E86" s="62">
        <v>2927.4773440995154</v>
      </c>
      <c r="F86" s="62">
        <v>6745.0224536430842</v>
      </c>
      <c r="G86" s="62">
        <v>3875.1605559670775</v>
      </c>
      <c r="H86" s="62">
        <v>-556.24550000000124</v>
      </c>
      <c r="I86" s="62">
        <v>0</v>
      </c>
      <c r="J86" s="62"/>
      <c r="K86" s="62">
        <v>-57.161500000000004</v>
      </c>
      <c r="L86" s="62">
        <v>120.32700000000001</v>
      </c>
      <c r="M86" s="62">
        <v>223.26900000000001</v>
      </c>
      <c r="N86" s="62">
        <v>138.8425</v>
      </c>
      <c r="O86" s="62">
        <v>0</v>
      </c>
      <c r="P86" s="62"/>
      <c r="Q86" s="62">
        <v>209.14250000000001</v>
      </c>
      <c r="R86" s="62">
        <v>3469.78</v>
      </c>
      <c r="S86" s="62">
        <v>1327.739</v>
      </c>
      <c r="T86" s="62">
        <v>-1482.798</v>
      </c>
      <c r="U86" s="62">
        <v>0</v>
      </c>
      <c r="V86" s="62"/>
      <c r="W86" s="62">
        <v>620.13150000000007</v>
      </c>
      <c r="X86" s="62">
        <v>620.13150000000007</v>
      </c>
      <c r="Y86" s="62">
        <v>570.05700000000002</v>
      </c>
      <c r="Z86" s="62">
        <v>262.39</v>
      </c>
      <c r="AA86" s="62">
        <v>0</v>
      </c>
      <c r="AB86" s="62"/>
      <c r="AC86" s="62">
        <v>2662.2448440995154</v>
      </c>
      <c r="AD86" s="62">
        <v>2534.7839536430838</v>
      </c>
      <c r="AE86" s="62">
        <v>1754.0955559670774</v>
      </c>
      <c r="AF86" s="62">
        <v>525.31999999999891</v>
      </c>
      <c r="AG86" s="62">
        <v>0</v>
      </c>
      <c r="AH86" s="62"/>
      <c r="AI86" s="62">
        <v>-506.88000000000011</v>
      </c>
      <c r="AJ86" s="62">
        <v>0</v>
      </c>
      <c r="AK86" s="62">
        <v>0</v>
      </c>
      <c r="AL86" s="62">
        <v>0</v>
      </c>
      <c r="AM86" s="62">
        <v>0</v>
      </c>
    </row>
    <row r="87" spans="1:39">
      <c r="A87" s="9">
        <v>91008</v>
      </c>
      <c r="B87" s="10" t="s">
        <v>1469</v>
      </c>
      <c r="C87" s="60">
        <v>1.236E-4</v>
      </c>
      <c r="E87" s="62">
        <v>27557.261808320618</v>
      </c>
      <c r="F87" s="62">
        <v>67241.579753548838</v>
      </c>
      <c r="G87" s="62">
        <v>32836.51355053499</v>
      </c>
      <c r="H87" s="62">
        <v>-12245.615039999991</v>
      </c>
      <c r="I87" s="62">
        <v>0</v>
      </c>
      <c r="J87" s="62"/>
      <c r="K87" s="62">
        <v>-743.70119999999997</v>
      </c>
      <c r="L87" s="62">
        <v>1565.5175999999999</v>
      </c>
      <c r="M87" s="62">
        <v>2904.8471999999997</v>
      </c>
      <c r="N87" s="62">
        <v>1806.414</v>
      </c>
      <c r="O87" s="62">
        <v>0</v>
      </c>
      <c r="P87" s="62"/>
      <c r="Q87" s="62">
        <v>2721.0540000000001</v>
      </c>
      <c r="R87" s="62">
        <v>45143.663999999997</v>
      </c>
      <c r="S87" s="62">
        <v>17274.583200000001</v>
      </c>
      <c r="T87" s="62">
        <v>-19291.982400000001</v>
      </c>
      <c r="U87" s="62">
        <v>0</v>
      </c>
      <c r="V87" s="62"/>
      <c r="W87" s="62">
        <v>8068.2371999999996</v>
      </c>
      <c r="X87" s="62">
        <v>8068.2371999999996</v>
      </c>
      <c r="Y87" s="62">
        <v>7416.7415999999994</v>
      </c>
      <c r="Z87" s="62">
        <v>3413.8319999999999</v>
      </c>
      <c r="AA87" s="62">
        <v>0</v>
      </c>
      <c r="AB87" s="62"/>
      <c r="AC87" s="62">
        <v>17511.671808320618</v>
      </c>
      <c r="AD87" s="62">
        <v>12464.160953548839</v>
      </c>
      <c r="AE87" s="62">
        <v>5240.341550534994</v>
      </c>
      <c r="AF87" s="62">
        <v>1826.1213600000076</v>
      </c>
      <c r="AG87" s="62">
        <v>0</v>
      </c>
      <c r="AH87" s="62"/>
      <c r="AI87" s="62">
        <v>0</v>
      </c>
      <c r="AJ87" s="62">
        <v>0</v>
      </c>
      <c r="AK87" s="62">
        <v>0</v>
      </c>
      <c r="AL87" s="62">
        <v>0</v>
      </c>
      <c r="AM87" s="62">
        <v>0</v>
      </c>
    </row>
    <row r="88" spans="1:39">
      <c r="A88" s="9">
        <v>91009</v>
      </c>
      <c r="B88" s="10" t="s">
        <v>1470</v>
      </c>
      <c r="C88" s="60">
        <v>1.7499999999999998E-5</v>
      </c>
      <c r="E88" s="62">
        <v>1609.3223090418855</v>
      </c>
      <c r="F88" s="62">
        <v>8197.4514160958261</v>
      </c>
      <c r="G88" s="62">
        <v>5300.5806181892995</v>
      </c>
      <c r="H88" s="62">
        <v>-1521.9136600000011</v>
      </c>
      <c r="I88" s="62">
        <v>0</v>
      </c>
      <c r="J88" s="62"/>
      <c r="K88" s="62">
        <v>-105.29749999999999</v>
      </c>
      <c r="L88" s="62">
        <v>221.65499999999997</v>
      </c>
      <c r="M88" s="62">
        <v>411.28499999999997</v>
      </c>
      <c r="N88" s="62">
        <v>255.76249999999999</v>
      </c>
      <c r="O88" s="62">
        <v>0</v>
      </c>
      <c r="P88" s="62"/>
      <c r="Q88" s="62">
        <v>385.26249999999999</v>
      </c>
      <c r="R88" s="62">
        <v>6391.7</v>
      </c>
      <c r="S88" s="62">
        <v>2445.8349999999996</v>
      </c>
      <c r="T88" s="62">
        <v>-2731.47</v>
      </c>
      <c r="U88" s="62">
        <v>0</v>
      </c>
      <c r="V88" s="62"/>
      <c r="W88" s="62">
        <v>1142.3474999999999</v>
      </c>
      <c r="X88" s="62">
        <v>1142.3474999999999</v>
      </c>
      <c r="Y88" s="62">
        <v>1050.105</v>
      </c>
      <c r="Z88" s="62">
        <v>483.34999999999997</v>
      </c>
      <c r="AA88" s="62">
        <v>0</v>
      </c>
      <c r="AB88" s="62"/>
      <c r="AC88" s="62">
        <v>1543.597070452674</v>
      </c>
      <c r="AD88" s="62">
        <v>1543.597070452674</v>
      </c>
      <c r="AE88" s="62">
        <v>1393.3556181893</v>
      </c>
      <c r="AF88" s="62">
        <v>470.44383999999889</v>
      </c>
      <c r="AG88" s="62">
        <v>0</v>
      </c>
      <c r="AH88" s="62"/>
      <c r="AI88" s="62">
        <v>-1356.5872614107884</v>
      </c>
      <c r="AJ88" s="62">
        <v>-1101.8481543568469</v>
      </c>
      <c r="AK88" s="62">
        <v>0</v>
      </c>
      <c r="AL88" s="62">
        <v>0</v>
      </c>
      <c r="AM88" s="62">
        <v>0</v>
      </c>
    </row>
    <row r="89" spans="1:39">
      <c r="A89" s="9">
        <v>91010</v>
      </c>
      <c r="B89" s="10" t="s">
        <v>1471</v>
      </c>
      <c r="C89" s="60">
        <v>7.0099999999999996E-5</v>
      </c>
      <c r="E89" s="62">
        <v>10409.937793178973</v>
      </c>
      <c r="F89" s="62">
        <v>33046.490886954904</v>
      </c>
      <c r="G89" s="62">
        <v>15914.136632263377</v>
      </c>
      <c r="H89" s="62">
        <v>-7628.7660199999927</v>
      </c>
      <c r="I89" s="62">
        <v>0</v>
      </c>
      <c r="J89" s="62"/>
      <c r="K89" s="62">
        <v>-421.79169999999999</v>
      </c>
      <c r="L89" s="62">
        <v>887.88659999999993</v>
      </c>
      <c r="M89" s="62">
        <v>1647.4902</v>
      </c>
      <c r="N89" s="62">
        <v>1024.5114999999998</v>
      </c>
      <c r="O89" s="62">
        <v>0</v>
      </c>
      <c r="P89" s="62"/>
      <c r="Q89" s="62">
        <v>1543.2514999999999</v>
      </c>
      <c r="R89" s="62">
        <v>25603.323999999997</v>
      </c>
      <c r="S89" s="62">
        <v>9797.3161999999993</v>
      </c>
      <c r="T89" s="62">
        <v>-10941.4884</v>
      </c>
      <c r="U89" s="62">
        <v>0</v>
      </c>
      <c r="V89" s="62"/>
      <c r="W89" s="62">
        <v>4575.9177</v>
      </c>
      <c r="X89" s="62">
        <v>4575.9177</v>
      </c>
      <c r="Y89" s="62">
        <v>4206.4205999999995</v>
      </c>
      <c r="Z89" s="62">
        <v>1936.1619999999998</v>
      </c>
      <c r="AA89" s="62">
        <v>0</v>
      </c>
      <c r="AB89" s="62"/>
      <c r="AC89" s="62">
        <v>4816.2105812448208</v>
      </c>
      <c r="AD89" s="62">
        <v>2083.0128750207546</v>
      </c>
      <c r="AE89" s="62">
        <v>352.04888000000648</v>
      </c>
      <c r="AF89" s="62">
        <v>352.04888000000648</v>
      </c>
      <c r="AG89" s="62">
        <v>0</v>
      </c>
      <c r="AH89" s="62"/>
      <c r="AI89" s="62">
        <v>-103.65028806584561</v>
      </c>
      <c r="AJ89" s="62">
        <v>-103.65028806584561</v>
      </c>
      <c r="AK89" s="62">
        <v>-89.139247736627269</v>
      </c>
      <c r="AL89" s="62">
        <v>0</v>
      </c>
      <c r="AM89" s="62">
        <v>0</v>
      </c>
    </row>
    <row r="90" spans="1:39">
      <c r="A90" s="9">
        <v>91011</v>
      </c>
      <c r="B90" s="10" t="s">
        <v>1472</v>
      </c>
      <c r="C90" s="60">
        <v>3.5760000000000002E-4</v>
      </c>
      <c r="E90" s="62">
        <v>45171.8317742199</v>
      </c>
      <c r="F90" s="62">
        <v>171844.36495563068</v>
      </c>
      <c r="G90" s="62">
        <v>88224.0629939918</v>
      </c>
      <c r="H90" s="62">
        <v>-34922.261119999988</v>
      </c>
      <c r="I90" s="62">
        <v>0</v>
      </c>
      <c r="J90" s="62"/>
      <c r="K90" s="62">
        <v>-2151.6792</v>
      </c>
      <c r="L90" s="62">
        <v>4529.3616000000002</v>
      </c>
      <c r="M90" s="62">
        <v>8404.3152000000009</v>
      </c>
      <c r="N90" s="62">
        <v>5226.3240000000005</v>
      </c>
      <c r="O90" s="62">
        <v>0</v>
      </c>
      <c r="P90" s="62"/>
      <c r="Q90" s="62">
        <v>7872.5640000000003</v>
      </c>
      <c r="R90" s="62">
        <v>130609.82400000001</v>
      </c>
      <c r="S90" s="62">
        <v>49978.891200000005</v>
      </c>
      <c r="T90" s="62">
        <v>-55815.638400000003</v>
      </c>
      <c r="U90" s="62">
        <v>0</v>
      </c>
      <c r="V90" s="62"/>
      <c r="W90" s="62">
        <v>23343.055200000003</v>
      </c>
      <c r="X90" s="62">
        <v>23343.055200000003</v>
      </c>
      <c r="Y90" s="62">
        <v>21458.1456</v>
      </c>
      <c r="Z90" s="62">
        <v>9876.9120000000003</v>
      </c>
      <c r="AA90" s="62">
        <v>0</v>
      </c>
      <c r="AB90" s="62"/>
      <c r="AC90" s="62">
        <v>16107.891774219901</v>
      </c>
      <c r="AD90" s="62">
        <v>13362.124155630692</v>
      </c>
      <c r="AE90" s="62">
        <v>8382.7109939917827</v>
      </c>
      <c r="AF90" s="62">
        <v>5790.1412800000171</v>
      </c>
      <c r="AG90" s="62">
        <v>0</v>
      </c>
      <c r="AH90" s="62"/>
      <c r="AI90" s="62">
        <v>0</v>
      </c>
      <c r="AJ90" s="62">
        <v>0</v>
      </c>
      <c r="AK90" s="62">
        <v>0</v>
      </c>
      <c r="AL90" s="62">
        <v>0</v>
      </c>
      <c r="AM90" s="62">
        <v>0</v>
      </c>
    </row>
    <row r="91" spans="1:39">
      <c r="A91" s="9">
        <v>91012</v>
      </c>
      <c r="B91" s="10" t="s">
        <v>1473</v>
      </c>
      <c r="C91" s="60">
        <v>1.9300000000000002E-5</v>
      </c>
      <c r="E91" s="62">
        <v>926.99909545856735</v>
      </c>
      <c r="F91" s="62">
        <v>9963.1821143797315</v>
      </c>
      <c r="G91" s="62">
        <v>5792.9330310288096</v>
      </c>
      <c r="H91" s="62">
        <v>-1507.3440199999993</v>
      </c>
      <c r="I91" s="62">
        <v>0</v>
      </c>
      <c r="J91" s="62"/>
      <c r="K91" s="62">
        <v>-116.1281</v>
      </c>
      <c r="L91" s="62">
        <v>244.45380000000003</v>
      </c>
      <c r="M91" s="62">
        <v>453.58860000000004</v>
      </c>
      <c r="N91" s="62">
        <v>282.06950000000001</v>
      </c>
      <c r="O91" s="62">
        <v>0</v>
      </c>
      <c r="P91" s="62"/>
      <c r="Q91" s="62">
        <v>424.88950000000006</v>
      </c>
      <c r="R91" s="62">
        <v>7049.1320000000005</v>
      </c>
      <c r="S91" s="62">
        <v>2697.4066000000003</v>
      </c>
      <c r="T91" s="62">
        <v>-3012.4212000000002</v>
      </c>
      <c r="U91" s="62">
        <v>0</v>
      </c>
      <c r="V91" s="62"/>
      <c r="W91" s="62">
        <v>1259.8461000000002</v>
      </c>
      <c r="X91" s="62">
        <v>1259.8461000000002</v>
      </c>
      <c r="Y91" s="62">
        <v>1158.1158</v>
      </c>
      <c r="Z91" s="62">
        <v>533.06600000000003</v>
      </c>
      <c r="AA91" s="62">
        <v>0</v>
      </c>
      <c r="AB91" s="62"/>
      <c r="AC91" s="62">
        <v>1613.0583672428002</v>
      </c>
      <c r="AD91" s="62">
        <v>1613.0583672428002</v>
      </c>
      <c r="AE91" s="62">
        <v>1483.8220310288086</v>
      </c>
      <c r="AF91" s="62">
        <v>689.94168000000104</v>
      </c>
      <c r="AG91" s="62">
        <v>0</v>
      </c>
      <c r="AH91" s="62"/>
      <c r="AI91" s="62">
        <v>-2254.6667717842329</v>
      </c>
      <c r="AJ91" s="62">
        <v>-203.30815286307055</v>
      </c>
      <c r="AK91" s="62">
        <v>0</v>
      </c>
      <c r="AL91" s="62">
        <v>0</v>
      </c>
      <c r="AM91" s="62">
        <v>0</v>
      </c>
    </row>
    <row r="92" spans="1:39">
      <c r="A92" s="9">
        <v>91013</v>
      </c>
      <c r="B92" s="10" t="s">
        <v>1474</v>
      </c>
      <c r="C92" s="60">
        <v>2.34E-5</v>
      </c>
      <c r="E92" s="62">
        <v>11419.980406090537</v>
      </c>
      <c r="F92" s="62">
        <v>19888.627606090537</v>
      </c>
      <c r="G92" s="62">
        <v>13967.882175637862</v>
      </c>
      <c r="H92" s="62">
        <v>1319.9271600000006</v>
      </c>
      <c r="I92" s="62">
        <v>0</v>
      </c>
      <c r="J92" s="62"/>
      <c r="K92" s="62">
        <v>-140.7978</v>
      </c>
      <c r="L92" s="62">
        <v>296.38439999999997</v>
      </c>
      <c r="M92" s="62">
        <v>549.94679999999994</v>
      </c>
      <c r="N92" s="62">
        <v>341.99099999999999</v>
      </c>
      <c r="O92" s="62">
        <v>0</v>
      </c>
      <c r="P92" s="62"/>
      <c r="Q92" s="62">
        <v>515.15099999999995</v>
      </c>
      <c r="R92" s="62">
        <v>8546.616</v>
      </c>
      <c r="S92" s="62">
        <v>3270.4308000000001</v>
      </c>
      <c r="T92" s="62">
        <v>-3652.3656000000001</v>
      </c>
      <c r="U92" s="62">
        <v>0</v>
      </c>
      <c r="V92" s="62"/>
      <c r="W92" s="62">
        <v>1527.4818</v>
      </c>
      <c r="X92" s="62">
        <v>1527.4818</v>
      </c>
      <c r="Y92" s="62">
        <v>1404.1404</v>
      </c>
      <c r="Z92" s="62">
        <v>646.30799999999999</v>
      </c>
      <c r="AA92" s="62">
        <v>0</v>
      </c>
      <c r="AB92" s="62"/>
      <c r="AC92" s="62">
        <v>9518.1454060905362</v>
      </c>
      <c r="AD92" s="62">
        <v>9518.1454060905362</v>
      </c>
      <c r="AE92" s="62">
        <v>8743.364175637862</v>
      </c>
      <c r="AF92" s="62">
        <v>3983.9937600000007</v>
      </c>
      <c r="AG92" s="62">
        <v>0</v>
      </c>
      <c r="AH92" s="62"/>
      <c r="AI92" s="62">
        <v>0</v>
      </c>
      <c r="AJ92" s="62">
        <v>0</v>
      </c>
      <c r="AK92" s="62">
        <v>0</v>
      </c>
      <c r="AL92" s="62">
        <v>0</v>
      </c>
      <c r="AM92" s="62">
        <v>0</v>
      </c>
    </row>
    <row r="93" spans="1:39">
      <c r="A93" s="9">
        <v>91014</v>
      </c>
      <c r="B93" s="10" t="s">
        <v>1475</v>
      </c>
      <c r="C93" s="60">
        <v>2.22E-4</v>
      </c>
      <c r="E93" s="62">
        <v>11946.178371377839</v>
      </c>
      <c r="F93" s="62">
        <v>95664.250079344652</v>
      </c>
      <c r="G93" s="62">
        <v>48083.540204115234</v>
      </c>
      <c r="H93" s="62">
        <v>-24946.187999999998</v>
      </c>
      <c r="I93" s="62">
        <v>0</v>
      </c>
      <c r="J93" s="62"/>
      <c r="K93" s="62">
        <v>-1335.7740000000001</v>
      </c>
      <c r="L93" s="62">
        <v>2811.8519999999999</v>
      </c>
      <c r="M93" s="62">
        <v>5217.4440000000004</v>
      </c>
      <c r="N93" s="62">
        <v>3244.53</v>
      </c>
      <c r="O93" s="62">
        <v>0</v>
      </c>
      <c r="P93" s="62"/>
      <c r="Q93" s="62">
        <v>4887.33</v>
      </c>
      <c r="R93" s="62">
        <v>81083.28</v>
      </c>
      <c r="S93" s="62">
        <v>31027.164000000001</v>
      </c>
      <c r="T93" s="62">
        <v>-34650.648000000001</v>
      </c>
      <c r="U93" s="62">
        <v>0</v>
      </c>
      <c r="V93" s="62"/>
      <c r="W93" s="62">
        <v>14491.494000000001</v>
      </c>
      <c r="X93" s="62">
        <v>14491.494000000001</v>
      </c>
      <c r="Y93" s="62">
        <v>13321.332</v>
      </c>
      <c r="Z93" s="62">
        <v>6131.64</v>
      </c>
      <c r="AA93" s="62">
        <v>0</v>
      </c>
      <c r="AB93" s="62"/>
      <c r="AC93" s="62">
        <v>328.29000000000519</v>
      </c>
      <c r="AD93" s="62">
        <v>328.29000000000519</v>
      </c>
      <c r="AE93" s="62">
        <v>328.29000000000519</v>
      </c>
      <c r="AF93" s="62">
        <v>328.29000000000519</v>
      </c>
      <c r="AG93" s="62">
        <v>0</v>
      </c>
      <c r="AH93" s="62"/>
      <c r="AI93" s="62">
        <v>-6425.1616286221652</v>
      </c>
      <c r="AJ93" s="62">
        <v>-3050.6659206553609</v>
      </c>
      <c r="AK93" s="62">
        <v>-1810.6897958847771</v>
      </c>
      <c r="AL93" s="62">
        <v>0</v>
      </c>
      <c r="AM93" s="62">
        <v>0</v>
      </c>
    </row>
    <row r="94" spans="1:39">
      <c r="A94" s="9">
        <v>91017</v>
      </c>
      <c r="B94" s="10" t="s">
        <v>1476</v>
      </c>
      <c r="C94" s="60">
        <v>2.4300000000000001E-5</v>
      </c>
      <c r="E94" s="62">
        <v>5996.4871122773784</v>
      </c>
      <c r="F94" s="62">
        <v>14230.622753771155</v>
      </c>
      <c r="G94" s="62">
        <v>7705.5877176954764</v>
      </c>
      <c r="H94" s="62">
        <v>-2287.4030999999991</v>
      </c>
      <c r="I94" s="62">
        <v>0</v>
      </c>
      <c r="J94" s="62"/>
      <c r="K94" s="62">
        <v>-146.2131</v>
      </c>
      <c r="L94" s="62">
        <v>307.78380000000004</v>
      </c>
      <c r="M94" s="62">
        <v>571.09860000000003</v>
      </c>
      <c r="N94" s="62">
        <v>355.14449999999999</v>
      </c>
      <c r="O94" s="62">
        <v>0</v>
      </c>
      <c r="P94" s="62"/>
      <c r="Q94" s="62">
        <v>534.96450000000004</v>
      </c>
      <c r="R94" s="62">
        <v>8875.3320000000003</v>
      </c>
      <c r="S94" s="62">
        <v>3396.2166000000002</v>
      </c>
      <c r="T94" s="62">
        <v>-3792.8412000000003</v>
      </c>
      <c r="U94" s="62">
        <v>0</v>
      </c>
      <c r="V94" s="62"/>
      <c r="W94" s="62">
        <v>1586.2311</v>
      </c>
      <c r="X94" s="62">
        <v>1586.2311</v>
      </c>
      <c r="Y94" s="62">
        <v>1458.1458</v>
      </c>
      <c r="Z94" s="62">
        <v>671.16600000000005</v>
      </c>
      <c r="AA94" s="62">
        <v>0</v>
      </c>
      <c r="AB94" s="62"/>
      <c r="AC94" s="62">
        <v>4021.5046122773779</v>
      </c>
      <c r="AD94" s="62">
        <v>3461.2758537711543</v>
      </c>
      <c r="AE94" s="62">
        <v>2280.1267176954757</v>
      </c>
      <c r="AF94" s="62">
        <v>479.12760000000122</v>
      </c>
      <c r="AG94" s="62">
        <v>0</v>
      </c>
      <c r="AH94" s="62"/>
      <c r="AI94" s="62">
        <v>0</v>
      </c>
      <c r="AJ94" s="62">
        <v>0</v>
      </c>
      <c r="AK94" s="62">
        <v>0</v>
      </c>
      <c r="AL94" s="62">
        <v>0</v>
      </c>
      <c r="AM94" s="62">
        <v>0</v>
      </c>
    </row>
    <row r="95" spans="1:39">
      <c r="A95" s="9">
        <v>91020</v>
      </c>
      <c r="B95" s="10" t="s">
        <v>1477</v>
      </c>
      <c r="C95" s="60">
        <v>2.27E-5</v>
      </c>
      <c r="E95" s="62">
        <v>3100.2476886829586</v>
      </c>
      <c r="F95" s="62">
        <v>10937.901863786692</v>
      </c>
      <c r="G95" s="62">
        <v>6049.0363651851876</v>
      </c>
      <c r="H95" s="62">
        <v>-2009.5526199999981</v>
      </c>
      <c r="I95" s="62">
        <v>0</v>
      </c>
      <c r="J95" s="62"/>
      <c r="K95" s="62">
        <v>-136.58590000000001</v>
      </c>
      <c r="L95" s="62">
        <v>287.51819999999998</v>
      </c>
      <c r="M95" s="62">
        <v>533.49540000000002</v>
      </c>
      <c r="N95" s="62">
        <v>331.76049999999998</v>
      </c>
      <c r="O95" s="62">
        <v>0</v>
      </c>
      <c r="P95" s="62"/>
      <c r="Q95" s="62">
        <v>499.7405</v>
      </c>
      <c r="R95" s="62">
        <v>8290.9480000000003</v>
      </c>
      <c r="S95" s="62">
        <v>3172.5974000000001</v>
      </c>
      <c r="T95" s="62">
        <v>-3543.1068</v>
      </c>
      <c r="U95" s="62">
        <v>0</v>
      </c>
      <c r="V95" s="62"/>
      <c r="W95" s="62">
        <v>1481.7879</v>
      </c>
      <c r="X95" s="62">
        <v>1481.7879</v>
      </c>
      <c r="Y95" s="62">
        <v>1362.1361999999999</v>
      </c>
      <c r="Z95" s="62">
        <v>626.97399999999993</v>
      </c>
      <c r="AA95" s="62">
        <v>0</v>
      </c>
      <c r="AB95" s="62"/>
      <c r="AC95" s="62">
        <v>1461.7083837037057</v>
      </c>
      <c r="AD95" s="62">
        <v>1046.8983837037056</v>
      </c>
      <c r="AE95" s="62">
        <v>980.80736518518734</v>
      </c>
      <c r="AF95" s="62">
        <v>574.81968000000199</v>
      </c>
      <c r="AG95" s="62">
        <v>0</v>
      </c>
      <c r="AH95" s="62"/>
      <c r="AI95" s="62">
        <v>-206.40319502074709</v>
      </c>
      <c r="AJ95" s="62">
        <v>-169.25061991701267</v>
      </c>
      <c r="AK95" s="62">
        <v>0</v>
      </c>
      <c r="AL95" s="62">
        <v>0</v>
      </c>
      <c r="AM95" s="62">
        <v>0</v>
      </c>
    </row>
    <row r="96" spans="1:39">
      <c r="A96" s="9">
        <v>91021</v>
      </c>
      <c r="B96" s="10" t="s">
        <v>1478</v>
      </c>
      <c r="C96" s="60">
        <v>8.6450000000000003E-4</v>
      </c>
      <c r="E96" s="62">
        <v>21844.353106882132</v>
      </c>
      <c r="F96" s="62">
        <v>362419.55750596931</v>
      </c>
      <c r="G96" s="62">
        <v>182194.69553720165</v>
      </c>
      <c r="H96" s="62">
        <v>-101146.88282000004</v>
      </c>
      <c r="I96" s="62">
        <v>0</v>
      </c>
      <c r="J96" s="62"/>
      <c r="K96" s="62">
        <v>-5201.6965</v>
      </c>
      <c r="L96" s="62">
        <v>10949.757</v>
      </c>
      <c r="M96" s="62">
        <v>20317.478999999999</v>
      </c>
      <c r="N96" s="62">
        <v>12634.667500000001</v>
      </c>
      <c r="O96" s="62">
        <v>0</v>
      </c>
      <c r="P96" s="62"/>
      <c r="Q96" s="62">
        <v>19031.967500000002</v>
      </c>
      <c r="R96" s="62">
        <v>315749.98000000004</v>
      </c>
      <c r="S96" s="62">
        <v>120824.24900000001</v>
      </c>
      <c r="T96" s="62">
        <v>-134934.61800000002</v>
      </c>
      <c r="U96" s="62">
        <v>0</v>
      </c>
      <c r="V96" s="62"/>
      <c r="W96" s="62">
        <v>56431.966500000002</v>
      </c>
      <c r="X96" s="62">
        <v>56431.966500000002</v>
      </c>
      <c r="Y96" s="62">
        <v>51875.187000000005</v>
      </c>
      <c r="Z96" s="62">
        <v>23877.49</v>
      </c>
      <c r="AA96" s="62">
        <v>0</v>
      </c>
      <c r="AB96" s="62"/>
      <c r="AC96" s="62">
        <v>0</v>
      </c>
      <c r="AD96" s="62">
        <v>0</v>
      </c>
      <c r="AE96" s="62">
        <v>0</v>
      </c>
      <c r="AF96" s="62">
        <v>0</v>
      </c>
      <c r="AG96" s="62">
        <v>0</v>
      </c>
      <c r="AH96" s="62"/>
      <c r="AI96" s="62">
        <v>-48417.884393117871</v>
      </c>
      <c r="AJ96" s="62">
        <v>-20712.145994030725</v>
      </c>
      <c r="AK96" s="62">
        <v>-10822.219462798363</v>
      </c>
      <c r="AL96" s="62">
        <v>-2724.4223200000242</v>
      </c>
      <c r="AM96" s="62">
        <v>0</v>
      </c>
    </row>
    <row r="97" spans="1:39">
      <c r="A97" s="9">
        <v>91024</v>
      </c>
      <c r="B97" s="10" t="s">
        <v>1479</v>
      </c>
      <c r="C97" s="60">
        <v>7.2999999999999999E-5</v>
      </c>
      <c r="E97" s="62">
        <v>16756.512440620871</v>
      </c>
      <c r="F97" s="62">
        <v>40441.598763442445</v>
      </c>
      <c r="G97" s="62">
        <v>20154.673519259261</v>
      </c>
      <c r="H97" s="62">
        <v>-6998.996839999998</v>
      </c>
      <c r="I97" s="62">
        <v>0</v>
      </c>
      <c r="J97" s="62"/>
      <c r="K97" s="62">
        <v>-439.24099999999999</v>
      </c>
      <c r="L97" s="62">
        <v>924.61799999999994</v>
      </c>
      <c r="M97" s="62">
        <v>1715.646</v>
      </c>
      <c r="N97" s="62">
        <v>1066.895</v>
      </c>
      <c r="O97" s="62">
        <v>0</v>
      </c>
      <c r="P97" s="62"/>
      <c r="Q97" s="62">
        <v>1607.095</v>
      </c>
      <c r="R97" s="62">
        <v>26662.52</v>
      </c>
      <c r="S97" s="62">
        <v>10202.626</v>
      </c>
      <c r="T97" s="62">
        <v>-11394.132</v>
      </c>
      <c r="U97" s="62">
        <v>0</v>
      </c>
      <c r="V97" s="62"/>
      <c r="W97" s="62">
        <v>4765.2209999999995</v>
      </c>
      <c r="X97" s="62">
        <v>4765.2209999999995</v>
      </c>
      <c r="Y97" s="62">
        <v>4380.4380000000001</v>
      </c>
      <c r="Z97" s="62">
        <v>2016.26</v>
      </c>
      <c r="AA97" s="62">
        <v>0</v>
      </c>
      <c r="AB97" s="62"/>
      <c r="AC97" s="62">
        <v>10823.437440620872</v>
      </c>
      <c r="AD97" s="62">
        <v>8089.2397634424487</v>
      </c>
      <c r="AE97" s="62">
        <v>3855.9635192592609</v>
      </c>
      <c r="AF97" s="62">
        <v>1311.9801600000005</v>
      </c>
      <c r="AG97" s="62">
        <v>0</v>
      </c>
      <c r="AH97" s="62"/>
      <c r="AI97" s="62">
        <v>0</v>
      </c>
      <c r="AJ97" s="62">
        <v>0</v>
      </c>
      <c r="AK97" s="62">
        <v>0</v>
      </c>
      <c r="AL97" s="62">
        <v>0</v>
      </c>
      <c r="AM97" s="62">
        <v>0</v>
      </c>
    </row>
    <row r="98" spans="1:39">
      <c r="A98" s="9">
        <v>91026</v>
      </c>
      <c r="B98" s="10" t="s">
        <v>111</v>
      </c>
      <c r="C98" s="60">
        <v>4.18E-5</v>
      </c>
      <c r="E98" s="62">
        <v>14974.33555194303</v>
      </c>
      <c r="F98" s="62">
        <v>31683.572266548843</v>
      </c>
      <c r="G98" s="62">
        <v>14845.717656543209</v>
      </c>
      <c r="H98" s="62">
        <v>-3642.1873200000018</v>
      </c>
      <c r="I98" s="62">
        <v>0</v>
      </c>
      <c r="J98" s="62"/>
      <c r="K98" s="62">
        <v>-251.51060000000001</v>
      </c>
      <c r="L98" s="62">
        <v>529.43880000000001</v>
      </c>
      <c r="M98" s="62">
        <v>982.3836</v>
      </c>
      <c r="N98" s="62">
        <v>610.90700000000004</v>
      </c>
      <c r="O98" s="62">
        <v>0</v>
      </c>
      <c r="P98" s="62"/>
      <c r="Q98" s="62">
        <v>920.22699999999998</v>
      </c>
      <c r="R98" s="62">
        <v>15267.031999999999</v>
      </c>
      <c r="S98" s="62">
        <v>5842.0515999999998</v>
      </c>
      <c r="T98" s="62">
        <v>-6524.3112000000001</v>
      </c>
      <c r="U98" s="62">
        <v>0</v>
      </c>
      <c r="V98" s="62"/>
      <c r="W98" s="62">
        <v>2728.5785999999998</v>
      </c>
      <c r="X98" s="62">
        <v>2728.5785999999998</v>
      </c>
      <c r="Y98" s="62">
        <v>2508.2507999999998</v>
      </c>
      <c r="Z98" s="62">
        <v>1154.5160000000001</v>
      </c>
      <c r="AA98" s="62">
        <v>0</v>
      </c>
      <c r="AB98" s="62"/>
      <c r="AC98" s="62">
        <v>14679.700551943031</v>
      </c>
      <c r="AD98" s="62">
        <v>13158.522866548843</v>
      </c>
      <c r="AE98" s="62">
        <v>5513.0316565432095</v>
      </c>
      <c r="AF98" s="62">
        <v>1116.7008799999976</v>
      </c>
      <c r="AG98" s="62">
        <v>0</v>
      </c>
      <c r="AH98" s="62"/>
      <c r="AI98" s="62">
        <v>-3102.6600000000008</v>
      </c>
      <c r="AJ98" s="62">
        <v>0</v>
      </c>
      <c r="AK98" s="62">
        <v>0</v>
      </c>
      <c r="AL98" s="62">
        <v>0</v>
      </c>
      <c r="AM98" s="62">
        <v>0</v>
      </c>
    </row>
    <row r="99" spans="1:39">
      <c r="A99" s="9">
        <v>91027</v>
      </c>
      <c r="B99" s="10" t="s">
        <v>1480</v>
      </c>
      <c r="C99" s="60">
        <v>1.4E-5</v>
      </c>
      <c r="E99" s="62">
        <v>7726.7039526451845</v>
      </c>
      <c r="F99" s="62">
        <v>11260.672020694976</v>
      </c>
      <c r="G99" s="62">
        <v>6267.5857549794237</v>
      </c>
      <c r="H99" s="62">
        <v>-37.638480000000754</v>
      </c>
      <c r="I99" s="62">
        <v>0</v>
      </c>
      <c r="J99" s="62"/>
      <c r="K99" s="62">
        <v>-84.238</v>
      </c>
      <c r="L99" s="62">
        <v>177.32399999999998</v>
      </c>
      <c r="M99" s="62">
        <v>329.02800000000002</v>
      </c>
      <c r="N99" s="62">
        <v>204.60999999999999</v>
      </c>
      <c r="O99" s="62">
        <v>0</v>
      </c>
      <c r="P99" s="62"/>
      <c r="Q99" s="62">
        <v>308.20999999999998</v>
      </c>
      <c r="R99" s="62">
        <v>5113.3599999999997</v>
      </c>
      <c r="S99" s="62">
        <v>1956.6679999999999</v>
      </c>
      <c r="T99" s="62">
        <v>-2185.1759999999999</v>
      </c>
      <c r="U99" s="62">
        <v>0</v>
      </c>
      <c r="V99" s="62"/>
      <c r="W99" s="62">
        <v>913.87800000000004</v>
      </c>
      <c r="X99" s="62">
        <v>913.87800000000004</v>
      </c>
      <c r="Y99" s="62">
        <v>840.08399999999995</v>
      </c>
      <c r="Z99" s="62">
        <v>386.68</v>
      </c>
      <c r="AA99" s="62">
        <v>0</v>
      </c>
      <c r="AB99" s="62"/>
      <c r="AC99" s="62">
        <v>6588.8539526451841</v>
      </c>
      <c r="AD99" s="62">
        <v>5056.1100206949777</v>
      </c>
      <c r="AE99" s="62">
        <v>3141.8057549794239</v>
      </c>
      <c r="AF99" s="62">
        <v>1556.2475199999992</v>
      </c>
      <c r="AG99" s="62">
        <v>0</v>
      </c>
      <c r="AH99" s="62"/>
      <c r="AI99" s="62">
        <v>0</v>
      </c>
      <c r="AJ99" s="62">
        <v>0</v>
      </c>
      <c r="AK99" s="62">
        <v>0</v>
      </c>
      <c r="AL99" s="62">
        <v>0</v>
      </c>
      <c r="AM99" s="62">
        <v>0</v>
      </c>
    </row>
    <row r="100" spans="1:39">
      <c r="A100" s="9">
        <v>91032</v>
      </c>
      <c r="B100" s="10" t="s">
        <v>1481</v>
      </c>
      <c r="C100" s="60">
        <v>1.8E-5</v>
      </c>
      <c r="E100" s="62">
        <v>7908.6230390478622</v>
      </c>
      <c r="F100" s="62">
        <v>12720.785417471099</v>
      </c>
      <c r="G100" s="62">
        <v>6345.353101069958</v>
      </c>
      <c r="H100" s="62">
        <v>-569.00048000000038</v>
      </c>
      <c r="I100" s="62">
        <v>0</v>
      </c>
      <c r="J100" s="62"/>
      <c r="K100" s="62">
        <v>-108.306</v>
      </c>
      <c r="L100" s="62">
        <v>227.988</v>
      </c>
      <c r="M100" s="62">
        <v>423.036</v>
      </c>
      <c r="N100" s="62">
        <v>263.07</v>
      </c>
      <c r="O100" s="62">
        <v>0</v>
      </c>
      <c r="P100" s="62"/>
      <c r="Q100" s="62">
        <v>396.27</v>
      </c>
      <c r="R100" s="62">
        <v>6574.3200000000006</v>
      </c>
      <c r="S100" s="62">
        <v>2515.7159999999999</v>
      </c>
      <c r="T100" s="62">
        <v>-2809.5120000000002</v>
      </c>
      <c r="U100" s="62">
        <v>0</v>
      </c>
      <c r="V100" s="62"/>
      <c r="W100" s="62">
        <v>1174.9860000000001</v>
      </c>
      <c r="X100" s="62">
        <v>1174.9860000000001</v>
      </c>
      <c r="Y100" s="62">
        <v>1080.1079999999999</v>
      </c>
      <c r="Z100" s="62">
        <v>497.16</v>
      </c>
      <c r="AA100" s="62">
        <v>0</v>
      </c>
      <c r="AB100" s="62"/>
      <c r="AC100" s="62">
        <v>6445.6730390478624</v>
      </c>
      <c r="AD100" s="62">
        <v>4743.4914174710993</v>
      </c>
      <c r="AE100" s="62">
        <v>2326.4931010699584</v>
      </c>
      <c r="AF100" s="62">
        <v>1480.2815199999998</v>
      </c>
      <c r="AG100" s="62">
        <v>0</v>
      </c>
      <c r="AH100" s="62"/>
      <c r="AI100" s="62">
        <v>0</v>
      </c>
      <c r="AJ100" s="62">
        <v>0</v>
      </c>
      <c r="AK100" s="62">
        <v>0</v>
      </c>
      <c r="AL100" s="62">
        <v>0</v>
      </c>
      <c r="AM100" s="62">
        <v>0</v>
      </c>
    </row>
    <row r="101" spans="1:39">
      <c r="A101" s="9">
        <v>91041</v>
      </c>
      <c r="B101" s="10" t="s">
        <v>1482</v>
      </c>
      <c r="C101" s="60">
        <v>4.0400000000000001E-4</v>
      </c>
      <c r="E101" s="62">
        <v>-6241.0679543780134</v>
      </c>
      <c r="F101" s="62">
        <v>143302.61491026927</v>
      </c>
      <c r="G101" s="62">
        <v>66549.830569794241</v>
      </c>
      <c r="H101" s="62">
        <v>-56967.324479999988</v>
      </c>
      <c r="I101" s="62">
        <v>0</v>
      </c>
      <c r="J101" s="62"/>
      <c r="K101" s="62">
        <v>-2430.8679999999999</v>
      </c>
      <c r="L101" s="62">
        <v>5117.0640000000003</v>
      </c>
      <c r="M101" s="62">
        <v>9494.8080000000009</v>
      </c>
      <c r="N101" s="62">
        <v>5904.46</v>
      </c>
      <c r="O101" s="62">
        <v>0</v>
      </c>
      <c r="P101" s="62"/>
      <c r="Q101" s="62">
        <v>8894.06</v>
      </c>
      <c r="R101" s="62">
        <v>147556.96</v>
      </c>
      <c r="S101" s="62">
        <v>56463.847999999998</v>
      </c>
      <c r="T101" s="62">
        <v>-63057.936000000002</v>
      </c>
      <c r="U101" s="62">
        <v>0</v>
      </c>
      <c r="V101" s="62"/>
      <c r="W101" s="62">
        <v>26371.907999999999</v>
      </c>
      <c r="X101" s="62">
        <v>26371.907999999999</v>
      </c>
      <c r="Y101" s="62">
        <v>24242.423999999999</v>
      </c>
      <c r="Z101" s="62">
        <v>11158.48</v>
      </c>
      <c r="AA101" s="62">
        <v>0</v>
      </c>
      <c r="AB101" s="62"/>
      <c r="AC101" s="62">
        <v>0</v>
      </c>
      <c r="AD101" s="62">
        <v>0</v>
      </c>
      <c r="AE101" s="62">
        <v>0</v>
      </c>
      <c r="AF101" s="62">
        <v>0</v>
      </c>
      <c r="AG101" s="62">
        <v>0</v>
      </c>
      <c r="AH101" s="62"/>
      <c r="AI101" s="62">
        <v>-39076.167954378012</v>
      </c>
      <c r="AJ101" s="62">
        <v>-35743.317089730714</v>
      </c>
      <c r="AK101" s="62">
        <v>-23651.24943020576</v>
      </c>
      <c r="AL101" s="62">
        <v>-10972.328479999991</v>
      </c>
      <c r="AM101" s="62">
        <v>0</v>
      </c>
    </row>
    <row r="102" spans="1:39">
      <c r="A102" s="9">
        <v>91042</v>
      </c>
      <c r="B102" s="10" t="s">
        <v>1483</v>
      </c>
      <c r="C102" s="60">
        <v>2.3360000000000001E-4</v>
      </c>
      <c r="E102" s="62">
        <v>19702.003746596325</v>
      </c>
      <c r="F102" s="62">
        <v>104172.21228933492</v>
      </c>
      <c r="G102" s="62">
        <v>53109.887419423889</v>
      </c>
      <c r="H102" s="62">
        <v>-23540.712559999985</v>
      </c>
      <c r="I102" s="62">
        <v>0</v>
      </c>
      <c r="J102" s="62"/>
      <c r="K102" s="62">
        <v>-1405.5712000000001</v>
      </c>
      <c r="L102" s="62">
        <v>2958.7776000000003</v>
      </c>
      <c r="M102" s="62">
        <v>5490.0672000000004</v>
      </c>
      <c r="N102" s="62">
        <v>3414.0640000000003</v>
      </c>
      <c r="O102" s="62">
        <v>0</v>
      </c>
      <c r="P102" s="62"/>
      <c r="Q102" s="62">
        <v>5142.7040000000006</v>
      </c>
      <c r="R102" s="62">
        <v>85320.063999999998</v>
      </c>
      <c r="S102" s="62">
        <v>32648.403200000001</v>
      </c>
      <c r="T102" s="62">
        <v>-36461.222399999999</v>
      </c>
      <c r="U102" s="62">
        <v>0</v>
      </c>
      <c r="V102" s="62"/>
      <c r="W102" s="62">
        <v>15248.707200000001</v>
      </c>
      <c r="X102" s="62">
        <v>15248.707200000001</v>
      </c>
      <c r="Y102" s="62">
        <v>14017.401600000001</v>
      </c>
      <c r="Z102" s="62">
        <v>6452.0320000000002</v>
      </c>
      <c r="AA102" s="62">
        <v>0</v>
      </c>
      <c r="AB102" s="62"/>
      <c r="AC102" s="62">
        <v>3158.487491452292</v>
      </c>
      <c r="AD102" s="62">
        <v>3086.9872341908822</v>
      </c>
      <c r="AE102" s="62">
        <v>3054.4138400000143</v>
      </c>
      <c r="AF102" s="62">
        <v>3054.4138400000143</v>
      </c>
      <c r="AG102" s="62">
        <v>0</v>
      </c>
      <c r="AH102" s="62"/>
      <c r="AI102" s="62">
        <v>-2442.3237448559648</v>
      </c>
      <c r="AJ102" s="62">
        <v>-2442.3237448559648</v>
      </c>
      <c r="AK102" s="62">
        <v>-2100.3984205761303</v>
      </c>
      <c r="AL102" s="62">
        <v>0</v>
      </c>
      <c r="AM102" s="62">
        <v>0</v>
      </c>
    </row>
    <row r="103" spans="1:39">
      <c r="A103" s="9">
        <v>91047</v>
      </c>
      <c r="B103" s="10" t="s">
        <v>1484</v>
      </c>
      <c r="C103" s="60">
        <v>1.31E-5</v>
      </c>
      <c r="E103" s="62">
        <v>8618.4924808602682</v>
      </c>
      <c r="F103" s="62">
        <v>12429.591708246164</v>
      </c>
      <c r="G103" s="62">
        <v>7194.2741346502062</v>
      </c>
      <c r="H103" s="62">
        <v>568.20634000000018</v>
      </c>
      <c r="I103" s="62">
        <v>0</v>
      </c>
      <c r="J103" s="62"/>
      <c r="K103" s="62">
        <v>-78.822699999999998</v>
      </c>
      <c r="L103" s="62">
        <v>165.9246</v>
      </c>
      <c r="M103" s="62">
        <v>307.87619999999998</v>
      </c>
      <c r="N103" s="62">
        <v>191.45650000000001</v>
      </c>
      <c r="O103" s="62">
        <v>0</v>
      </c>
      <c r="P103" s="62"/>
      <c r="Q103" s="62">
        <v>288.3965</v>
      </c>
      <c r="R103" s="62">
        <v>4784.6440000000002</v>
      </c>
      <c r="S103" s="62">
        <v>1830.8822</v>
      </c>
      <c r="T103" s="62">
        <v>-2044.7003999999999</v>
      </c>
      <c r="U103" s="62">
        <v>0</v>
      </c>
      <c r="V103" s="62"/>
      <c r="W103" s="62">
        <v>855.12869999999998</v>
      </c>
      <c r="X103" s="62">
        <v>855.12869999999998</v>
      </c>
      <c r="Y103" s="62">
        <v>786.07860000000005</v>
      </c>
      <c r="Z103" s="62">
        <v>361.822</v>
      </c>
      <c r="AA103" s="62">
        <v>0</v>
      </c>
      <c r="AB103" s="62"/>
      <c r="AC103" s="62">
        <v>7553.7899808602688</v>
      </c>
      <c r="AD103" s="62">
        <v>6623.8944082461621</v>
      </c>
      <c r="AE103" s="62">
        <v>4269.4371346502057</v>
      </c>
      <c r="AF103" s="62">
        <v>2059.62824</v>
      </c>
      <c r="AG103" s="62">
        <v>0</v>
      </c>
      <c r="AH103" s="62"/>
      <c r="AI103" s="62">
        <v>0</v>
      </c>
      <c r="AJ103" s="62">
        <v>0</v>
      </c>
      <c r="AK103" s="62">
        <v>0</v>
      </c>
      <c r="AL103" s="62">
        <v>0</v>
      </c>
      <c r="AM103" s="62">
        <v>0</v>
      </c>
    </row>
    <row r="104" spans="1:39">
      <c r="A104" s="9">
        <v>91051</v>
      </c>
      <c r="B104" s="10" t="s">
        <v>1485</v>
      </c>
      <c r="C104" s="60">
        <v>6.6400000000000001E-5</v>
      </c>
      <c r="E104" s="62">
        <v>3822.7531829749132</v>
      </c>
      <c r="F104" s="62">
        <v>27937.839965713505</v>
      </c>
      <c r="G104" s="62">
        <v>12690.881273909461</v>
      </c>
      <c r="H104" s="62">
        <v>-9173.1164800000042</v>
      </c>
      <c r="I104" s="62">
        <v>0</v>
      </c>
      <c r="J104" s="62"/>
      <c r="K104" s="62">
        <v>-399.52879999999999</v>
      </c>
      <c r="L104" s="62">
        <v>841.02240000000006</v>
      </c>
      <c r="M104" s="62">
        <v>1560.5328</v>
      </c>
      <c r="N104" s="62">
        <v>970.43600000000004</v>
      </c>
      <c r="O104" s="62">
        <v>0</v>
      </c>
      <c r="P104" s="62"/>
      <c r="Q104" s="62">
        <v>1461.796</v>
      </c>
      <c r="R104" s="62">
        <v>24251.936000000002</v>
      </c>
      <c r="S104" s="62">
        <v>9280.1967999999997</v>
      </c>
      <c r="T104" s="62">
        <v>-10363.9776</v>
      </c>
      <c r="U104" s="62">
        <v>0</v>
      </c>
      <c r="V104" s="62"/>
      <c r="W104" s="62">
        <v>4334.3928000000005</v>
      </c>
      <c r="X104" s="62">
        <v>4334.3928000000005</v>
      </c>
      <c r="Y104" s="62">
        <v>3984.3984</v>
      </c>
      <c r="Z104" s="62">
        <v>1833.9680000000001</v>
      </c>
      <c r="AA104" s="62">
        <v>0</v>
      </c>
      <c r="AB104" s="62"/>
      <c r="AC104" s="62">
        <v>889.63565145228017</v>
      </c>
      <c r="AD104" s="62">
        <v>729.50123419087004</v>
      </c>
      <c r="AE104" s="62">
        <v>0</v>
      </c>
      <c r="AF104" s="62">
        <v>0</v>
      </c>
      <c r="AG104" s="62">
        <v>0</v>
      </c>
      <c r="AH104" s="62"/>
      <c r="AI104" s="62">
        <v>-2463.5424684773679</v>
      </c>
      <c r="AJ104" s="62">
        <v>-2219.0124684773677</v>
      </c>
      <c r="AK104" s="62">
        <v>-2134.2467260905373</v>
      </c>
      <c r="AL104" s="62">
        <v>-1613.5428800000045</v>
      </c>
      <c r="AM104" s="62">
        <v>0</v>
      </c>
    </row>
    <row r="105" spans="1:39">
      <c r="A105" s="9">
        <v>91057</v>
      </c>
      <c r="B105" s="10" t="s">
        <v>1486</v>
      </c>
      <c r="C105" s="60">
        <v>1.4399999999999999E-5</v>
      </c>
      <c r="E105" s="62">
        <v>3361.7444252514379</v>
      </c>
      <c r="F105" s="62">
        <v>8388.3812850024769</v>
      </c>
      <c r="G105" s="62">
        <v>4321.5397711934165</v>
      </c>
      <c r="H105" s="62">
        <v>-1138.9235999999996</v>
      </c>
      <c r="I105" s="62">
        <v>0</v>
      </c>
      <c r="J105" s="62"/>
      <c r="K105" s="62">
        <v>-86.644799999999989</v>
      </c>
      <c r="L105" s="62">
        <v>182.3904</v>
      </c>
      <c r="M105" s="62">
        <v>338.42879999999997</v>
      </c>
      <c r="N105" s="62">
        <v>210.45599999999999</v>
      </c>
      <c r="O105" s="62">
        <v>0</v>
      </c>
      <c r="P105" s="62"/>
      <c r="Q105" s="62">
        <v>317.01599999999996</v>
      </c>
      <c r="R105" s="62">
        <v>5259.4560000000001</v>
      </c>
      <c r="S105" s="62">
        <v>2012.5727999999999</v>
      </c>
      <c r="T105" s="62">
        <v>-2247.6095999999998</v>
      </c>
      <c r="U105" s="62">
        <v>0</v>
      </c>
      <c r="V105" s="62"/>
      <c r="W105" s="62">
        <v>939.98879999999997</v>
      </c>
      <c r="X105" s="62">
        <v>939.98879999999997</v>
      </c>
      <c r="Y105" s="62">
        <v>864.08639999999991</v>
      </c>
      <c r="Z105" s="62">
        <v>397.72800000000001</v>
      </c>
      <c r="AA105" s="62">
        <v>0</v>
      </c>
      <c r="AB105" s="62"/>
      <c r="AC105" s="62">
        <v>2191.3844252514382</v>
      </c>
      <c r="AD105" s="62">
        <v>2006.5460850024763</v>
      </c>
      <c r="AE105" s="62">
        <v>1106.4517711934163</v>
      </c>
      <c r="AF105" s="62">
        <v>500.50200000000029</v>
      </c>
      <c r="AG105" s="62">
        <v>0</v>
      </c>
      <c r="AH105" s="62"/>
      <c r="AI105" s="62">
        <v>0</v>
      </c>
      <c r="AJ105" s="62">
        <v>0</v>
      </c>
      <c r="AK105" s="62">
        <v>0</v>
      </c>
      <c r="AL105" s="62">
        <v>0</v>
      </c>
      <c r="AM105" s="62">
        <v>0</v>
      </c>
    </row>
    <row r="106" spans="1:39">
      <c r="A106" s="9">
        <v>91061</v>
      </c>
      <c r="B106" s="10" t="s">
        <v>1487</v>
      </c>
      <c r="C106" s="60">
        <v>4.104E-4</v>
      </c>
      <c r="E106" s="62">
        <v>20056.868259134288</v>
      </c>
      <c r="F106" s="62">
        <v>178966.93169506793</v>
      </c>
      <c r="G106" s="62">
        <v>96943.400642716078</v>
      </c>
      <c r="H106" s="62">
        <v>-44356.298239999975</v>
      </c>
      <c r="I106" s="62">
        <v>0</v>
      </c>
      <c r="J106" s="62"/>
      <c r="K106" s="62">
        <v>-2469.3768</v>
      </c>
      <c r="L106" s="62">
        <v>5198.1264000000001</v>
      </c>
      <c r="M106" s="62">
        <v>9645.2207999999991</v>
      </c>
      <c r="N106" s="62">
        <v>5997.9960000000001</v>
      </c>
      <c r="O106" s="62">
        <v>0</v>
      </c>
      <c r="P106" s="62"/>
      <c r="Q106" s="62">
        <v>9034.9560000000001</v>
      </c>
      <c r="R106" s="62">
        <v>149894.49600000001</v>
      </c>
      <c r="S106" s="62">
        <v>57358.324800000002</v>
      </c>
      <c r="T106" s="62">
        <v>-64056.873599999999</v>
      </c>
      <c r="U106" s="62">
        <v>0</v>
      </c>
      <c r="V106" s="62"/>
      <c r="W106" s="62">
        <v>26789.680799999998</v>
      </c>
      <c r="X106" s="62">
        <v>26789.680799999998</v>
      </c>
      <c r="Y106" s="62">
        <v>24626.4624</v>
      </c>
      <c r="Z106" s="62">
        <v>11335.248</v>
      </c>
      <c r="AA106" s="62">
        <v>0</v>
      </c>
      <c r="AB106" s="62"/>
      <c r="AC106" s="62">
        <v>5792.9840143210204</v>
      </c>
      <c r="AD106" s="62">
        <v>5792.9840143210204</v>
      </c>
      <c r="AE106" s="62">
        <v>5313.3926427160814</v>
      </c>
      <c r="AF106" s="62">
        <v>2367.3313600000229</v>
      </c>
      <c r="AG106" s="62">
        <v>0</v>
      </c>
      <c r="AH106" s="62"/>
      <c r="AI106" s="62">
        <v>-19091.375755186724</v>
      </c>
      <c r="AJ106" s="62">
        <v>-8708.3555192531167</v>
      </c>
      <c r="AK106" s="62">
        <v>0</v>
      </c>
      <c r="AL106" s="62">
        <v>0</v>
      </c>
      <c r="AM106" s="62">
        <v>0</v>
      </c>
    </row>
    <row r="107" spans="1:39">
      <c r="A107" s="9">
        <v>91067</v>
      </c>
      <c r="B107" s="10" t="s">
        <v>1488</v>
      </c>
      <c r="C107" s="60">
        <v>1.5699999999999999E-5</v>
      </c>
      <c r="E107" s="62">
        <v>2428.8453944145617</v>
      </c>
      <c r="F107" s="62">
        <v>7691.9300375680878</v>
      </c>
      <c r="G107" s="62">
        <v>3726.30260781893</v>
      </c>
      <c r="H107" s="62">
        <v>-1889.0480999999997</v>
      </c>
      <c r="I107" s="62">
        <v>0</v>
      </c>
      <c r="J107" s="62"/>
      <c r="K107" s="62">
        <v>-94.466899999999995</v>
      </c>
      <c r="L107" s="62">
        <v>198.85619999999997</v>
      </c>
      <c r="M107" s="62">
        <v>368.98139999999995</v>
      </c>
      <c r="N107" s="62">
        <v>229.45549999999997</v>
      </c>
      <c r="O107" s="62">
        <v>0</v>
      </c>
      <c r="P107" s="62"/>
      <c r="Q107" s="62">
        <v>345.63549999999998</v>
      </c>
      <c r="R107" s="62">
        <v>5734.2679999999991</v>
      </c>
      <c r="S107" s="62">
        <v>2194.2633999999998</v>
      </c>
      <c r="T107" s="62">
        <v>-2450.5187999999998</v>
      </c>
      <c r="U107" s="62">
        <v>0</v>
      </c>
      <c r="V107" s="62"/>
      <c r="W107" s="62">
        <v>1024.8489</v>
      </c>
      <c r="X107" s="62">
        <v>1024.8489</v>
      </c>
      <c r="Y107" s="62">
        <v>942.09419999999989</v>
      </c>
      <c r="Z107" s="62">
        <v>433.63399999999996</v>
      </c>
      <c r="AA107" s="62">
        <v>0</v>
      </c>
      <c r="AB107" s="62"/>
      <c r="AC107" s="62">
        <v>1254.446694414562</v>
      </c>
      <c r="AD107" s="62">
        <v>835.57573756808893</v>
      </c>
      <c r="AE107" s="62">
        <v>322.58240781893039</v>
      </c>
      <c r="AF107" s="62">
        <v>0</v>
      </c>
      <c r="AG107" s="62">
        <v>0</v>
      </c>
      <c r="AH107" s="62"/>
      <c r="AI107" s="62">
        <v>-101.61880000000002</v>
      </c>
      <c r="AJ107" s="62">
        <v>-101.61880000000002</v>
      </c>
      <c r="AK107" s="62">
        <v>-101.61880000000002</v>
      </c>
      <c r="AL107" s="62">
        <v>-101.61880000000002</v>
      </c>
      <c r="AM107" s="62">
        <v>0</v>
      </c>
    </row>
    <row r="108" spans="1:39">
      <c r="A108" s="9">
        <v>91071</v>
      </c>
      <c r="B108" s="10" t="s">
        <v>1489</v>
      </c>
      <c r="C108" s="60">
        <v>2.2770000000000001E-4</v>
      </c>
      <c r="E108" s="62">
        <v>20774.848351323872</v>
      </c>
      <c r="F108" s="62">
        <v>94917.900452070753</v>
      </c>
      <c r="G108" s="62">
        <v>45416.251578106981</v>
      </c>
      <c r="H108" s="62">
        <v>-30879.829140000005</v>
      </c>
      <c r="I108" s="62">
        <v>0</v>
      </c>
      <c r="J108" s="62"/>
      <c r="K108" s="62">
        <v>-1370.0708999999999</v>
      </c>
      <c r="L108" s="62">
        <v>2884.0482000000002</v>
      </c>
      <c r="M108" s="62">
        <v>5351.4054000000006</v>
      </c>
      <c r="N108" s="62">
        <v>3327.8355000000001</v>
      </c>
      <c r="O108" s="62">
        <v>0</v>
      </c>
      <c r="P108" s="62"/>
      <c r="Q108" s="62">
        <v>5012.8154999999997</v>
      </c>
      <c r="R108" s="62">
        <v>83165.148000000001</v>
      </c>
      <c r="S108" s="62">
        <v>31823.807400000002</v>
      </c>
      <c r="T108" s="62">
        <v>-35540.326800000003</v>
      </c>
      <c r="U108" s="62">
        <v>0</v>
      </c>
      <c r="V108" s="62"/>
      <c r="W108" s="62">
        <v>14863.572900000001</v>
      </c>
      <c r="X108" s="62">
        <v>14863.572900000001</v>
      </c>
      <c r="Y108" s="62">
        <v>13663.3662</v>
      </c>
      <c r="Z108" s="62">
        <v>6289.0740000000005</v>
      </c>
      <c r="AA108" s="62">
        <v>0</v>
      </c>
      <c r="AB108" s="62"/>
      <c r="AC108" s="62">
        <v>8372.4300000000021</v>
      </c>
      <c r="AD108" s="62">
        <v>0</v>
      </c>
      <c r="AE108" s="62">
        <v>0</v>
      </c>
      <c r="AF108" s="62">
        <v>0</v>
      </c>
      <c r="AG108" s="62">
        <v>0</v>
      </c>
      <c r="AH108" s="62"/>
      <c r="AI108" s="62">
        <v>-6103.8991486761342</v>
      </c>
      <c r="AJ108" s="62">
        <v>-5994.8686479292464</v>
      </c>
      <c r="AK108" s="62">
        <v>-5422.3274218930137</v>
      </c>
      <c r="AL108" s="62">
        <v>-4956.4118400000043</v>
      </c>
      <c r="AM108" s="62">
        <v>0</v>
      </c>
    </row>
    <row r="109" spans="1:39">
      <c r="A109" s="9">
        <v>91077</v>
      </c>
      <c r="B109" s="10" t="s">
        <v>1490</v>
      </c>
      <c r="C109" s="60">
        <v>3.5999999999999998E-6</v>
      </c>
      <c r="E109" s="62">
        <v>844.53123621399163</v>
      </c>
      <c r="F109" s="62">
        <v>2165.3388362139922</v>
      </c>
      <c r="G109" s="62">
        <v>1198.5626551440332</v>
      </c>
      <c r="H109" s="62">
        <v>-151.99359999999967</v>
      </c>
      <c r="I109" s="62">
        <v>0</v>
      </c>
      <c r="J109" s="62"/>
      <c r="K109" s="62">
        <v>-21.661199999999997</v>
      </c>
      <c r="L109" s="62">
        <v>45.5976</v>
      </c>
      <c r="M109" s="62">
        <v>84.607199999999992</v>
      </c>
      <c r="N109" s="62">
        <v>52.613999999999997</v>
      </c>
      <c r="O109" s="62">
        <v>0</v>
      </c>
      <c r="P109" s="62"/>
      <c r="Q109" s="62">
        <v>79.253999999999991</v>
      </c>
      <c r="R109" s="62">
        <v>1314.864</v>
      </c>
      <c r="S109" s="62">
        <v>503.14319999999998</v>
      </c>
      <c r="T109" s="62">
        <v>-561.90239999999994</v>
      </c>
      <c r="U109" s="62">
        <v>0</v>
      </c>
      <c r="V109" s="62"/>
      <c r="W109" s="62">
        <v>234.99719999999999</v>
      </c>
      <c r="X109" s="62">
        <v>234.99719999999999</v>
      </c>
      <c r="Y109" s="62">
        <v>216.02159999999998</v>
      </c>
      <c r="Z109" s="62">
        <v>99.432000000000002</v>
      </c>
      <c r="AA109" s="62">
        <v>0</v>
      </c>
      <c r="AB109" s="62"/>
      <c r="AC109" s="62">
        <v>603.42123621399173</v>
      </c>
      <c r="AD109" s="62">
        <v>569.88003621399184</v>
      </c>
      <c r="AE109" s="62">
        <v>394.79065514403317</v>
      </c>
      <c r="AF109" s="62">
        <v>257.86280000000028</v>
      </c>
      <c r="AG109" s="62">
        <v>0</v>
      </c>
      <c r="AH109" s="62"/>
      <c r="AI109" s="62">
        <v>-51.480000000000011</v>
      </c>
      <c r="AJ109" s="62">
        <v>0</v>
      </c>
      <c r="AK109" s="62">
        <v>0</v>
      </c>
      <c r="AL109" s="62">
        <v>0</v>
      </c>
      <c r="AM109" s="62">
        <v>0</v>
      </c>
    </row>
    <row r="110" spans="1:39">
      <c r="A110" s="9">
        <v>91081</v>
      </c>
      <c r="B110" s="10" t="s">
        <v>1491</v>
      </c>
      <c r="C110" s="60">
        <v>3.6240000000000003E-4</v>
      </c>
      <c r="E110" s="62">
        <v>16489.563128255035</v>
      </c>
      <c r="F110" s="62">
        <v>161162.7256733173</v>
      </c>
      <c r="G110" s="62">
        <v>81281.347818930037</v>
      </c>
      <c r="H110" s="62">
        <v>-41146.705600000016</v>
      </c>
      <c r="I110" s="62">
        <v>0</v>
      </c>
      <c r="J110" s="62"/>
      <c r="K110" s="62">
        <v>-2180.5608000000002</v>
      </c>
      <c r="L110" s="62">
        <v>4590.1584000000003</v>
      </c>
      <c r="M110" s="62">
        <v>8517.1248000000014</v>
      </c>
      <c r="N110" s="62">
        <v>5296.4760000000006</v>
      </c>
      <c r="O110" s="62">
        <v>0</v>
      </c>
      <c r="P110" s="62"/>
      <c r="Q110" s="62">
        <v>7978.2360000000008</v>
      </c>
      <c r="R110" s="62">
        <v>132362.97600000002</v>
      </c>
      <c r="S110" s="62">
        <v>50649.748800000001</v>
      </c>
      <c r="T110" s="62">
        <v>-56564.841600000007</v>
      </c>
      <c r="U110" s="62">
        <v>0</v>
      </c>
      <c r="V110" s="62"/>
      <c r="W110" s="62">
        <v>23656.384800000003</v>
      </c>
      <c r="X110" s="62">
        <v>23656.384800000003</v>
      </c>
      <c r="Y110" s="62">
        <v>21746.1744</v>
      </c>
      <c r="Z110" s="62">
        <v>10009.488000000001</v>
      </c>
      <c r="AA110" s="62">
        <v>0</v>
      </c>
      <c r="AB110" s="62"/>
      <c r="AC110" s="62">
        <v>584.64312825503157</v>
      </c>
      <c r="AD110" s="62">
        <v>553.20647331727196</v>
      </c>
      <c r="AE110" s="62">
        <v>368.29981893002969</v>
      </c>
      <c r="AF110" s="62">
        <v>112.17199999999144</v>
      </c>
      <c r="AG110" s="62">
        <v>0</v>
      </c>
      <c r="AH110" s="62"/>
      <c r="AI110" s="62">
        <v>-13549.140000000003</v>
      </c>
      <c r="AJ110" s="62">
        <v>0</v>
      </c>
      <c r="AK110" s="62">
        <v>0</v>
      </c>
      <c r="AL110" s="62">
        <v>0</v>
      </c>
      <c r="AM110" s="62">
        <v>0</v>
      </c>
    </row>
    <row r="111" spans="1:39">
      <c r="A111" s="9">
        <v>91091</v>
      </c>
      <c r="B111" s="10" t="s">
        <v>1492</v>
      </c>
      <c r="C111" s="60">
        <v>5.3790000000000001E-4</v>
      </c>
      <c r="E111" s="62">
        <v>13006.573794111951</v>
      </c>
      <c r="F111" s="62">
        <v>221440.80438108288</v>
      </c>
      <c r="G111" s="62">
        <v>110123.25600197527</v>
      </c>
      <c r="H111" s="62">
        <v>-69819.030940000026</v>
      </c>
      <c r="I111" s="62">
        <v>0</v>
      </c>
      <c r="J111" s="62"/>
      <c r="K111" s="62">
        <v>-3236.5443</v>
      </c>
      <c r="L111" s="62">
        <v>6813.0414000000001</v>
      </c>
      <c r="M111" s="62">
        <v>12641.7258</v>
      </c>
      <c r="N111" s="62">
        <v>7861.4085000000005</v>
      </c>
      <c r="O111" s="62">
        <v>0</v>
      </c>
      <c r="P111" s="62"/>
      <c r="Q111" s="62">
        <v>11841.8685</v>
      </c>
      <c r="R111" s="62">
        <v>196462.59599999999</v>
      </c>
      <c r="S111" s="62">
        <v>75177.979800000001</v>
      </c>
      <c r="T111" s="62">
        <v>-83957.583599999998</v>
      </c>
      <c r="U111" s="62">
        <v>0</v>
      </c>
      <c r="V111" s="62"/>
      <c r="W111" s="62">
        <v>35112.498299999999</v>
      </c>
      <c r="X111" s="62">
        <v>35112.498299999999</v>
      </c>
      <c r="Y111" s="62">
        <v>32277.2274</v>
      </c>
      <c r="Z111" s="62">
        <v>14856.798000000001</v>
      </c>
      <c r="AA111" s="62">
        <v>0</v>
      </c>
      <c r="AB111" s="62"/>
      <c r="AC111" s="62">
        <v>0</v>
      </c>
      <c r="AD111" s="62">
        <v>0</v>
      </c>
      <c r="AE111" s="62">
        <v>0</v>
      </c>
      <c r="AF111" s="62">
        <v>0</v>
      </c>
      <c r="AG111" s="62">
        <v>0</v>
      </c>
      <c r="AH111" s="62"/>
      <c r="AI111" s="62">
        <v>-30711.248705888051</v>
      </c>
      <c r="AJ111" s="62">
        <v>-16947.331318917095</v>
      </c>
      <c r="AK111" s="62">
        <v>-9973.67699802473</v>
      </c>
      <c r="AL111" s="62">
        <v>-8579.6538400000427</v>
      </c>
      <c r="AM111" s="62">
        <v>0</v>
      </c>
    </row>
    <row r="112" spans="1:39">
      <c r="A112" s="9">
        <v>91101</v>
      </c>
      <c r="B112" s="10" t="s">
        <v>1493</v>
      </c>
      <c r="C112" s="60">
        <v>1.35581E-2</v>
      </c>
      <c r="E112" s="62">
        <v>1248465.934824531</v>
      </c>
      <c r="F112" s="62">
        <v>5990171.8916710047</v>
      </c>
      <c r="G112" s="62">
        <v>2867534.3767246911</v>
      </c>
      <c r="H112" s="62">
        <v>-1628032.2637000002</v>
      </c>
      <c r="I112" s="62">
        <v>0</v>
      </c>
      <c r="J112" s="62"/>
      <c r="K112" s="62">
        <v>-81579.087700000004</v>
      </c>
      <c r="L112" s="62">
        <v>171726.8946</v>
      </c>
      <c r="M112" s="62">
        <v>318642.46620000002</v>
      </c>
      <c r="N112" s="62">
        <v>198151.63149999999</v>
      </c>
      <c r="O112" s="62">
        <v>0</v>
      </c>
      <c r="P112" s="62"/>
      <c r="Q112" s="62">
        <v>298481.57150000002</v>
      </c>
      <c r="R112" s="62">
        <v>4951960.4440000001</v>
      </c>
      <c r="S112" s="62">
        <v>1894907.1721999999</v>
      </c>
      <c r="T112" s="62">
        <v>-2116202.4804000002</v>
      </c>
      <c r="U112" s="62">
        <v>0</v>
      </c>
      <c r="V112" s="62"/>
      <c r="W112" s="62">
        <v>885032.09369999997</v>
      </c>
      <c r="X112" s="62">
        <v>885032.09369999997</v>
      </c>
      <c r="Y112" s="62">
        <v>813567.34860000003</v>
      </c>
      <c r="Z112" s="62">
        <v>374474.72200000001</v>
      </c>
      <c r="AA112" s="62">
        <v>0</v>
      </c>
      <c r="AB112" s="62"/>
      <c r="AC112" s="62">
        <v>318343.85863070458</v>
      </c>
      <c r="AD112" s="62">
        <v>153264.96067717779</v>
      </c>
      <c r="AE112" s="62">
        <v>0</v>
      </c>
      <c r="AF112" s="62">
        <v>0</v>
      </c>
      <c r="AG112" s="62">
        <v>0</v>
      </c>
      <c r="AH112" s="62"/>
      <c r="AI112" s="62">
        <v>-171812.50130617328</v>
      </c>
      <c r="AJ112" s="62">
        <v>-171812.50130617328</v>
      </c>
      <c r="AK112" s="62">
        <v>-159582.61027530907</v>
      </c>
      <c r="AL112" s="62">
        <v>-84456.13680000008</v>
      </c>
      <c r="AM112" s="62">
        <v>0</v>
      </c>
    </row>
    <row r="113" spans="1:39">
      <c r="A113" s="9">
        <v>91102</v>
      </c>
      <c r="B113" s="10" t="s">
        <v>1494</v>
      </c>
      <c r="C113" s="60">
        <v>3.2919999999999998E-4</v>
      </c>
      <c r="E113" s="62">
        <v>18429.6924852798</v>
      </c>
      <c r="F113" s="62">
        <v>140656.07347781086</v>
      </c>
      <c r="G113" s="62">
        <v>82917.432424855971</v>
      </c>
      <c r="H113" s="62">
        <v>-32068.599919999993</v>
      </c>
      <c r="I113" s="62">
        <v>0</v>
      </c>
      <c r="J113" s="62"/>
      <c r="K113" s="62">
        <v>-1980.7963999999999</v>
      </c>
      <c r="L113" s="62">
        <v>4169.6471999999994</v>
      </c>
      <c r="M113" s="62">
        <v>7736.8583999999992</v>
      </c>
      <c r="N113" s="62">
        <v>4811.2579999999998</v>
      </c>
      <c r="O113" s="62">
        <v>0</v>
      </c>
      <c r="P113" s="62"/>
      <c r="Q113" s="62">
        <v>7247.3379999999997</v>
      </c>
      <c r="R113" s="62">
        <v>120237.00799999999</v>
      </c>
      <c r="S113" s="62">
        <v>46009.650399999999</v>
      </c>
      <c r="T113" s="62">
        <v>-51382.852799999993</v>
      </c>
      <c r="U113" s="62">
        <v>0</v>
      </c>
      <c r="V113" s="62"/>
      <c r="W113" s="62">
        <v>21489.188399999999</v>
      </c>
      <c r="X113" s="62">
        <v>21489.188399999999</v>
      </c>
      <c r="Y113" s="62">
        <v>19753.975199999997</v>
      </c>
      <c r="Z113" s="62">
        <v>9092.503999999999</v>
      </c>
      <c r="AA113" s="62">
        <v>0</v>
      </c>
      <c r="AB113" s="62"/>
      <c r="AC113" s="62">
        <v>10343.392443786021</v>
      </c>
      <c r="AD113" s="62">
        <v>10069.162443786021</v>
      </c>
      <c r="AE113" s="62">
        <v>9416.9484248559784</v>
      </c>
      <c r="AF113" s="62">
        <v>5410.4908799999976</v>
      </c>
      <c r="AG113" s="62">
        <v>0</v>
      </c>
      <c r="AH113" s="62"/>
      <c r="AI113" s="62">
        <v>-18669.429958506222</v>
      </c>
      <c r="AJ113" s="62">
        <v>-15308.932565975107</v>
      </c>
      <c r="AK113" s="62">
        <v>0</v>
      </c>
      <c r="AL113" s="62">
        <v>0</v>
      </c>
      <c r="AM113" s="62">
        <v>0</v>
      </c>
    </row>
    <row r="114" spans="1:39">
      <c r="A114" s="9">
        <v>91104</v>
      </c>
      <c r="B114" s="10" t="s">
        <v>1495</v>
      </c>
      <c r="C114" s="60">
        <v>7.9000000000000006E-6</v>
      </c>
      <c r="E114" s="62">
        <v>1231.0220744603246</v>
      </c>
      <c r="F114" s="62">
        <v>4115.0185898130221</v>
      </c>
      <c r="G114" s="62">
        <v>2287.1238498765433</v>
      </c>
      <c r="H114" s="62">
        <v>-549.53886000000023</v>
      </c>
      <c r="I114" s="62">
        <v>0</v>
      </c>
      <c r="J114" s="62"/>
      <c r="K114" s="62">
        <v>-47.534300000000002</v>
      </c>
      <c r="L114" s="62">
        <v>100.06140000000001</v>
      </c>
      <c r="M114" s="62">
        <v>185.66580000000002</v>
      </c>
      <c r="N114" s="62">
        <v>115.45850000000002</v>
      </c>
      <c r="O114" s="62">
        <v>0</v>
      </c>
      <c r="P114" s="62"/>
      <c r="Q114" s="62">
        <v>173.91850000000002</v>
      </c>
      <c r="R114" s="62">
        <v>2885.3960000000002</v>
      </c>
      <c r="S114" s="62">
        <v>1104.1198000000002</v>
      </c>
      <c r="T114" s="62">
        <v>-1233.0636000000002</v>
      </c>
      <c r="U114" s="62">
        <v>0</v>
      </c>
      <c r="V114" s="62"/>
      <c r="W114" s="62">
        <v>515.68830000000003</v>
      </c>
      <c r="X114" s="62">
        <v>515.68830000000003</v>
      </c>
      <c r="Y114" s="62">
        <v>474.04740000000004</v>
      </c>
      <c r="Z114" s="62">
        <v>218.19800000000001</v>
      </c>
      <c r="AA114" s="62">
        <v>0</v>
      </c>
      <c r="AB114" s="62"/>
      <c r="AC114" s="62">
        <v>627.55957446032448</v>
      </c>
      <c r="AD114" s="62">
        <v>613.87288981302163</v>
      </c>
      <c r="AE114" s="62">
        <v>523.29084987654312</v>
      </c>
      <c r="AF114" s="62">
        <v>349.86824000000001</v>
      </c>
      <c r="AG114" s="62">
        <v>0</v>
      </c>
      <c r="AH114" s="62"/>
      <c r="AI114" s="62">
        <v>-38.610000000000007</v>
      </c>
      <c r="AJ114" s="62">
        <v>0</v>
      </c>
      <c r="AK114" s="62">
        <v>0</v>
      </c>
      <c r="AL114" s="62">
        <v>0</v>
      </c>
      <c r="AM114" s="62">
        <v>0</v>
      </c>
    </row>
    <row r="115" spans="1:39">
      <c r="A115" s="9">
        <v>91107</v>
      </c>
      <c r="B115" s="10" t="s">
        <v>1496</v>
      </c>
      <c r="C115" s="60">
        <v>7.08E-5</v>
      </c>
      <c r="E115" s="62">
        <v>10902.263393126043</v>
      </c>
      <c r="F115" s="62">
        <v>35054.465169059651</v>
      </c>
      <c r="G115" s="62">
        <v>18816.610306748975</v>
      </c>
      <c r="H115" s="62">
        <v>-6751.8059199999989</v>
      </c>
      <c r="I115" s="62">
        <v>0</v>
      </c>
      <c r="J115" s="62"/>
      <c r="K115" s="62">
        <v>-426.00360000000001</v>
      </c>
      <c r="L115" s="62">
        <v>896.75279999999998</v>
      </c>
      <c r="M115" s="62">
        <v>1663.9416000000001</v>
      </c>
      <c r="N115" s="62">
        <v>1034.742</v>
      </c>
      <c r="O115" s="62">
        <v>0</v>
      </c>
      <c r="P115" s="62"/>
      <c r="Q115" s="62">
        <v>1558.662</v>
      </c>
      <c r="R115" s="62">
        <v>25858.991999999998</v>
      </c>
      <c r="S115" s="62">
        <v>9895.1496000000006</v>
      </c>
      <c r="T115" s="62">
        <v>-11050.7472</v>
      </c>
      <c r="U115" s="62">
        <v>0</v>
      </c>
      <c r="V115" s="62"/>
      <c r="W115" s="62">
        <v>4621.6116000000002</v>
      </c>
      <c r="X115" s="62">
        <v>4621.6116000000002</v>
      </c>
      <c r="Y115" s="62">
        <v>4248.4247999999998</v>
      </c>
      <c r="Z115" s="62">
        <v>1955.4960000000001</v>
      </c>
      <c r="AA115" s="62">
        <v>0</v>
      </c>
      <c r="AB115" s="62"/>
      <c r="AC115" s="62">
        <v>5147.9933931260412</v>
      </c>
      <c r="AD115" s="62">
        <v>3677.1087690596505</v>
      </c>
      <c r="AE115" s="62">
        <v>3009.0943067489734</v>
      </c>
      <c r="AF115" s="62">
        <v>1308.7032800000002</v>
      </c>
      <c r="AG115" s="62">
        <v>0</v>
      </c>
      <c r="AH115" s="62"/>
      <c r="AI115" s="62">
        <v>0</v>
      </c>
      <c r="AJ115" s="62">
        <v>0</v>
      </c>
      <c r="AK115" s="62">
        <v>0</v>
      </c>
      <c r="AL115" s="62">
        <v>0</v>
      </c>
      <c r="AM115" s="62">
        <v>0</v>
      </c>
    </row>
    <row r="116" spans="1:39">
      <c r="A116" s="9">
        <v>91108</v>
      </c>
      <c r="B116" s="10" t="s">
        <v>1497</v>
      </c>
      <c r="C116" s="60">
        <v>1.2413999999999999E-3</v>
      </c>
      <c r="E116" s="62">
        <v>135675.25461172604</v>
      </c>
      <c r="F116" s="62">
        <v>573243.09948807454</v>
      </c>
      <c r="G116" s="62">
        <v>288971.03461201629</v>
      </c>
      <c r="H116" s="62">
        <v>-136104.75556000019</v>
      </c>
      <c r="I116" s="62">
        <v>0</v>
      </c>
      <c r="J116" s="62"/>
      <c r="K116" s="62">
        <v>-7469.5037999999995</v>
      </c>
      <c r="L116" s="62">
        <v>15723.572399999999</v>
      </c>
      <c r="M116" s="62">
        <v>29175.382799999999</v>
      </c>
      <c r="N116" s="62">
        <v>18143.060999999998</v>
      </c>
      <c r="O116" s="62">
        <v>0</v>
      </c>
      <c r="P116" s="62"/>
      <c r="Q116" s="62">
        <v>27329.420999999998</v>
      </c>
      <c r="R116" s="62">
        <v>453408.93599999999</v>
      </c>
      <c r="S116" s="62">
        <v>173500.54679999998</v>
      </c>
      <c r="T116" s="62">
        <v>-193762.6776</v>
      </c>
      <c r="U116" s="62">
        <v>0</v>
      </c>
      <c r="V116" s="62"/>
      <c r="W116" s="62">
        <v>81034.867799999993</v>
      </c>
      <c r="X116" s="62">
        <v>81034.867799999993</v>
      </c>
      <c r="Y116" s="62">
        <v>74491.448399999994</v>
      </c>
      <c r="Z116" s="62">
        <v>34287.468000000001</v>
      </c>
      <c r="AA116" s="62">
        <v>0</v>
      </c>
      <c r="AB116" s="62"/>
      <c r="AC116" s="62">
        <v>34780.469611726032</v>
      </c>
      <c r="AD116" s="62">
        <v>23075.72328807458</v>
      </c>
      <c r="AE116" s="62">
        <v>11803.65661201631</v>
      </c>
      <c r="AF116" s="62">
        <v>5227.3930399998326</v>
      </c>
      <c r="AG116" s="62">
        <v>0</v>
      </c>
      <c r="AH116" s="62"/>
      <c r="AI116" s="62">
        <v>0</v>
      </c>
      <c r="AJ116" s="62">
        <v>0</v>
      </c>
      <c r="AK116" s="62">
        <v>0</v>
      </c>
      <c r="AL116" s="62">
        <v>0</v>
      </c>
      <c r="AM116" s="62">
        <v>0</v>
      </c>
    </row>
    <row r="117" spans="1:39">
      <c r="A117" s="9">
        <v>91109</v>
      </c>
      <c r="B117" s="10" t="s">
        <v>1498</v>
      </c>
      <c r="C117" s="60">
        <v>9.9599999999999995E-5</v>
      </c>
      <c r="E117" s="62">
        <v>9315.5090311691656</v>
      </c>
      <c r="F117" s="62">
        <v>45779.501095899454</v>
      </c>
      <c r="G117" s="62">
        <v>23254.263403539091</v>
      </c>
      <c r="H117" s="62">
        <v>-10213.945680000004</v>
      </c>
      <c r="I117" s="62">
        <v>0</v>
      </c>
      <c r="J117" s="62"/>
      <c r="K117" s="62">
        <v>-599.29319999999996</v>
      </c>
      <c r="L117" s="62">
        <v>1261.5336</v>
      </c>
      <c r="M117" s="62">
        <v>2340.7991999999999</v>
      </c>
      <c r="N117" s="62">
        <v>1455.654</v>
      </c>
      <c r="O117" s="62">
        <v>0</v>
      </c>
      <c r="P117" s="62"/>
      <c r="Q117" s="62">
        <v>2192.694</v>
      </c>
      <c r="R117" s="62">
        <v>36377.903999999995</v>
      </c>
      <c r="S117" s="62">
        <v>13920.295199999999</v>
      </c>
      <c r="T117" s="62">
        <v>-15545.966399999999</v>
      </c>
      <c r="U117" s="62">
        <v>0</v>
      </c>
      <c r="V117" s="62"/>
      <c r="W117" s="62">
        <v>6501.5891999999994</v>
      </c>
      <c r="X117" s="62">
        <v>6501.5891999999994</v>
      </c>
      <c r="Y117" s="62">
        <v>5976.5976000000001</v>
      </c>
      <c r="Z117" s="62">
        <v>2750.9519999999998</v>
      </c>
      <c r="AA117" s="62">
        <v>0</v>
      </c>
      <c r="AB117" s="62"/>
      <c r="AC117" s="62">
        <v>1905.4410270539374</v>
      </c>
      <c r="AD117" s="62">
        <v>1765.0362917842281</v>
      </c>
      <c r="AE117" s="62">
        <v>1125.4147199999961</v>
      </c>
      <c r="AF117" s="62">
        <v>1125.4147199999961</v>
      </c>
      <c r="AG117" s="62">
        <v>0</v>
      </c>
      <c r="AH117" s="62"/>
      <c r="AI117" s="62">
        <v>-684.92199588477229</v>
      </c>
      <c r="AJ117" s="62">
        <v>-126.56199588477222</v>
      </c>
      <c r="AK117" s="62">
        <v>-108.84331646090415</v>
      </c>
      <c r="AL117" s="62">
        <v>0</v>
      </c>
      <c r="AM117" s="62">
        <v>0</v>
      </c>
    </row>
    <row r="118" spans="1:39">
      <c r="A118" s="9">
        <v>91111</v>
      </c>
      <c r="B118" s="10" t="s">
        <v>1499</v>
      </c>
      <c r="C118" s="60">
        <v>2.2719999999999999E-4</v>
      </c>
      <c r="E118" s="62">
        <v>29255.91323492238</v>
      </c>
      <c r="F118" s="62">
        <v>109981.60189956968</v>
      </c>
      <c r="G118" s="62">
        <v>54215.441112592591</v>
      </c>
      <c r="H118" s="62">
        <v>-23943.283280000003</v>
      </c>
      <c r="I118" s="62">
        <v>0</v>
      </c>
      <c r="J118" s="62"/>
      <c r="K118" s="62">
        <v>-1367.0624</v>
      </c>
      <c r="L118" s="62">
        <v>2877.7152000000001</v>
      </c>
      <c r="M118" s="62">
        <v>5339.6543999999994</v>
      </c>
      <c r="N118" s="62">
        <v>3320.5279999999998</v>
      </c>
      <c r="O118" s="62">
        <v>0</v>
      </c>
      <c r="P118" s="62"/>
      <c r="Q118" s="62">
        <v>5001.808</v>
      </c>
      <c r="R118" s="62">
        <v>82982.527999999991</v>
      </c>
      <c r="S118" s="62">
        <v>31753.9264</v>
      </c>
      <c r="T118" s="62">
        <v>-35462.284800000001</v>
      </c>
      <c r="U118" s="62">
        <v>0</v>
      </c>
      <c r="V118" s="62"/>
      <c r="W118" s="62">
        <v>14830.9344</v>
      </c>
      <c r="X118" s="62">
        <v>14830.9344</v>
      </c>
      <c r="Y118" s="62">
        <v>13633.3632</v>
      </c>
      <c r="Z118" s="62">
        <v>6275.2640000000001</v>
      </c>
      <c r="AA118" s="62">
        <v>0</v>
      </c>
      <c r="AB118" s="62"/>
      <c r="AC118" s="62">
        <v>10790.233234922382</v>
      </c>
      <c r="AD118" s="62">
        <v>9290.4242995696895</v>
      </c>
      <c r="AE118" s="62">
        <v>3488.4971125925931</v>
      </c>
      <c r="AF118" s="62">
        <v>1923.209520000001</v>
      </c>
      <c r="AG118" s="62">
        <v>0</v>
      </c>
      <c r="AH118" s="62"/>
      <c r="AI118" s="62">
        <v>0</v>
      </c>
      <c r="AJ118" s="62">
        <v>0</v>
      </c>
      <c r="AK118" s="62">
        <v>0</v>
      </c>
      <c r="AL118" s="62">
        <v>0</v>
      </c>
      <c r="AM118" s="62">
        <v>0</v>
      </c>
    </row>
    <row r="119" spans="1:39">
      <c r="A119" s="9">
        <v>91119</v>
      </c>
      <c r="B119" s="10" t="s">
        <v>131</v>
      </c>
      <c r="C119" s="60">
        <v>0</v>
      </c>
      <c r="E119" s="62">
        <v>-321090.66000000009</v>
      </c>
      <c r="F119" s="62">
        <v>0</v>
      </c>
      <c r="G119" s="62">
        <v>0</v>
      </c>
      <c r="H119" s="62">
        <v>0</v>
      </c>
      <c r="I119" s="62">
        <v>0</v>
      </c>
      <c r="J119" s="62"/>
      <c r="K119" s="62">
        <v>0</v>
      </c>
      <c r="L119" s="62">
        <v>0</v>
      </c>
      <c r="M119" s="62">
        <v>0</v>
      </c>
      <c r="N119" s="62">
        <v>0</v>
      </c>
      <c r="O119" s="62">
        <v>0</v>
      </c>
      <c r="P119" s="62"/>
      <c r="Q119" s="62">
        <v>0</v>
      </c>
      <c r="R119" s="62">
        <v>0</v>
      </c>
      <c r="S119" s="62">
        <v>0</v>
      </c>
      <c r="T119" s="62">
        <v>0</v>
      </c>
      <c r="U119" s="62">
        <v>0</v>
      </c>
      <c r="V119" s="62"/>
      <c r="W119" s="62">
        <v>0</v>
      </c>
      <c r="X119" s="62">
        <v>0</v>
      </c>
      <c r="Y119" s="62">
        <v>0</v>
      </c>
      <c r="Z119" s="62">
        <v>0</v>
      </c>
      <c r="AA119" s="62">
        <v>0</v>
      </c>
      <c r="AB119" s="62"/>
      <c r="AC119" s="62">
        <v>0</v>
      </c>
      <c r="AD119" s="62">
        <v>0</v>
      </c>
      <c r="AE119" s="62">
        <v>0</v>
      </c>
      <c r="AF119" s="62">
        <v>0</v>
      </c>
      <c r="AG119" s="62">
        <v>0</v>
      </c>
      <c r="AH119" s="62"/>
      <c r="AI119" s="62">
        <v>-321090.66000000009</v>
      </c>
      <c r="AJ119" s="62">
        <v>0</v>
      </c>
      <c r="AK119" s="62">
        <v>0</v>
      </c>
      <c r="AL119" s="62">
        <v>0</v>
      </c>
      <c r="AM119" s="62">
        <v>0</v>
      </c>
    </row>
    <row r="120" spans="1:39">
      <c r="A120" s="9">
        <v>91120</v>
      </c>
      <c r="B120" s="10" t="s">
        <v>1500</v>
      </c>
      <c r="C120" s="60">
        <v>1.3019999999999999E-4</v>
      </c>
      <c r="E120" s="62">
        <v>-1512.3759019783938</v>
      </c>
      <c r="F120" s="62">
        <v>50433.649049888823</v>
      </c>
      <c r="G120" s="62">
        <v>27381.124166419737</v>
      </c>
      <c r="H120" s="62">
        <v>-15710.104920000012</v>
      </c>
      <c r="I120" s="62">
        <v>0</v>
      </c>
      <c r="J120" s="62"/>
      <c r="K120" s="62">
        <v>-783.41339999999991</v>
      </c>
      <c r="L120" s="62">
        <v>1649.1132</v>
      </c>
      <c r="M120" s="62">
        <v>3059.9603999999999</v>
      </c>
      <c r="N120" s="62">
        <v>1902.8729999999998</v>
      </c>
      <c r="O120" s="62">
        <v>0</v>
      </c>
      <c r="P120" s="62"/>
      <c r="Q120" s="62">
        <v>2866.3530000000001</v>
      </c>
      <c r="R120" s="62">
        <v>47554.248</v>
      </c>
      <c r="S120" s="62">
        <v>18197.0124</v>
      </c>
      <c r="T120" s="62">
        <v>-20322.1368</v>
      </c>
      <c r="U120" s="62">
        <v>0</v>
      </c>
      <c r="V120" s="62"/>
      <c r="W120" s="62">
        <v>8499.0653999999995</v>
      </c>
      <c r="X120" s="62">
        <v>8499.0653999999995</v>
      </c>
      <c r="Y120" s="62">
        <v>7812.7811999999994</v>
      </c>
      <c r="Z120" s="62">
        <v>3596.1239999999998</v>
      </c>
      <c r="AA120" s="62">
        <v>0</v>
      </c>
      <c r="AB120" s="62"/>
      <c r="AC120" s="62">
        <v>0</v>
      </c>
      <c r="AD120" s="62">
        <v>0</v>
      </c>
      <c r="AE120" s="62">
        <v>0</v>
      </c>
      <c r="AF120" s="62">
        <v>0</v>
      </c>
      <c r="AG120" s="62">
        <v>0</v>
      </c>
      <c r="AH120" s="62"/>
      <c r="AI120" s="62">
        <v>-12094.380901978393</v>
      </c>
      <c r="AJ120" s="62">
        <v>-7268.7775501111764</v>
      </c>
      <c r="AK120" s="62">
        <v>-1688.6298335802635</v>
      </c>
      <c r="AL120" s="62">
        <v>-886.96512000001235</v>
      </c>
      <c r="AM120" s="62">
        <v>0</v>
      </c>
    </row>
    <row r="121" spans="1:39">
      <c r="A121" s="9">
        <v>91121</v>
      </c>
      <c r="B121" s="10" t="s">
        <v>1501</v>
      </c>
      <c r="C121" s="60">
        <v>9.9927999999999996E-3</v>
      </c>
      <c r="E121" s="62">
        <v>489410.00132260739</v>
      </c>
      <c r="F121" s="62">
        <v>4259208.7114983751</v>
      </c>
      <c r="G121" s="62">
        <v>2100431.8626369541</v>
      </c>
      <c r="H121" s="62">
        <v>-1165818.8334399997</v>
      </c>
      <c r="I121" s="62">
        <v>0</v>
      </c>
      <c r="J121" s="62"/>
      <c r="K121" s="62">
        <v>-60126.677599999995</v>
      </c>
      <c r="L121" s="62">
        <v>126568.8048</v>
      </c>
      <c r="M121" s="62">
        <v>234850.7856</v>
      </c>
      <c r="N121" s="62">
        <v>146044.772</v>
      </c>
      <c r="O121" s="62">
        <v>0</v>
      </c>
      <c r="P121" s="62"/>
      <c r="Q121" s="62">
        <v>219991.492</v>
      </c>
      <c r="R121" s="62">
        <v>3649770.2719999999</v>
      </c>
      <c r="S121" s="62">
        <v>1396613.7135999999</v>
      </c>
      <c r="T121" s="62">
        <v>-1559716.1952</v>
      </c>
      <c r="U121" s="62">
        <v>0</v>
      </c>
      <c r="V121" s="62"/>
      <c r="W121" s="62">
        <v>652300.00559999992</v>
      </c>
      <c r="X121" s="62">
        <v>652300.00559999992</v>
      </c>
      <c r="Y121" s="62">
        <v>599627.95679999993</v>
      </c>
      <c r="Z121" s="62">
        <v>276001.136</v>
      </c>
      <c r="AA121" s="62">
        <v>0</v>
      </c>
      <c r="AB121" s="62"/>
      <c r="AC121" s="62">
        <v>0</v>
      </c>
      <c r="AD121" s="62">
        <v>0</v>
      </c>
      <c r="AE121" s="62">
        <v>0</v>
      </c>
      <c r="AF121" s="62">
        <v>0</v>
      </c>
      <c r="AG121" s="62">
        <v>0</v>
      </c>
      <c r="AH121" s="62"/>
      <c r="AI121" s="62">
        <v>-322754.81867739256</v>
      </c>
      <c r="AJ121" s="62">
        <v>-169430.37090162485</v>
      </c>
      <c r="AK121" s="62">
        <v>-130660.59336304551</v>
      </c>
      <c r="AL121" s="62">
        <v>-28148.546239999683</v>
      </c>
      <c r="AM121" s="62">
        <v>0</v>
      </c>
    </row>
    <row r="122" spans="1:39">
      <c r="A122" s="9">
        <v>91127</v>
      </c>
      <c r="B122" s="10" t="s">
        <v>1502</v>
      </c>
      <c r="C122" s="60">
        <v>2.6879999999999997E-4</v>
      </c>
      <c r="E122" s="62">
        <v>46796.712358719335</v>
      </c>
      <c r="F122" s="62">
        <v>131882.42141672762</v>
      </c>
      <c r="G122" s="62">
        <v>66728.79884271606</v>
      </c>
      <c r="H122" s="62">
        <v>-28158.707839999966</v>
      </c>
      <c r="I122" s="62">
        <v>0</v>
      </c>
      <c r="J122" s="62"/>
      <c r="K122" s="62">
        <v>-1617.3695999999998</v>
      </c>
      <c r="L122" s="62">
        <v>3404.6207999999997</v>
      </c>
      <c r="M122" s="62">
        <v>6317.3375999999998</v>
      </c>
      <c r="N122" s="62">
        <v>3928.5119999999997</v>
      </c>
      <c r="O122" s="62">
        <v>0</v>
      </c>
      <c r="P122" s="62"/>
      <c r="Q122" s="62">
        <v>5917.6319999999996</v>
      </c>
      <c r="R122" s="62">
        <v>98176.511999999988</v>
      </c>
      <c r="S122" s="62">
        <v>37568.025599999994</v>
      </c>
      <c r="T122" s="62">
        <v>-41955.379199999996</v>
      </c>
      <c r="U122" s="62">
        <v>0</v>
      </c>
      <c r="V122" s="62"/>
      <c r="W122" s="62">
        <v>17546.457599999998</v>
      </c>
      <c r="X122" s="62">
        <v>17546.457599999998</v>
      </c>
      <c r="Y122" s="62">
        <v>16129.612799999999</v>
      </c>
      <c r="Z122" s="62">
        <v>7424.2559999999994</v>
      </c>
      <c r="AA122" s="62">
        <v>0</v>
      </c>
      <c r="AB122" s="62"/>
      <c r="AC122" s="62">
        <v>24949.992358719333</v>
      </c>
      <c r="AD122" s="62">
        <v>12754.831016727634</v>
      </c>
      <c r="AE122" s="62">
        <v>6713.8228427160611</v>
      </c>
      <c r="AF122" s="62">
        <v>2443.9033600000262</v>
      </c>
      <c r="AG122" s="62">
        <v>0</v>
      </c>
      <c r="AH122" s="62"/>
      <c r="AI122" s="62">
        <v>0</v>
      </c>
      <c r="AJ122" s="62">
        <v>0</v>
      </c>
      <c r="AK122" s="62">
        <v>0</v>
      </c>
      <c r="AL122" s="62">
        <v>0</v>
      </c>
      <c r="AM122" s="62">
        <v>0</v>
      </c>
    </row>
    <row r="123" spans="1:39">
      <c r="A123" s="9">
        <v>91128</v>
      </c>
      <c r="B123" s="10" t="s">
        <v>1503</v>
      </c>
      <c r="C123" s="60">
        <v>5.2380000000000005E-4</v>
      </c>
      <c r="E123" s="62">
        <v>41956.19151762854</v>
      </c>
      <c r="F123" s="62">
        <v>237222.31307829247</v>
      </c>
      <c r="G123" s="62">
        <v>119390.21883695472</v>
      </c>
      <c r="H123" s="62">
        <v>-57636.228440000035</v>
      </c>
      <c r="I123" s="62">
        <v>0</v>
      </c>
      <c r="J123" s="62"/>
      <c r="K123" s="62">
        <v>-3151.7046000000005</v>
      </c>
      <c r="L123" s="62">
        <v>6634.4508000000005</v>
      </c>
      <c r="M123" s="62">
        <v>12310.347600000001</v>
      </c>
      <c r="N123" s="62">
        <v>7655.3370000000004</v>
      </c>
      <c r="O123" s="62">
        <v>0</v>
      </c>
      <c r="P123" s="62"/>
      <c r="Q123" s="62">
        <v>11531.457</v>
      </c>
      <c r="R123" s="62">
        <v>191312.71200000003</v>
      </c>
      <c r="S123" s="62">
        <v>73207.335600000006</v>
      </c>
      <c r="T123" s="62">
        <v>-81756.799200000009</v>
      </c>
      <c r="U123" s="62">
        <v>0</v>
      </c>
      <c r="V123" s="62"/>
      <c r="W123" s="62">
        <v>34192.092600000004</v>
      </c>
      <c r="X123" s="62">
        <v>34192.092600000004</v>
      </c>
      <c r="Y123" s="62">
        <v>31431.142800000001</v>
      </c>
      <c r="Z123" s="62">
        <v>14467.356000000002</v>
      </c>
      <c r="AA123" s="62">
        <v>0</v>
      </c>
      <c r="AB123" s="62"/>
      <c r="AC123" s="62">
        <v>5647.0865176285406</v>
      </c>
      <c r="AD123" s="62">
        <v>5083.0576782924381</v>
      </c>
      <c r="AE123" s="62">
        <v>2441.3928369547193</v>
      </c>
      <c r="AF123" s="62">
        <v>1997.8777599999737</v>
      </c>
      <c r="AG123" s="62">
        <v>0</v>
      </c>
      <c r="AH123" s="62"/>
      <c r="AI123" s="62">
        <v>-6262.7400000000016</v>
      </c>
      <c r="AJ123" s="62">
        <v>0</v>
      </c>
      <c r="AK123" s="62">
        <v>0</v>
      </c>
      <c r="AL123" s="62">
        <v>0</v>
      </c>
      <c r="AM123" s="62">
        <v>0</v>
      </c>
    </row>
    <row r="124" spans="1:39">
      <c r="A124" s="9">
        <v>91138</v>
      </c>
      <c r="B124" s="10" t="s">
        <v>1504</v>
      </c>
      <c r="C124" s="60">
        <v>6.2629999999999999E-4</v>
      </c>
      <c r="E124" s="62">
        <v>2471.8010727267902</v>
      </c>
      <c r="F124" s="62">
        <v>240204.25384119153</v>
      </c>
      <c r="G124" s="62">
        <v>110547.98795432095</v>
      </c>
      <c r="H124" s="62">
        <v>-84209.899499999985</v>
      </c>
      <c r="I124" s="62">
        <v>0</v>
      </c>
      <c r="J124" s="62"/>
      <c r="K124" s="62">
        <v>-3768.4470999999999</v>
      </c>
      <c r="L124" s="62">
        <v>7932.7157999999999</v>
      </c>
      <c r="M124" s="62">
        <v>14719.302599999999</v>
      </c>
      <c r="N124" s="62">
        <v>9153.3744999999999</v>
      </c>
      <c r="O124" s="62">
        <v>0</v>
      </c>
      <c r="P124" s="62"/>
      <c r="Q124" s="62">
        <v>13787.994500000001</v>
      </c>
      <c r="R124" s="62">
        <v>228749.81200000001</v>
      </c>
      <c r="S124" s="62">
        <v>87532.940600000002</v>
      </c>
      <c r="T124" s="62">
        <v>-97755.409199999995</v>
      </c>
      <c r="U124" s="62">
        <v>0</v>
      </c>
      <c r="V124" s="62"/>
      <c r="W124" s="62">
        <v>40882.985099999998</v>
      </c>
      <c r="X124" s="62">
        <v>40882.985099999998</v>
      </c>
      <c r="Y124" s="62">
        <v>37581.757799999999</v>
      </c>
      <c r="Z124" s="62">
        <v>17298.405999999999</v>
      </c>
      <c r="AA124" s="62">
        <v>0</v>
      </c>
      <c r="AB124" s="62"/>
      <c r="AC124" s="62">
        <v>0</v>
      </c>
      <c r="AD124" s="62">
        <v>0</v>
      </c>
      <c r="AE124" s="62">
        <v>0</v>
      </c>
      <c r="AF124" s="62">
        <v>0</v>
      </c>
      <c r="AG124" s="62">
        <v>0</v>
      </c>
      <c r="AH124" s="62"/>
      <c r="AI124" s="62">
        <v>-48430.731427273211</v>
      </c>
      <c r="AJ124" s="62">
        <v>-37361.259058808486</v>
      </c>
      <c r="AK124" s="62">
        <v>-29286.013045679036</v>
      </c>
      <c r="AL124" s="62">
        <v>-12906.270799999993</v>
      </c>
      <c r="AM124" s="62">
        <v>0</v>
      </c>
    </row>
    <row r="125" spans="1:39">
      <c r="A125" s="9">
        <v>91141</v>
      </c>
      <c r="B125" s="10" t="s">
        <v>1505</v>
      </c>
      <c r="C125" s="60">
        <v>5.7569999999999995E-4</v>
      </c>
      <c r="E125" s="62">
        <v>8753.8714226112425</v>
      </c>
      <c r="F125" s="62">
        <v>228538.66099630416</v>
      </c>
      <c r="G125" s="62">
        <v>115208.94433860082</v>
      </c>
      <c r="H125" s="62">
        <v>-67970.807539999965</v>
      </c>
      <c r="I125" s="62">
        <v>0</v>
      </c>
      <c r="J125" s="62"/>
      <c r="K125" s="62">
        <v>-3463.9868999999999</v>
      </c>
      <c r="L125" s="62">
        <v>7291.8161999999993</v>
      </c>
      <c r="M125" s="62">
        <v>13530.1014</v>
      </c>
      <c r="N125" s="62">
        <v>8413.8554999999997</v>
      </c>
      <c r="O125" s="62">
        <v>0</v>
      </c>
      <c r="P125" s="62"/>
      <c r="Q125" s="62">
        <v>12674.035499999998</v>
      </c>
      <c r="R125" s="62">
        <v>210268.66799999998</v>
      </c>
      <c r="S125" s="62">
        <v>80460.983399999997</v>
      </c>
      <c r="T125" s="62">
        <v>-89857.558799999999</v>
      </c>
      <c r="U125" s="62">
        <v>0</v>
      </c>
      <c r="V125" s="62"/>
      <c r="W125" s="62">
        <v>37579.9689</v>
      </c>
      <c r="X125" s="62">
        <v>37579.9689</v>
      </c>
      <c r="Y125" s="62">
        <v>34545.4542</v>
      </c>
      <c r="Z125" s="62">
        <v>15900.833999999999</v>
      </c>
      <c r="AA125" s="62">
        <v>0</v>
      </c>
      <c r="AB125" s="62"/>
      <c r="AC125" s="62">
        <v>0</v>
      </c>
      <c r="AD125" s="62">
        <v>0</v>
      </c>
      <c r="AE125" s="62">
        <v>0</v>
      </c>
      <c r="AF125" s="62">
        <v>0</v>
      </c>
      <c r="AG125" s="62">
        <v>0</v>
      </c>
      <c r="AH125" s="62"/>
      <c r="AI125" s="62">
        <v>-38036.146077388759</v>
      </c>
      <c r="AJ125" s="62">
        <v>-26601.792103695818</v>
      </c>
      <c r="AK125" s="62">
        <v>-13327.594661399167</v>
      </c>
      <c r="AL125" s="62">
        <v>-2427.9382399999772</v>
      </c>
      <c r="AM125" s="62">
        <v>0</v>
      </c>
    </row>
    <row r="126" spans="1:39">
      <c r="A126" s="9">
        <v>91147</v>
      </c>
      <c r="B126" s="10" t="s">
        <v>1506</v>
      </c>
      <c r="C126" s="60">
        <v>2.6699999999999998E-5</v>
      </c>
      <c r="E126" s="62">
        <v>6494.2215295360547</v>
      </c>
      <c r="F126" s="62">
        <v>14800.231686382527</v>
      </c>
      <c r="G126" s="62">
        <v>6765.9483963785997</v>
      </c>
      <c r="H126" s="62">
        <v>-2647.1948600000001</v>
      </c>
      <c r="I126" s="62">
        <v>0</v>
      </c>
      <c r="J126" s="62"/>
      <c r="K126" s="62">
        <v>-160.65389999999999</v>
      </c>
      <c r="L126" s="62">
        <v>338.18219999999997</v>
      </c>
      <c r="M126" s="62">
        <v>627.50339999999994</v>
      </c>
      <c r="N126" s="62">
        <v>390.22049999999996</v>
      </c>
      <c r="O126" s="62">
        <v>0</v>
      </c>
      <c r="P126" s="62"/>
      <c r="Q126" s="62">
        <v>587.80049999999994</v>
      </c>
      <c r="R126" s="62">
        <v>9751.9079999999994</v>
      </c>
      <c r="S126" s="62">
        <v>3731.6453999999999</v>
      </c>
      <c r="T126" s="62">
        <v>-4167.4427999999998</v>
      </c>
      <c r="U126" s="62">
        <v>0</v>
      </c>
      <c r="V126" s="62"/>
      <c r="W126" s="62">
        <v>1742.8959</v>
      </c>
      <c r="X126" s="62">
        <v>1742.8959</v>
      </c>
      <c r="Y126" s="62">
        <v>1602.1601999999998</v>
      </c>
      <c r="Z126" s="62">
        <v>737.45399999999995</v>
      </c>
      <c r="AA126" s="62">
        <v>0</v>
      </c>
      <c r="AB126" s="62"/>
      <c r="AC126" s="62">
        <v>4324.1790295360552</v>
      </c>
      <c r="AD126" s="62">
        <v>2967.2455863825289</v>
      </c>
      <c r="AE126" s="62">
        <v>804.63939637860062</v>
      </c>
      <c r="AF126" s="62">
        <v>392.57343999999972</v>
      </c>
      <c r="AG126" s="62">
        <v>0</v>
      </c>
      <c r="AH126" s="62"/>
      <c r="AI126" s="62">
        <v>0</v>
      </c>
      <c r="AJ126" s="62">
        <v>0</v>
      </c>
      <c r="AK126" s="62">
        <v>0</v>
      </c>
      <c r="AL126" s="62">
        <v>0</v>
      </c>
      <c r="AM126" s="62">
        <v>0</v>
      </c>
    </row>
    <row r="127" spans="1:39">
      <c r="A127" s="9">
        <v>91151</v>
      </c>
      <c r="B127" s="10" t="s">
        <v>1507</v>
      </c>
      <c r="C127" s="60">
        <v>6.3409999999999996E-4</v>
      </c>
      <c r="E127" s="62">
        <v>36295.709162242056</v>
      </c>
      <c r="F127" s="62">
        <v>270021.74599020882</v>
      </c>
      <c r="G127" s="62">
        <v>128944.40824065843</v>
      </c>
      <c r="H127" s="62">
        <v>-75722.861139999979</v>
      </c>
      <c r="I127" s="62">
        <v>0</v>
      </c>
      <c r="J127" s="62"/>
      <c r="K127" s="62">
        <v>-3815.3797</v>
      </c>
      <c r="L127" s="62">
        <v>8031.5105999999996</v>
      </c>
      <c r="M127" s="62">
        <v>14902.618199999999</v>
      </c>
      <c r="N127" s="62">
        <v>9267.3714999999993</v>
      </c>
      <c r="O127" s="62">
        <v>0</v>
      </c>
      <c r="P127" s="62"/>
      <c r="Q127" s="62">
        <v>13959.711499999999</v>
      </c>
      <c r="R127" s="62">
        <v>231598.68399999998</v>
      </c>
      <c r="S127" s="62">
        <v>88623.084199999998</v>
      </c>
      <c r="T127" s="62">
        <v>-98972.864399999991</v>
      </c>
      <c r="U127" s="62">
        <v>0</v>
      </c>
      <c r="V127" s="62"/>
      <c r="W127" s="62">
        <v>41392.145700000001</v>
      </c>
      <c r="X127" s="62">
        <v>41392.145700000001</v>
      </c>
      <c r="Y127" s="62">
        <v>38049.804599999996</v>
      </c>
      <c r="Z127" s="62">
        <v>17513.842000000001</v>
      </c>
      <c r="AA127" s="62">
        <v>0</v>
      </c>
      <c r="AB127" s="62"/>
      <c r="AC127" s="62">
        <v>3794.9776224066463</v>
      </c>
      <c r="AD127" s="62">
        <v>3111.8816503734511</v>
      </c>
      <c r="AE127" s="62">
        <v>0</v>
      </c>
      <c r="AF127" s="62">
        <v>0</v>
      </c>
      <c r="AG127" s="62">
        <v>0</v>
      </c>
      <c r="AH127" s="62"/>
      <c r="AI127" s="62">
        <v>-19035.745960164593</v>
      </c>
      <c r="AJ127" s="62">
        <v>-14112.475960164593</v>
      </c>
      <c r="AK127" s="62">
        <v>-12631.098759341552</v>
      </c>
      <c r="AL127" s="62">
        <v>-3531.2102399999853</v>
      </c>
      <c r="AM127" s="62">
        <v>0</v>
      </c>
    </row>
    <row r="128" spans="1:39">
      <c r="A128" s="9">
        <v>91154</v>
      </c>
      <c r="B128" s="10" t="s">
        <v>1508</v>
      </c>
      <c r="C128" s="60">
        <v>2.6299999999999999E-5</v>
      </c>
      <c r="E128" s="62">
        <v>5093.2342808746162</v>
      </c>
      <c r="F128" s="62">
        <v>13804.696999546813</v>
      </c>
      <c r="G128" s="62">
        <v>7205.0788615637885</v>
      </c>
      <c r="H128" s="62">
        <v>-2105.6419799999967</v>
      </c>
      <c r="I128" s="62">
        <v>0</v>
      </c>
      <c r="J128" s="62"/>
      <c r="K128" s="62">
        <v>-158.24709999999999</v>
      </c>
      <c r="L128" s="62">
        <v>333.11579999999998</v>
      </c>
      <c r="M128" s="62">
        <v>618.10259999999994</v>
      </c>
      <c r="N128" s="62">
        <v>384.37450000000001</v>
      </c>
      <c r="O128" s="62">
        <v>0</v>
      </c>
      <c r="P128" s="62"/>
      <c r="Q128" s="62">
        <v>578.99450000000002</v>
      </c>
      <c r="R128" s="62">
        <v>9605.8119999999999</v>
      </c>
      <c r="S128" s="62">
        <v>3675.7405999999996</v>
      </c>
      <c r="T128" s="62">
        <v>-4105.0091999999995</v>
      </c>
      <c r="U128" s="62">
        <v>0</v>
      </c>
      <c r="V128" s="62"/>
      <c r="W128" s="62">
        <v>1716.7850999999998</v>
      </c>
      <c r="X128" s="62">
        <v>1716.7850999999998</v>
      </c>
      <c r="Y128" s="62">
        <v>1578.1578</v>
      </c>
      <c r="Z128" s="62">
        <v>726.40599999999995</v>
      </c>
      <c r="AA128" s="62">
        <v>0</v>
      </c>
      <c r="AB128" s="62"/>
      <c r="AC128" s="62">
        <v>2955.7017808746159</v>
      </c>
      <c r="AD128" s="62">
        <v>2148.9840995468153</v>
      </c>
      <c r="AE128" s="62">
        <v>1333.0778615637887</v>
      </c>
      <c r="AF128" s="62">
        <v>888.58672000000297</v>
      </c>
      <c r="AG128" s="62">
        <v>0</v>
      </c>
      <c r="AH128" s="62"/>
      <c r="AI128" s="62">
        <v>0</v>
      </c>
      <c r="AJ128" s="62">
        <v>0</v>
      </c>
      <c r="AK128" s="62">
        <v>0</v>
      </c>
      <c r="AL128" s="62">
        <v>0</v>
      </c>
      <c r="AM128" s="62">
        <v>0</v>
      </c>
    </row>
    <row r="129" spans="1:39">
      <c r="A129" s="9">
        <v>91161</v>
      </c>
      <c r="B129" s="10" t="s">
        <v>1509</v>
      </c>
      <c r="C129" s="60">
        <v>9.2600000000000001E-5</v>
      </c>
      <c r="E129" s="62">
        <v>8474.4176394884253</v>
      </c>
      <c r="F129" s="62">
        <v>42769.552910276812</v>
      </c>
      <c r="G129" s="62">
        <v>20190.26831341564</v>
      </c>
      <c r="H129" s="62">
        <v>-10488.502679999994</v>
      </c>
      <c r="I129" s="62">
        <v>0</v>
      </c>
      <c r="J129" s="62"/>
      <c r="K129" s="62">
        <v>-557.17420000000004</v>
      </c>
      <c r="L129" s="62">
        <v>1172.8715999999999</v>
      </c>
      <c r="M129" s="62">
        <v>2176.2851999999998</v>
      </c>
      <c r="N129" s="62">
        <v>1353.3489999999999</v>
      </c>
      <c r="O129" s="62">
        <v>0</v>
      </c>
      <c r="P129" s="62"/>
      <c r="Q129" s="62">
        <v>2038.5889999999999</v>
      </c>
      <c r="R129" s="62">
        <v>33821.224000000002</v>
      </c>
      <c r="S129" s="62">
        <v>12941.9612</v>
      </c>
      <c r="T129" s="62">
        <v>-14453.3784</v>
      </c>
      <c r="U129" s="62">
        <v>0</v>
      </c>
      <c r="V129" s="62"/>
      <c r="W129" s="62">
        <v>6044.6502</v>
      </c>
      <c r="X129" s="62">
        <v>6044.6502</v>
      </c>
      <c r="Y129" s="62">
        <v>5556.5555999999997</v>
      </c>
      <c r="Z129" s="62">
        <v>2557.6120000000001</v>
      </c>
      <c r="AA129" s="62">
        <v>0</v>
      </c>
      <c r="AB129" s="62"/>
      <c r="AC129" s="62">
        <v>2862.4454378423352</v>
      </c>
      <c r="AD129" s="62">
        <v>2356.909908630716</v>
      </c>
      <c r="AE129" s="62">
        <v>53.914720000003626</v>
      </c>
      <c r="AF129" s="62">
        <v>53.914720000003626</v>
      </c>
      <c r="AG129" s="62">
        <v>0</v>
      </c>
      <c r="AH129" s="62"/>
      <c r="AI129" s="62">
        <v>-1914.0927983539102</v>
      </c>
      <c r="AJ129" s="62">
        <v>-626.10279835390998</v>
      </c>
      <c r="AK129" s="62">
        <v>-538.44840658436283</v>
      </c>
      <c r="AL129" s="62">
        <v>0</v>
      </c>
      <c r="AM129" s="62">
        <v>0</v>
      </c>
    </row>
    <row r="130" spans="1:39">
      <c r="A130" s="9">
        <v>91171</v>
      </c>
      <c r="B130" s="10" t="s">
        <v>1510</v>
      </c>
      <c r="C130" s="60">
        <v>1.95E-4</v>
      </c>
      <c r="E130" s="62">
        <v>-5502.0260826385493</v>
      </c>
      <c r="F130" s="62">
        <v>70772.799040266007</v>
      </c>
      <c r="G130" s="62">
        <v>31898.454188230426</v>
      </c>
      <c r="H130" s="62">
        <v>-31582.516120000022</v>
      </c>
      <c r="I130" s="62">
        <v>0</v>
      </c>
      <c r="J130" s="62"/>
      <c r="K130" s="62">
        <v>-1173.3150000000001</v>
      </c>
      <c r="L130" s="62">
        <v>2469.87</v>
      </c>
      <c r="M130" s="62">
        <v>4582.8900000000003</v>
      </c>
      <c r="N130" s="62">
        <v>2849.9249999999997</v>
      </c>
      <c r="O130" s="62">
        <v>0</v>
      </c>
      <c r="P130" s="62"/>
      <c r="Q130" s="62">
        <v>4292.9250000000002</v>
      </c>
      <c r="R130" s="62">
        <v>71221.8</v>
      </c>
      <c r="S130" s="62">
        <v>27253.59</v>
      </c>
      <c r="T130" s="62">
        <v>-30436.38</v>
      </c>
      <c r="U130" s="62">
        <v>0</v>
      </c>
      <c r="V130" s="62"/>
      <c r="W130" s="62">
        <v>12729.014999999999</v>
      </c>
      <c r="X130" s="62">
        <v>12729.014999999999</v>
      </c>
      <c r="Y130" s="62">
        <v>11701.17</v>
      </c>
      <c r="Z130" s="62">
        <v>5385.9</v>
      </c>
      <c r="AA130" s="62">
        <v>0</v>
      </c>
      <c r="AB130" s="62"/>
      <c r="AC130" s="62">
        <v>0</v>
      </c>
      <c r="AD130" s="62">
        <v>0</v>
      </c>
      <c r="AE130" s="62">
        <v>0</v>
      </c>
      <c r="AF130" s="62">
        <v>0</v>
      </c>
      <c r="AG130" s="62">
        <v>0</v>
      </c>
      <c r="AH130" s="62"/>
      <c r="AI130" s="62">
        <v>-21350.651082638549</v>
      </c>
      <c r="AJ130" s="62">
        <v>-15647.885959733987</v>
      </c>
      <c r="AK130" s="62">
        <v>-11639.195811769574</v>
      </c>
      <c r="AL130" s="62">
        <v>-9381.9611200000199</v>
      </c>
      <c r="AM130" s="62">
        <v>0</v>
      </c>
    </row>
    <row r="131" spans="1:39">
      <c r="A131" s="9">
        <v>91201</v>
      </c>
      <c r="B131" s="10" t="s">
        <v>1511</v>
      </c>
      <c r="C131" s="60">
        <v>2.2878E-3</v>
      </c>
      <c r="E131" s="62">
        <v>185308.8280298906</v>
      </c>
      <c r="F131" s="62">
        <v>1003558.8909713845</v>
      </c>
      <c r="G131" s="62">
        <v>485896.04644724267</v>
      </c>
      <c r="H131" s="62">
        <v>-280654.49324000021</v>
      </c>
      <c r="I131" s="62">
        <v>0</v>
      </c>
      <c r="J131" s="62"/>
      <c r="K131" s="62">
        <v>-13765.6926</v>
      </c>
      <c r="L131" s="62">
        <v>28977.274799999999</v>
      </c>
      <c r="M131" s="62">
        <v>53767.875599999999</v>
      </c>
      <c r="N131" s="62">
        <v>33436.197</v>
      </c>
      <c r="O131" s="62">
        <v>0</v>
      </c>
      <c r="P131" s="62"/>
      <c r="Q131" s="62">
        <v>50365.917000000001</v>
      </c>
      <c r="R131" s="62">
        <v>835596.07200000004</v>
      </c>
      <c r="S131" s="62">
        <v>319747.5036</v>
      </c>
      <c r="T131" s="62">
        <v>-357088.97519999999</v>
      </c>
      <c r="U131" s="62">
        <v>0</v>
      </c>
      <c r="V131" s="62"/>
      <c r="W131" s="62">
        <v>149340.7206</v>
      </c>
      <c r="X131" s="62">
        <v>149340.7206</v>
      </c>
      <c r="Y131" s="62">
        <v>137281.7268</v>
      </c>
      <c r="Z131" s="62">
        <v>63189.036</v>
      </c>
      <c r="AA131" s="62">
        <v>0</v>
      </c>
      <c r="AB131" s="62"/>
      <c r="AC131" s="62">
        <v>25035.736991701342</v>
      </c>
      <c r="AD131" s="62">
        <v>15312.677533195105</v>
      </c>
      <c r="AE131" s="62">
        <v>0</v>
      </c>
      <c r="AF131" s="62">
        <v>0</v>
      </c>
      <c r="AG131" s="62">
        <v>0</v>
      </c>
      <c r="AH131" s="62"/>
      <c r="AI131" s="62">
        <v>-25667.853961810761</v>
      </c>
      <c r="AJ131" s="62">
        <v>-25667.853961810761</v>
      </c>
      <c r="AK131" s="62">
        <v>-24901.059552757284</v>
      </c>
      <c r="AL131" s="62">
        <v>-20190.751040000188</v>
      </c>
      <c r="AM131" s="62">
        <v>0</v>
      </c>
    </row>
    <row r="132" spans="1:39">
      <c r="A132" s="9">
        <v>91202</v>
      </c>
      <c r="B132" s="10" t="s">
        <v>1512</v>
      </c>
      <c r="C132" s="60">
        <v>1.9330000000000001E-4</v>
      </c>
      <c r="E132" s="62">
        <v>28042.135310264512</v>
      </c>
      <c r="F132" s="62">
        <v>93942.407074579867</v>
      </c>
      <c r="G132" s="62">
        <v>48293.202007489715</v>
      </c>
      <c r="H132" s="62">
        <v>-19856.086660000004</v>
      </c>
      <c r="I132" s="62">
        <v>0</v>
      </c>
      <c r="J132" s="62"/>
      <c r="K132" s="62">
        <v>-1163.0861</v>
      </c>
      <c r="L132" s="62">
        <v>2448.3378000000002</v>
      </c>
      <c r="M132" s="62">
        <v>4542.9366</v>
      </c>
      <c r="N132" s="62">
        <v>2825.0795000000003</v>
      </c>
      <c r="O132" s="62">
        <v>0</v>
      </c>
      <c r="P132" s="62"/>
      <c r="Q132" s="62">
        <v>4255.4994999999999</v>
      </c>
      <c r="R132" s="62">
        <v>70600.892000000007</v>
      </c>
      <c r="S132" s="62">
        <v>27015.994600000002</v>
      </c>
      <c r="T132" s="62">
        <v>-30171.037200000002</v>
      </c>
      <c r="U132" s="62">
        <v>0</v>
      </c>
      <c r="V132" s="62"/>
      <c r="W132" s="62">
        <v>12618.044100000001</v>
      </c>
      <c r="X132" s="62">
        <v>12618.044100000001</v>
      </c>
      <c r="Y132" s="62">
        <v>11599.159800000001</v>
      </c>
      <c r="Z132" s="62">
        <v>5338.9459999999999</v>
      </c>
      <c r="AA132" s="62">
        <v>0</v>
      </c>
      <c r="AB132" s="62"/>
      <c r="AC132" s="62">
        <v>12331.677810264511</v>
      </c>
      <c r="AD132" s="62">
        <v>8275.1331745798616</v>
      </c>
      <c r="AE132" s="62">
        <v>5135.1110074897169</v>
      </c>
      <c r="AF132" s="62">
        <v>2150.9250399999992</v>
      </c>
      <c r="AG132" s="62">
        <v>0</v>
      </c>
      <c r="AH132" s="62"/>
      <c r="AI132" s="62">
        <v>0</v>
      </c>
      <c r="AJ132" s="62">
        <v>0</v>
      </c>
      <c r="AK132" s="62">
        <v>0</v>
      </c>
      <c r="AL132" s="62">
        <v>0</v>
      </c>
      <c r="AM132" s="62">
        <v>0</v>
      </c>
    </row>
    <row r="133" spans="1:39">
      <c r="A133" s="9">
        <v>91203</v>
      </c>
      <c r="B133" s="10" t="s">
        <v>1513</v>
      </c>
      <c r="C133" s="60">
        <v>2.1939999999999999E-4</v>
      </c>
      <c r="E133" s="62">
        <v>30289.498242997797</v>
      </c>
      <c r="F133" s="62">
        <v>104342.88932183597</v>
      </c>
      <c r="G133" s="62">
        <v>53607.703164938277</v>
      </c>
      <c r="H133" s="62">
        <v>-23930.711239999986</v>
      </c>
      <c r="I133" s="62">
        <v>0</v>
      </c>
      <c r="J133" s="62"/>
      <c r="K133" s="62">
        <v>-1320.1297999999999</v>
      </c>
      <c r="L133" s="62">
        <v>2778.9204</v>
      </c>
      <c r="M133" s="62">
        <v>5156.3387999999995</v>
      </c>
      <c r="N133" s="62">
        <v>3206.5309999999999</v>
      </c>
      <c r="O133" s="62">
        <v>0</v>
      </c>
      <c r="P133" s="62"/>
      <c r="Q133" s="62">
        <v>4830.0909999999994</v>
      </c>
      <c r="R133" s="62">
        <v>80133.656000000003</v>
      </c>
      <c r="S133" s="62">
        <v>30663.782800000001</v>
      </c>
      <c r="T133" s="62">
        <v>-34244.829599999997</v>
      </c>
      <c r="U133" s="62">
        <v>0</v>
      </c>
      <c r="V133" s="62"/>
      <c r="W133" s="62">
        <v>14321.773799999999</v>
      </c>
      <c r="X133" s="62">
        <v>14321.773799999999</v>
      </c>
      <c r="Y133" s="62">
        <v>13165.3164</v>
      </c>
      <c r="Z133" s="62">
        <v>6059.8279999999995</v>
      </c>
      <c r="AA133" s="62">
        <v>0</v>
      </c>
      <c r="AB133" s="62"/>
      <c r="AC133" s="62">
        <v>12457.763242997797</v>
      </c>
      <c r="AD133" s="62">
        <v>7108.5391218359709</v>
      </c>
      <c r="AE133" s="62">
        <v>4622.2651649382824</v>
      </c>
      <c r="AF133" s="62">
        <v>1047.7593600000137</v>
      </c>
      <c r="AG133" s="62">
        <v>0</v>
      </c>
      <c r="AH133" s="62"/>
      <c r="AI133" s="62">
        <v>0</v>
      </c>
      <c r="AJ133" s="62">
        <v>0</v>
      </c>
      <c r="AK133" s="62">
        <v>0</v>
      </c>
      <c r="AL133" s="62">
        <v>0</v>
      </c>
      <c r="AM133" s="62">
        <v>0</v>
      </c>
    </row>
    <row r="134" spans="1:39">
      <c r="A134" s="9">
        <v>91206</v>
      </c>
      <c r="B134" s="10" t="s">
        <v>1514</v>
      </c>
      <c r="C134" s="60">
        <v>8.6450000000000003E-4</v>
      </c>
      <c r="E134" s="62">
        <v>85869.514809924091</v>
      </c>
      <c r="F134" s="62">
        <v>388665.74193108588</v>
      </c>
      <c r="G134" s="62">
        <v>198182.41212337455</v>
      </c>
      <c r="H134" s="62">
        <v>-92916.968339999963</v>
      </c>
      <c r="I134" s="62">
        <v>0</v>
      </c>
      <c r="J134" s="62"/>
      <c r="K134" s="62">
        <v>-5201.6965</v>
      </c>
      <c r="L134" s="62">
        <v>10949.757</v>
      </c>
      <c r="M134" s="62">
        <v>20317.478999999999</v>
      </c>
      <c r="N134" s="62">
        <v>12634.667500000001</v>
      </c>
      <c r="O134" s="62">
        <v>0</v>
      </c>
      <c r="P134" s="62"/>
      <c r="Q134" s="62">
        <v>19031.967500000002</v>
      </c>
      <c r="R134" s="62">
        <v>315749.98000000004</v>
      </c>
      <c r="S134" s="62">
        <v>120824.24900000001</v>
      </c>
      <c r="T134" s="62">
        <v>-134934.61800000002</v>
      </c>
      <c r="U134" s="62">
        <v>0</v>
      </c>
      <c r="V134" s="62"/>
      <c r="W134" s="62">
        <v>56431.966500000002</v>
      </c>
      <c r="X134" s="62">
        <v>56431.966500000002</v>
      </c>
      <c r="Y134" s="62">
        <v>51875.187000000005</v>
      </c>
      <c r="Z134" s="62">
        <v>23877.49</v>
      </c>
      <c r="AA134" s="62">
        <v>0</v>
      </c>
      <c r="AB134" s="62"/>
      <c r="AC134" s="62">
        <v>16002.620375767696</v>
      </c>
      <c r="AD134" s="62">
        <v>5929.3814969295181</v>
      </c>
      <c r="AE134" s="62">
        <v>5505.4921600000471</v>
      </c>
      <c r="AF134" s="62">
        <v>5505.4921600000471</v>
      </c>
      <c r="AG134" s="62">
        <v>0</v>
      </c>
      <c r="AH134" s="62"/>
      <c r="AI134" s="62">
        <v>-395.34306584360604</v>
      </c>
      <c r="AJ134" s="62">
        <v>-395.34306584360604</v>
      </c>
      <c r="AK134" s="62">
        <v>-339.99503662550131</v>
      </c>
      <c r="AL134" s="62">
        <v>0</v>
      </c>
      <c r="AM134" s="62">
        <v>0</v>
      </c>
    </row>
    <row r="135" spans="1:39">
      <c r="A135" s="9">
        <v>91208</v>
      </c>
      <c r="B135" s="10" t="s">
        <v>1515</v>
      </c>
      <c r="C135" s="60">
        <v>1.42E-5</v>
      </c>
      <c r="E135" s="62">
        <v>4583.6800620856184</v>
      </c>
      <c r="F135" s="62">
        <v>6627.9357450731695</v>
      </c>
      <c r="G135" s="62">
        <v>3307.2403852674897</v>
      </c>
      <c r="H135" s="62">
        <v>-1557.0939599999997</v>
      </c>
      <c r="I135" s="62">
        <v>0</v>
      </c>
      <c r="J135" s="62"/>
      <c r="K135" s="62">
        <v>-85.441400000000002</v>
      </c>
      <c r="L135" s="62">
        <v>179.85720000000001</v>
      </c>
      <c r="M135" s="62">
        <v>333.72839999999997</v>
      </c>
      <c r="N135" s="62">
        <v>207.53299999999999</v>
      </c>
      <c r="O135" s="62">
        <v>0</v>
      </c>
      <c r="P135" s="62"/>
      <c r="Q135" s="62">
        <v>312.613</v>
      </c>
      <c r="R135" s="62">
        <v>5186.4079999999994</v>
      </c>
      <c r="S135" s="62">
        <v>1984.6204</v>
      </c>
      <c r="T135" s="62">
        <v>-2216.3928000000001</v>
      </c>
      <c r="U135" s="62">
        <v>0</v>
      </c>
      <c r="V135" s="62"/>
      <c r="W135" s="62">
        <v>926.93340000000001</v>
      </c>
      <c r="X135" s="62">
        <v>926.93340000000001</v>
      </c>
      <c r="Y135" s="62">
        <v>852.08519999999999</v>
      </c>
      <c r="Z135" s="62">
        <v>392.20400000000001</v>
      </c>
      <c r="AA135" s="62">
        <v>0</v>
      </c>
      <c r="AB135" s="62"/>
      <c r="AC135" s="62">
        <v>3429.5750620856184</v>
      </c>
      <c r="AD135" s="62">
        <v>334.7371450731697</v>
      </c>
      <c r="AE135" s="62">
        <v>136.80638526749001</v>
      </c>
      <c r="AF135" s="62">
        <v>59.56184000000048</v>
      </c>
      <c r="AG135" s="62">
        <v>0</v>
      </c>
      <c r="AH135" s="62"/>
      <c r="AI135" s="62">
        <v>0</v>
      </c>
      <c r="AJ135" s="62">
        <v>0</v>
      </c>
      <c r="AK135" s="62">
        <v>0</v>
      </c>
      <c r="AL135" s="62">
        <v>0</v>
      </c>
      <c r="AM135" s="62">
        <v>0</v>
      </c>
    </row>
    <row r="136" spans="1:39">
      <c r="A136" s="9">
        <v>91211</v>
      </c>
      <c r="B136" s="10" t="s">
        <v>1516</v>
      </c>
      <c r="C136" s="60">
        <v>4.5530000000000001E-4</v>
      </c>
      <c r="E136" s="62">
        <v>38341.872750168855</v>
      </c>
      <c r="F136" s="62">
        <v>201733.75733257551</v>
      </c>
      <c r="G136" s="62">
        <v>103008.64560139917</v>
      </c>
      <c r="H136" s="62">
        <v>-51049.006420000027</v>
      </c>
      <c r="I136" s="62">
        <v>0</v>
      </c>
      <c r="J136" s="62"/>
      <c r="K136" s="62">
        <v>-2739.5401000000002</v>
      </c>
      <c r="L136" s="62">
        <v>5766.8298000000004</v>
      </c>
      <c r="M136" s="62">
        <v>10700.4606</v>
      </c>
      <c r="N136" s="62">
        <v>6654.2094999999999</v>
      </c>
      <c r="O136" s="62">
        <v>0</v>
      </c>
      <c r="P136" s="62"/>
      <c r="Q136" s="62">
        <v>10023.4295</v>
      </c>
      <c r="R136" s="62">
        <v>166293.772</v>
      </c>
      <c r="S136" s="62">
        <v>63633.638599999998</v>
      </c>
      <c r="T136" s="62">
        <v>-71065.045200000008</v>
      </c>
      <c r="U136" s="62">
        <v>0</v>
      </c>
      <c r="V136" s="62"/>
      <c r="W136" s="62">
        <v>29720.6181</v>
      </c>
      <c r="X136" s="62">
        <v>29720.6181</v>
      </c>
      <c r="Y136" s="62">
        <v>27320.731800000001</v>
      </c>
      <c r="Z136" s="62">
        <v>12575.386</v>
      </c>
      <c r="AA136" s="62">
        <v>0</v>
      </c>
      <c r="AB136" s="62"/>
      <c r="AC136" s="62">
        <v>3158.8773746501906</v>
      </c>
      <c r="AD136" s="62">
        <v>1446.1773746501904</v>
      </c>
      <c r="AE136" s="62">
        <v>1353.8146013991616</v>
      </c>
      <c r="AF136" s="62">
        <v>786.44327999998359</v>
      </c>
      <c r="AG136" s="62">
        <v>0</v>
      </c>
      <c r="AH136" s="62"/>
      <c r="AI136" s="62">
        <v>-1821.5121244813331</v>
      </c>
      <c r="AJ136" s="62">
        <v>-1493.6399420746936</v>
      </c>
      <c r="AK136" s="62">
        <v>0</v>
      </c>
      <c r="AL136" s="62">
        <v>0</v>
      </c>
      <c r="AM136" s="62">
        <v>0</v>
      </c>
    </row>
    <row r="137" spans="1:39">
      <c r="A137" s="9">
        <v>91213</v>
      </c>
      <c r="B137" s="10" t="s">
        <v>1517</v>
      </c>
      <c r="C137" s="60">
        <v>3.2499999999999997E-5</v>
      </c>
      <c r="E137" s="62">
        <v>-15.51934151904652</v>
      </c>
      <c r="F137" s="62">
        <v>12157.445581302529</v>
      </c>
      <c r="G137" s="62">
        <v>5581.9284478189293</v>
      </c>
      <c r="H137" s="62">
        <v>-4802.4322599999996</v>
      </c>
      <c r="I137" s="62">
        <v>0</v>
      </c>
      <c r="J137" s="62"/>
      <c r="K137" s="62">
        <v>-195.55249999999998</v>
      </c>
      <c r="L137" s="62">
        <v>411.64499999999998</v>
      </c>
      <c r="M137" s="62">
        <v>763.81499999999994</v>
      </c>
      <c r="N137" s="62">
        <v>474.98749999999995</v>
      </c>
      <c r="O137" s="62">
        <v>0</v>
      </c>
      <c r="P137" s="62"/>
      <c r="Q137" s="62">
        <v>715.48749999999995</v>
      </c>
      <c r="R137" s="62">
        <v>11870.3</v>
      </c>
      <c r="S137" s="62">
        <v>4542.2649999999994</v>
      </c>
      <c r="T137" s="62">
        <v>-5072.7299999999996</v>
      </c>
      <c r="U137" s="62">
        <v>0</v>
      </c>
      <c r="V137" s="62"/>
      <c r="W137" s="62">
        <v>2121.5024999999996</v>
      </c>
      <c r="X137" s="62">
        <v>2121.5024999999996</v>
      </c>
      <c r="Y137" s="62">
        <v>1950.1949999999999</v>
      </c>
      <c r="Z137" s="62">
        <v>897.65</v>
      </c>
      <c r="AA137" s="62">
        <v>0</v>
      </c>
      <c r="AB137" s="62"/>
      <c r="AC137" s="62">
        <v>0</v>
      </c>
      <c r="AD137" s="62">
        <v>0</v>
      </c>
      <c r="AE137" s="62">
        <v>0</v>
      </c>
      <c r="AF137" s="62">
        <v>0</v>
      </c>
      <c r="AG137" s="62">
        <v>0</v>
      </c>
      <c r="AH137" s="62"/>
      <c r="AI137" s="62">
        <v>-2656.9568415190461</v>
      </c>
      <c r="AJ137" s="62">
        <v>-2246.0019186974696</v>
      </c>
      <c r="AK137" s="62">
        <v>-1674.3465521810695</v>
      </c>
      <c r="AL137" s="62">
        <v>-1102.3397599999998</v>
      </c>
      <c r="AM137" s="62">
        <v>0</v>
      </c>
    </row>
    <row r="138" spans="1:39">
      <c r="A138" s="9">
        <v>91214</v>
      </c>
      <c r="B138" s="10" t="s">
        <v>1518</v>
      </c>
      <c r="C138" s="60">
        <v>2.9300000000000001E-5</v>
      </c>
      <c r="E138" s="62">
        <v>2096.9419461711323</v>
      </c>
      <c r="F138" s="62">
        <v>12459.913097208477</v>
      </c>
      <c r="G138" s="62">
        <v>5554.6952144855968</v>
      </c>
      <c r="H138" s="62">
        <v>-3907.8934599999993</v>
      </c>
      <c r="I138" s="62">
        <v>0</v>
      </c>
      <c r="J138" s="62"/>
      <c r="K138" s="62">
        <v>-176.29810000000001</v>
      </c>
      <c r="L138" s="62">
        <v>371.11380000000003</v>
      </c>
      <c r="M138" s="62">
        <v>688.60860000000002</v>
      </c>
      <c r="N138" s="62">
        <v>428.21949999999998</v>
      </c>
      <c r="O138" s="62">
        <v>0</v>
      </c>
      <c r="P138" s="62"/>
      <c r="Q138" s="62">
        <v>645.03949999999998</v>
      </c>
      <c r="R138" s="62">
        <v>10701.532000000001</v>
      </c>
      <c r="S138" s="62">
        <v>4095.0266000000001</v>
      </c>
      <c r="T138" s="62">
        <v>-4573.2611999999999</v>
      </c>
      <c r="U138" s="62">
        <v>0</v>
      </c>
      <c r="V138" s="62"/>
      <c r="W138" s="62">
        <v>1912.6161</v>
      </c>
      <c r="X138" s="62">
        <v>1912.6161</v>
      </c>
      <c r="Y138" s="62">
        <v>1758.1758</v>
      </c>
      <c r="Z138" s="62">
        <v>809.26599999999996</v>
      </c>
      <c r="AA138" s="62">
        <v>0</v>
      </c>
      <c r="AB138" s="62"/>
      <c r="AC138" s="62">
        <v>770.25804979253121</v>
      </c>
      <c r="AD138" s="62">
        <v>529.32480082987581</v>
      </c>
      <c r="AE138" s="62">
        <v>0</v>
      </c>
      <c r="AF138" s="62">
        <v>0</v>
      </c>
      <c r="AG138" s="62">
        <v>0</v>
      </c>
      <c r="AH138" s="62"/>
      <c r="AI138" s="62">
        <v>-1054.673603621399</v>
      </c>
      <c r="AJ138" s="62">
        <v>-1054.673603621399</v>
      </c>
      <c r="AK138" s="62">
        <v>-987.11578551440334</v>
      </c>
      <c r="AL138" s="62">
        <v>-572.11775999999986</v>
      </c>
      <c r="AM138" s="62">
        <v>0</v>
      </c>
    </row>
    <row r="139" spans="1:39">
      <c r="A139" s="9">
        <v>91217</v>
      </c>
      <c r="B139" s="10" t="s">
        <v>1519</v>
      </c>
      <c r="C139" s="60">
        <v>2.8799999999999999E-5</v>
      </c>
      <c r="E139" s="62">
        <v>6644.6970652411928</v>
      </c>
      <c r="F139" s="62">
        <v>16167.748631216298</v>
      </c>
      <c r="G139" s="62">
        <v>8811.1127062551459</v>
      </c>
      <c r="H139" s="62">
        <v>-2584.3277599999983</v>
      </c>
      <c r="I139" s="62">
        <v>0</v>
      </c>
      <c r="J139" s="62"/>
      <c r="K139" s="62">
        <v>-173.28959999999998</v>
      </c>
      <c r="L139" s="62">
        <v>364.7808</v>
      </c>
      <c r="M139" s="62">
        <v>676.85759999999993</v>
      </c>
      <c r="N139" s="62">
        <v>420.91199999999998</v>
      </c>
      <c r="O139" s="62">
        <v>0</v>
      </c>
      <c r="P139" s="62"/>
      <c r="Q139" s="62">
        <v>634.03199999999993</v>
      </c>
      <c r="R139" s="62">
        <v>10518.912</v>
      </c>
      <c r="S139" s="62">
        <v>4025.1455999999998</v>
      </c>
      <c r="T139" s="62">
        <v>-4495.2191999999995</v>
      </c>
      <c r="U139" s="62">
        <v>0</v>
      </c>
      <c r="V139" s="62"/>
      <c r="W139" s="62">
        <v>1879.9775999999999</v>
      </c>
      <c r="X139" s="62">
        <v>1879.9775999999999</v>
      </c>
      <c r="Y139" s="62">
        <v>1728.1727999999998</v>
      </c>
      <c r="Z139" s="62">
        <v>795.45600000000002</v>
      </c>
      <c r="AA139" s="62">
        <v>0</v>
      </c>
      <c r="AB139" s="62"/>
      <c r="AC139" s="62">
        <v>4303.9770652411935</v>
      </c>
      <c r="AD139" s="62">
        <v>3404.0782312162978</v>
      </c>
      <c r="AE139" s="62">
        <v>2380.9367062551455</v>
      </c>
      <c r="AF139" s="62">
        <v>694.52344000000153</v>
      </c>
      <c r="AG139" s="62">
        <v>0</v>
      </c>
      <c r="AH139" s="62"/>
      <c r="AI139" s="62">
        <v>0</v>
      </c>
      <c r="AJ139" s="62">
        <v>0</v>
      </c>
      <c r="AK139" s="62">
        <v>0</v>
      </c>
      <c r="AL139" s="62">
        <v>0</v>
      </c>
      <c r="AM139" s="62">
        <v>0</v>
      </c>
    </row>
    <row r="140" spans="1:39">
      <c r="A140" s="9">
        <v>91221</v>
      </c>
      <c r="B140" s="10" t="s">
        <v>1520</v>
      </c>
      <c r="C140" s="60">
        <v>1.3359999999999999E-4</v>
      </c>
      <c r="E140" s="62">
        <v>12217.888565835779</v>
      </c>
      <c r="F140" s="62">
        <v>56943.368220607561</v>
      </c>
      <c r="G140" s="62">
        <v>28333.06805283951</v>
      </c>
      <c r="H140" s="62">
        <v>-14883.134320000003</v>
      </c>
      <c r="I140" s="62">
        <v>0</v>
      </c>
      <c r="J140" s="62"/>
      <c r="K140" s="62">
        <v>-803.87119999999993</v>
      </c>
      <c r="L140" s="62">
        <v>1692.1776</v>
      </c>
      <c r="M140" s="62">
        <v>3139.8671999999997</v>
      </c>
      <c r="N140" s="62">
        <v>1952.5639999999999</v>
      </c>
      <c r="O140" s="62">
        <v>0</v>
      </c>
      <c r="P140" s="62"/>
      <c r="Q140" s="62">
        <v>2941.2039999999997</v>
      </c>
      <c r="R140" s="62">
        <v>48796.063999999998</v>
      </c>
      <c r="S140" s="62">
        <v>18672.2032</v>
      </c>
      <c r="T140" s="62">
        <v>-20852.822400000001</v>
      </c>
      <c r="U140" s="62">
        <v>0</v>
      </c>
      <c r="V140" s="62"/>
      <c r="W140" s="62">
        <v>8721.0072</v>
      </c>
      <c r="X140" s="62">
        <v>8721.0072</v>
      </c>
      <c r="Y140" s="62">
        <v>8016.8015999999998</v>
      </c>
      <c r="Z140" s="62">
        <v>3690.0319999999997</v>
      </c>
      <c r="AA140" s="62">
        <v>0</v>
      </c>
      <c r="AB140" s="62"/>
      <c r="AC140" s="62">
        <v>4056.4220800000016</v>
      </c>
      <c r="AD140" s="62">
        <v>327.09208000000069</v>
      </c>
      <c r="AE140" s="62">
        <v>327.09208000000069</v>
      </c>
      <c r="AF140" s="62">
        <v>327.09208000000069</v>
      </c>
      <c r="AG140" s="62">
        <v>0</v>
      </c>
      <c r="AH140" s="62"/>
      <c r="AI140" s="62">
        <v>-2696.8735141642233</v>
      </c>
      <c r="AJ140" s="62">
        <v>-2592.9726593924402</v>
      </c>
      <c r="AK140" s="62">
        <v>-1822.8960271604903</v>
      </c>
      <c r="AL140" s="62">
        <v>0</v>
      </c>
      <c r="AM140" s="62">
        <v>0</v>
      </c>
    </row>
    <row r="141" spans="1:39">
      <c r="A141" s="9">
        <v>91231</v>
      </c>
      <c r="B141" s="10" t="s">
        <v>1521</v>
      </c>
      <c r="C141" s="60">
        <v>1.8856000000000001E-3</v>
      </c>
      <c r="E141" s="62">
        <v>121072.21256865436</v>
      </c>
      <c r="F141" s="62">
        <v>794600.36005097802</v>
      </c>
      <c r="G141" s="62">
        <v>389828.54895152251</v>
      </c>
      <c r="H141" s="62">
        <v>-232666.96016000019</v>
      </c>
      <c r="I141" s="62">
        <v>0</v>
      </c>
      <c r="J141" s="62"/>
      <c r="K141" s="62">
        <v>-11345.655200000001</v>
      </c>
      <c r="L141" s="62">
        <v>23883.009600000001</v>
      </c>
      <c r="M141" s="62">
        <v>44315.371200000001</v>
      </c>
      <c r="N141" s="62">
        <v>27558.044000000002</v>
      </c>
      <c r="O141" s="62">
        <v>0</v>
      </c>
      <c r="P141" s="62"/>
      <c r="Q141" s="62">
        <v>41511.484000000004</v>
      </c>
      <c r="R141" s="62">
        <v>688696.54399999999</v>
      </c>
      <c r="S141" s="62">
        <v>263535.22720000002</v>
      </c>
      <c r="T141" s="62">
        <v>-294311.99040000001</v>
      </c>
      <c r="U141" s="62">
        <v>0</v>
      </c>
      <c r="V141" s="62"/>
      <c r="W141" s="62">
        <v>123086.31120000001</v>
      </c>
      <c r="X141" s="62">
        <v>123086.31120000001</v>
      </c>
      <c r="Y141" s="62">
        <v>113147.31360000001</v>
      </c>
      <c r="Z141" s="62">
        <v>52080.272000000004</v>
      </c>
      <c r="AA141" s="62">
        <v>0</v>
      </c>
      <c r="AB141" s="62"/>
      <c r="AC141" s="62">
        <v>10587.060000000003</v>
      </c>
      <c r="AD141" s="62">
        <v>0</v>
      </c>
      <c r="AE141" s="62">
        <v>0</v>
      </c>
      <c r="AF141" s="62">
        <v>0</v>
      </c>
      <c r="AG141" s="62">
        <v>0</v>
      </c>
      <c r="AH141" s="62"/>
      <c r="AI141" s="62">
        <v>-42766.98743134566</v>
      </c>
      <c r="AJ141" s="62">
        <v>-41065.504749021995</v>
      </c>
      <c r="AK141" s="62">
        <v>-31169.363048477531</v>
      </c>
      <c r="AL141" s="62">
        <v>-17993.285760000184</v>
      </c>
      <c r="AM141" s="62">
        <v>0</v>
      </c>
    </row>
    <row r="142" spans="1:39">
      <c r="A142" s="9">
        <v>91233</v>
      </c>
      <c r="B142" s="10" t="s">
        <v>1522</v>
      </c>
      <c r="C142" s="60">
        <v>5.8100000000000003E-5</v>
      </c>
      <c r="E142" s="62">
        <v>9001.8772020125343</v>
      </c>
      <c r="F142" s="62">
        <v>28678.441029398429</v>
      </c>
      <c r="G142" s="62">
        <v>14062.970650041156</v>
      </c>
      <c r="H142" s="62">
        <v>-5488.31898</v>
      </c>
      <c r="I142" s="62">
        <v>0</v>
      </c>
      <c r="J142" s="62"/>
      <c r="K142" s="62">
        <v>-349.58770000000004</v>
      </c>
      <c r="L142" s="62">
        <v>735.89460000000008</v>
      </c>
      <c r="M142" s="62">
        <v>1365.4662000000001</v>
      </c>
      <c r="N142" s="62">
        <v>849.13150000000007</v>
      </c>
      <c r="O142" s="62">
        <v>0</v>
      </c>
      <c r="P142" s="62"/>
      <c r="Q142" s="62">
        <v>1279.0715</v>
      </c>
      <c r="R142" s="62">
        <v>21220.444</v>
      </c>
      <c r="S142" s="62">
        <v>8120.1722</v>
      </c>
      <c r="T142" s="62">
        <v>-9068.4804000000004</v>
      </c>
      <c r="U142" s="62">
        <v>0</v>
      </c>
      <c r="V142" s="62"/>
      <c r="W142" s="62">
        <v>3792.5937000000004</v>
      </c>
      <c r="X142" s="62">
        <v>3792.5937000000004</v>
      </c>
      <c r="Y142" s="62">
        <v>3486.3486000000003</v>
      </c>
      <c r="Z142" s="62">
        <v>1604.722</v>
      </c>
      <c r="AA142" s="62">
        <v>0</v>
      </c>
      <c r="AB142" s="62"/>
      <c r="AC142" s="62">
        <v>4320.8744345228215</v>
      </c>
      <c r="AD142" s="62">
        <v>2970.5834619087145</v>
      </c>
      <c r="AE142" s="62">
        <v>1126.3079200000013</v>
      </c>
      <c r="AF142" s="62">
        <v>1126.3079200000013</v>
      </c>
      <c r="AG142" s="62">
        <v>0</v>
      </c>
      <c r="AH142" s="62"/>
      <c r="AI142" s="62">
        <v>-41.074732510286935</v>
      </c>
      <c r="AJ142" s="62">
        <v>-41.074732510286935</v>
      </c>
      <c r="AK142" s="62">
        <v>-35.324269958846777</v>
      </c>
      <c r="AL142" s="62">
        <v>0</v>
      </c>
      <c r="AM142" s="62">
        <v>0</v>
      </c>
    </row>
    <row r="143" spans="1:39">
      <c r="A143" s="9">
        <v>91241</v>
      </c>
      <c r="B143" s="10" t="s">
        <v>1523</v>
      </c>
      <c r="C143" s="60">
        <v>3.5500000000000002E-5</v>
      </c>
      <c r="E143" s="62">
        <v>335.79447822652537</v>
      </c>
      <c r="F143" s="62">
        <v>14648.834585612418</v>
      </c>
      <c r="G143" s="62">
        <v>7202.6435451851858</v>
      </c>
      <c r="H143" s="62">
        <v>-4075.9317399999991</v>
      </c>
      <c r="I143" s="62">
        <v>0</v>
      </c>
      <c r="J143" s="62"/>
      <c r="K143" s="62">
        <v>-213.60350000000003</v>
      </c>
      <c r="L143" s="62">
        <v>449.64300000000003</v>
      </c>
      <c r="M143" s="62">
        <v>834.32100000000003</v>
      </c>
      <c r="N143" s="62">
        <v>518.83249999999998</v>
      </c>
      <c r="O143" s="62">
        <v>0</v>
      </c>
      <c r="P143" s="62"/>
      <c r="Q143" s="62">
        <v>781.53250000000003</v>
      </c>
      <c r="R143" s="62">
        <v>12966.02</v>
      </c>
      <c r="S143" s="62">
        <v>4961.5510000000004</v>
      </c>
      <c r="T143" s="62">
        <v>-5540.982</v>
      </c>
      <c r="U143" s="62">
        <v>0</v>
      </c>
      <c r="V143" s="62"/>
      <c r="W143" s="62">
        <v>2317.3335000000002</v>
      </c>
      <c r="X143" s="62">
        <v>2317.3335000000002</v>
      </c>
      <c r="Y143" s="62">
        <v>2130.2130000000002</v>
      </c>
      <c r="Z143" s="62">
        <v>980.5100000000001</v>
      </c>
      <c r="AA143" s="62">
        <v>0</v>
      </c>
      <c r="AB143" s="62"/>
      <c r="AC143" s="62">
        <v>0</v>
      </c>
      <c r="AD143" s="62">
        <v>0</v>
      </c>
      <c r="AE143" s="62">
        <v>0</v>
      </c>
      <c r="AF143" s="62">
        <v>0</v>
      </c>
      <c r="AG143" s="62">
        <v>0</v>
      </c>
      <c r="AH143" s="62"/>
      <c r="AI143" s="62">
        <v>-2549.4680217734749</v>
      </c>
      <c r="AJ143" s="62">
        <v>-1084.161914387583</v>
      </c>
      <c r="AK143" s="62">
        <v>-723.44145481481519</v>
      </c>
      <c r="AL143" s="62">
        <v>-34.292239999999964</v>
      </c>
      <c r="AM143" s="62">
        <v>0</v>
      </c>
    </row>
    <row r="144" spans="1:39">
      <c r="A144" s="9">
        <v>91251</v>
      </c>
      <c r="B144" s="10" t="s">
        <v>1524</v>
      </c>
      <c r="C144" s="60">
        <v>1.9899999999999999E-5</v>
      </c>
      <c r="E144" s="62">
        <v>2934.2211738281853</v>
      </c>
      <c r="F144" s="62">
        <v>7820.6975232057775</v>
      </c>
      <c r="G144" s="62">
        <v>3592.3478851851851</v>
      </c>
      <c r="H144" s="62">
        <v>-2931.2643000000007</v>
      </c>
      <c r="I144" s="62">
        <v>0</v>
      </c>
      <c r="J144" s="62"/>
      <c r="K144" s="62">
        <v>-119.7383</v>
      </c>
      <c r="L144" s="62">
        <v>252.05339999999998</v>
      </c>
      <c r="M144" s="62">
        <v>467.68979999999999</v>
      </c>
      <c r="N144" s="62">
        <v>290.83850000000001</v>
      </c>
      <c r="O144" s="62">
        <v>0</v>
      </c>
      <c r="P144" s="62"/>
      <c r="Q144" s="62">
        <v>438.0985</v>
      </c>
      <c r="R144" s="62">
        <v>7268.2759999999998</v>
      </c>
      <c r="S144" s="62">
        <v>2781.2637999999997</v>
      </c>
      <c r="T144" s="62">
        <v>-3106.0715999999998</v>
      </c>
      <c r="U144" s="62">
        <v>0</v>
      </c>
      <c r="V144" s="62"/>
      <c r="W144" s="62">
        <v>1299.0122999999999</v>
      </c>
      <c r="X144" s="62">
        <v>1299.0122999999999</v>
      </c>
      <c r="Y144" s="62">
        <v>1194.1194</v>
      </c>
      <c r="Z144" s="62">
        <v>549.63800000000003</v>
      </c>
      <c r="AA144" s="62">
        <v>0</v>
      </c>
      <c r="AB144" s="62"/>
      <c r="AC144" s="62">
        <v>2341.3500000000004</v>
      </c>
      <c r="AD144" s="62">
        <v>0</v>
      </c>
      <c r="AE144" s="62">
        <v>0</v>
      </c>
      <c r="AF144" s="62">
        <v>0</v>
      </c>
      <c r="AG144" s="62">
        <v>0</v>
      </c>
      <c r="AH144" s="62"/>
      <c r="AI144" s="62">
        <v>-1024.501326171815</v>
      </c>
      <c r="AJ144" s="62">
        <v>-998.64417679422172</v>
      </c>
      <c r="AK144" s="62">
        <v>-850.72511481481524</v>
      </c>
      <c r="AL144" s="62">
        <v>-665.66920000000061</v>
      </c>
      <c r="AM144" s="62">
        <v>0</v>
      </c>
    </row>
    <row r="145" spans="1:39">
      <c r="A145" s="9">
        <v>91261</v>
      </c>
      <c r="B145" s="10" t="s">
        <v>1525</v>
      </c>
      <c r="C145" s="60">
        <v>1.03E-5</v>
      </c>
      <c r="E145" s="62">
        <v>1685.2537084797559</v>
      </c>
      <c r="F145" s="62">
        <v>5133.5416570274738</v>
      </c>
      <c r="G145" s="62">
        <v>2545.2391872427975</v>
      </c>
      <c r="H145" s="62">
        <v>-1051.1003000000003</v>
      </c>
      <c r="I145" s="62">
        <v>0</v>
      </c>
      <c r="J145" s="62"/>
      <c r="K145" s="62">
        <v>-61.975099999999998</v>
      </c>
      <c r="L145" s="62">
        <v>130.4598</v>
      </c>
      <c r="M145" s="62">
        <v>242.07059999999998</v>
      </c>
      <c r="N145" s="62">
        <v>150.53450000000001</v>
      </c>
      <c r="O145" s="62">
        <v>0</v>
      </c>
      <c r="P145" s="62"/>
      <c r="Q145" s="62">
        <v>226.75449999999998</v>
      </c>
      <c r="R145" s="62">
        <v>3761.9719999999998</v>
      </c>
      <c r="S145" s="62">
        <v>1439.5485999999999</v>
      </c>
      <c r="T145" s="62">
        <v>-1607.6651999999999</v>
      </c>
      <c r="U145" s="62">
        <v>0</v>
      </c>
      <c r="V145" s="62"/>
      <c r="W145" s="62">
        <v>672.35309999999993</v>
      </c>
      <c r="X145" s="62">
        <v>672.35309999999993</v>
      </c>
      <c r="Y145" s="62">
        <v>618.06179999999995</v>
      </c>
      <c r="Z145" s="62">
        <v>284.48599999999999</v>
      </c>
      <c r="AA145" s="62">
        <v>0</v>
      </c>
      <c r="AB145" s="62"/>
      <c r="AC145" s="62">
        <v>848.12120847975598</v>
      </c>
      <c r="AD145" s="62">
        <v>568.7567570274739</v>
      </c>
      <c r="AE145" s="62">
        <v>245.55818724279786</v>
      </c>
      <c r="AF145" s="62">
        <v>121.54439999999958</v>
      </c>
      <c r="AG145" s="62">
        <v>0</v>
      </c>
      <c r="AH145" s="62"/>
      <c r="AI145" s="62">
        <v>0</v>
      </c>
      <c r="AJ145" s="62">
        <v>0</v>
      </c>
      <c r="AK145" s="62">
        <v>0</v>
      </c>
      <c r="AL145" s="62">
        <v>0</v>
      </c>
      <c r="AM145" s="62">
        <v>0</v>
      </c>
    </row>
    <row r="146" spans="1:39">
      <c r="A146" s="9">
        <v>91301</v>
      </c>
      <c r="B146" s="10" t="s">
        <v>1526</v>
      </c>
      <c r="C146" s="60">
        <v>7.6985999999999999E-3</v>
      </c>
      <c r="E146" s="62">
        <v>527168.15055643325</v>
      </c>
      <c r="F146" s="62">
        <v>3342889.2695632377</v>
      </c>
      <c r="G146" s="62">
        <v>1690657.215100823</v>
      </c>
      <c r="H146" s="62">
        <v>-910675.47059999953</v>
      </c>
      <c r="I146" s="62">
        <v>0</v>
      </c>
      <c r="J146" s="62"/>
      <c r="K146" s="62">
        <v>-46322.476199999997</v>
      </c>
      <c r="L146" s="62">
        <v>97510.467600000004</v>
      </c>
      <c r="M146" s="62">
        <v>180932.49719999998</v>
      </c>
      <c r="N146" s="62">
        <v>112515.039</v>
      </c>
      <c r="O146" s="62">
        <v>0</v>
      </c>
      <c r="P146" s="62"/>
      <c r="Q146" s="62">
        <v>169484.679</v>
      </c>
      <c r="R146" s="62">
        <v>2811836.6639999999</v>
      </c>
      <c r="S146" s="62">
        <v>1075971.7331999999</v>
      </c>
      <c r="T146" s="62">
        <v>-1201628.2823999999</v>
      </c>
      <c r="U146" s="62">
        <v>0</v>
      </c>
      <c r="V146" s="62"/>
      <c r="W146" s="62">
        <v>502541.5122</v>
      </c>
      <c r="X146" s="62">
        <v>502541.5122</v>
      </c>
      <c r="Y146" s="62">
        <v>461962.19160000002</v>
      </c>
      <c r="Z146" s="62">
        <v>212635.33199999999</v>
      </c>
      <c r="AA146" s="62">
        <v>0</v>
      </c>
      <c r="AB146" s="62"/>
      <c r="AC146" s="62">
        <v>6963.2003497938858</v>
      </c>
      <c r="AD146" s="62">
        <v>6963.2003497938858</v>
      </c>
      <c r="AE146" s="62">
        <v>5988.3523008227439</v>
      </c>
      <c r="AF146" s="62">
        <v>0</v>
      </c>
      <c r="AG146" s="62">
        <v>0</v>
      </c>
      <c r="AH146" s="62"/>
      <c r="AI146" s="62">
        <v>-105498.76479336063</v>
      </c>
      <c r="AJ146" s="62">
        <v>-75962.574586555667</v>
      </c>
      <c r="AK146" s="62">
        <v>-34197.559199999647</v>
      </c>
      <c r="AL146" s="62">
        <v>-34197.559199999647</v>
      </c>
      <c r="AM146" s="62">
        <v>0</v>
      </c>
    </row>
    <row r="147" spans="1:39">
      <c r="A147" s="9">
        <v>91302</v>
      </c>
      <c r="B147" s="10" t="s">
        <v>1527</v>
      </c>
      <c r="C147" s="60">
        <v>6.0300000000000002E-4</v>
      </c>
      <c r="E147" s="62">
        <v>67384.798095538878</v>
      </c>
      <c r="F147" s="62">
        <v>277435.6276557048</v>
      </c>
      <c r="G147" s="62">
        <v>133954.24546971198</v>
      </c>
      <c r="H147" s="62">
        <v>-70318.498919999969</v>
      </c>
      <c r="I147" s="62">
        <v>0</v>
      </c>
      <c r="J147" s="62"/>
      <c r="K147" s="62">
        <v>-3628.2510000000002</v>
      </c>
      <c r="L147" s="62">
        <v>7637.598</v>
      </c>
      <c r="M147" s="62">
        <v>14171.706</v>
      </c>
      <c r="N147" s="62">
        <v>8812.8450000000012</v>
      </c>
      <c r="O147" s="62">
        <v>0</v>
      </c>
      <c r="P147" s="62"/>
      <c r="Q147" s="62">
        <v>13275.045</v>
      </c>
      <c r="R147" s="62">
        <v>220239.72</v>
      </c>
      <c r="S147" s="62">
        <v>84276.486000000004</v>
      </c>
      <c r="T147" s="62">
        <v>-94118.652000000002</v>
      </c>
      <c r="U147" s="62">
        <v>0</v>
      </c>
      <c r="V147" s="62"/>
      <c r="W147" s="62">
        <v>39362.031000000003</v>
      </c>
      <c r="X147" s="62">
        <v>39362.031000000003</v>
      </c>
      <c r="Y147" s="62">
        <v>36183.618000000002</v>
      </c>
      <c r="Z147" s="62">
        <v>16654.86</v>
      </c>
      <c r="AA147" s="62">
        <v>0</v>
      </c>
      <c r="AB147" s="62"/>
      <c r="AC147" s="62">
        <v>20043.525015538838</v>
      </c>
      <c r="AD147" s="62">
        <v>11863.830575704817</v>
      </c>
      <c r="AE147" s="62">
        <v>989.98738971194678</v>
      </c>
      <c r="AF147" s="62">
        <v>0</v>
      </c>
      <c r="AG147" s="62">
        <v>0</v>
      </c>
      <c r="AH147" s="62"/>
      <c r="AI147" s="62">
        <v>-1667.5519199999692</v>
      </c>
      <c r="AJ147" s="62">
        <v>-1667.5519199999692</v>
      </c>
      <c r="AK147" s="62">
        <v>-1667.5519199999692</v>
      </c>
      <c r="AL147" s="62">
        <v>-1667.5519199999692</v>
      </c>
      <c r="AM147" s="62">
        <v>0</v>
      </c>
    </row>
    <row r="148" spans="1:39">
      <c r="A148" s="9">
        <v>91306</v>
      </c>
      <c r="B148" s="10" t="s">
        <v>1528</v>
      </c>
      <c r="C148" s="60">
        <v>1.6412E-3</v>
      </c>
      <c r="E148" s="62">
        <v>192416.94613186069</v>
      </c>
      <c r="F148" s="62">
        <v>763432.77202646655</v>
      </c>
      <c r="G148" s="62">
        <v>379702.23343687231</v>
      </c>
      <c r="H148" s="62">
        <v>-188624.27848000004</v>
      </c>
      <c r="I148" s="62">
        <v>0</v>
      </c>
      <c r="J148" s="62"/>
      <c r="K148" s="62">
        <v>-9875.1003999999994</v>
      </c>
      <c r="L148" s="62">
        <v>20787.439200000001</v>
      </c>
      <c r="M148" s="62">
        <v>38571.482400000001</v>
      </c>
      <c r="N148" s="62">
        <v>23986.137999999999</v>
      </c>
      <c r="O148" s="62">
        <v>0</v>
      </c>
      <c r="P148" s="62"/>
      <c r="Q148" s="62">
        <v>36131.017999999996</v>
      </c>
      <c r="R148" s="62">
        <v>599431.88800000004</v>
      </c>
      <c r="S148" s="62">
        <v>229377.39439999999</v>
      </c>
      <c r="T148" s="62">
        <v>-256165.06080000001</v>
      </c>
      <c r="U148" s="62">
        <v>0</v>
      </c>
      <c r="V148" s="62"/>
      <c r="W148" s="62">
        <v>107132.6124</v>
      </c>
      <c r="X148" s="62">
        <v>107132.6124</v>
      </c>
      <c r="Y148" s="62">
        <v>98481.847200000004</v>
      </c>
      <c r="Z148" s="62">
        <v>45329.944000000003</v>
      </c>
      <c r="AA148" s="62">
        <v>0</v>
      </c>
      <c r="AB148" s="62"/>
      <c r="AC148" s="62">
        <v>60803.715811860748</v>
      </c>
      <c r="AD148" s="62">
        <v>37856.132106466554</v>
      </c>
      <c r="AE148" s="62">
        <v>15046.809116872388</v>
      </c>
      <c r="AF148" s="62">
        <v>0</v>
      </c>
      <c r="AG148" s="62">
        <v>0</v>
      </c>
      <c r="AH148" s="62"/>
      <c r="AI148" s="62">
        <v>-1775.2996800000547</v>
      </c>
      <c r="AJ148" s="62">
        <v>-1775.2996800000547</v>
      </c>
      <c r="AK148" s="62">
        <v>-1775.2996800000547</v>
      </c>
      <c r="AL148" s="62">
        <v>-1775.2996800000547</v>
      </c>
      <c r="AM148" s="62">
        <v>0</v>
      </c>
    </row>
    <row r="149" spans="1:39">
      <c r="A149" s="9">
        <v>91308</v>
      </c>
      <c r="B149" s="10" t="s">
        <v>1529</v>
      </c>
      <c r="C149" s="60">
        <v>1.8009999999999999E-4</v>
      </c>
      <c r="E149" s="62">
        <v>10931.044494279644</v>
      </c>
      <c r="F149" s="62">
        <v>74094.792869383367</v>
      </c>
      <c r="G149" s="62">
        <v>35601.544242798322</v>
      </c>
      <c r="H149" s="62">
        <v>-25167.662900000018</v>
      </c>
      <c r="I149" s="62">
        <v>0</v>
      </c>
      <c r="J149" s="62"/>
      <c r="K149" s="62">
        <v>-1083.6616999999999</v>
      </c>
      <c r="L149" s="62">
        <v>2281.1466</v>
      </c>
      <c r="M149" s="62">
        <v>4232.7101999999995</v>
      </c>
      <c r="N149" s="62">
        <v>2632.1614999999997</v>
      </c>
      <c r="O149" s="62">
        <v>0</v>
      </c>
      <c r="P149" s="62"/>
      <c r="Q149" s="62">
        <v>3964.9014999999995</v>
      </c>
      <c r="R149" s="62">
        <v>65779.724000000002</v>
      </c>
      <c r="S149" s="62">
        <v>25171.136199999997</v>
      </c>
      <c r="T149" s="62">
        <v>-28110.728399999996</v>
      </c>
      <c r="U149" s="62">
        <v>0</v>
      </c>
      <c r="V149" s="62"/>
      <c r="W149" s="62">
        <v>11756.387699999999</v>
      </c>
      <c r="X149" s="62">
        <v>11756.387699999999</v>
      </c>
      <c r="Y149" s="62">
        <v>10807.080599999999</v>
      </c>
      <c r="Z149" s="62">
        <v>4974.3620000000001</v>
      </c>
      <c r="AA149" s="62">
        <v>0</v>
      </c>
      <c r="AB149" s="62"/>
      <c r="AC149" s="62">
        <v>2325.0281893004067</v>
      </c>
      <c r="AD149" s="62">
        <v>62.87818930040612</v>
      </c>
      <c r="AE149" s="62">
        <v>54.075242798349286</v>
      </c>
      <c r="AF149" s="62">
        <v>0</v>
      </c>
      <c r="AG149" s="62">
        <v>0</v>
      </c>
      <c r="AH149" s="62"/>
      <c r="AI149" s="62">
        <v>-6031.6111950207614</v>
      </c>
      <c r="AJ149" s="62">
        <v>-5785.3436199170283</v>
      </c>
      <c r="AK149" s="62">
        <v>-4663.4580000000215</v>
      </c>
      <c r="AL149" s="62">
        <v>-4663.4580000000215</v>
      </c>
      <c r="AM149" s="62">
        <v>0</v>
      </c>
    </row>
    <row r="150" spans="1:39">
      <c r="A150" s="9">
        <v>91311</v>
      </c>
      <c r="B150" s="10" t="s">
        <v>1530</v>
      </c>
      <c r="C150" s="60">
        <v>7.6685E-3</v>
      </c>
      <c r="E150" s="62">
        <v>436764.59505171294</v>
      </c>
      <c r="F150" s="62">
        <v>3305401.5779057383</v>
      </c>
      <c r="G150" s="62">
        <v>1595752.8307259253</v>
      </c>
      <c r="H150" s="62">
        <v>-915409.27050000057</v>
      </c>
      <c r="I150" s="62">
        <v>0</v>
      </c>
      <c r="J150" s="62"/>
      <c r="K150" s="62">
        <v>-46141.364500000003</v>
      </c>
      <c r="L150" s="62">
        <v>97129.221000000005</v>
      </c>
      <c r="M150" s="62">
        <v>180225.087</v>
      </c>
      <c r="N150" s="62">
        <v>112075.1275</v>
      </c>
      <c r="O150" s="62">
        <v>0</v>
      </c>
      <c r="P150" s="62"/>
      <c r="Q150" s="62">
        <v>168822.0275</v>
      </c>
      <c r="R150" s="62">
        <v>2800842.94</v>
      </c>
      <c r="S150" s="62">
        <v>1071764.8969999999</v>
      </c>
      <c r="T150" s="62">
        <v>-1196930.1540000001</v>
      </c>
      <c r="U150" s="62">
        <v>0</v>
      </c>
      <c r="V150" s="62"/>
      <c r="W150" s="62">
        <v>500576.67450000002</v>
      </c>
      <c r="X150" s="62">
        <v>500576.67450000002</v>
      </c>
      <c r="Y150" s="62">
        <v>460156.011</v>
      </c>
      <c r="Z150" s="62">
        <v>211803.97</v>
      </c>
      <c r="AA150" s="62">
        <v>0</v>
      </c>
      <c r="AB150" s="62"/>
      <c r="AC150" s="62">
        <v>43046.473033195041</v>
      </c>
      <c r="AD150" s="62">
        <v>35298.107887219943</v>
      </c>
      <c r="AE150" s="62">
        <v>0</v>
      </c>
      <c r="AF150" s="62">
        <v>0</v>
      </c>
      <c r="AG150" s="62">
        <v>0</v>
      </c>
      <c r="AH150" s="62"/>
      <c r="AI150" s="62">
        <v>-229539.21548148213</v>
      </c>
      <c r="AJ150" s="62">
        <v>-128445.36548148211</v>
      </c>
      <c r="AK150" s="62">
        <v>-116393.16427407469</v>
      </c>
      <c r="AL150" s="62">
        <v>-42358.214000000342</v>
      </c>
      <c r="AM150" s="62">
        <v>0</v>
      </c>
    </row>
    <row r="151" spans="1:39">
      <c r="A151" s="9">
        <v>91317</v>
      </c>
      <c r="B151" s="10" t="s">
        <v>1531</v>
      </c>
      <c r="C151" s="60">
        <v>1.016E-4</v>
      </c>
      <c r="E151" s="62">
        <v>11089.454610928406</v>
      </c>
      <c r="F151" s="62">
        <v>48462.598771924255</v>
      </c>
      <c r="G151" s="62">
        <v>25111.112167489719</v>
      </c>
      <c r="H151" s="62">
        <v>-8862.048799999995</v>
      </c>
      <c r="I151" s="62">
        <v>0</v>
      </c>
      <c r="J151" s="62"/>
      <c r="K151" s="62">
        <v>-611.32720000000006</v>
      </c>
      <c r="L151" s="62">
        <v>1286.8656000000001</v>
      </c>
      <c r="M151" s="62">
        <v>2387.8032000000003</v>
      </c>
      <c r="N151" s="62">
        <v>1484.884</v>
      </c>
      <c r="O151" s="62">
        <v>0</v>
      </c>
      <c r="P151" s="62"/>
      <c r="Q151" s="62">
        <v>2236.7240000000002</v>
      </c>
      <c r="R151" s="62">
        <v>37108.383999999998</v>
      </c>
      <c r="S151" s="62">
        <v>14199.8192</v>
      </c>
      <c r="T151" s="62">
        <v>-15858.134400000001</v>
      </c>
      <c r="U151" s="62">
        <v>0</v>
      </c>
      <c r="V151" s="62"/>
      <c r="W151" s="62">
        <v>6632.1432000000004</v>
      </c>
      <c r="X151" s="62">
        <v>6632.1432000000004</v>
      </c>
      <c r="Y151" s="62">
        <v>6096.6095999999998</v>
      </c>
      <c r="Z151" s="62">
        <v>2806.192</v>
      </c>
      <c r="AA151" s="62">
        <v>0</v>
      </c>
      <c r="AB151" s="62"/>
      <c r="AC151" s="62">
        <v>3989.8909278008323</v>
      </c>
      <c r="AD151" s="62">
        <v>3758.612288796684</v>
      </c>
      <c r="AE151" s="62">
        <v>2705.0096000000062</v>
      </c>
      <c r="AF151" s="62">
        <v>2705.0096000000062</v>
      </c>
      <c r="AG151" s="62">
        <v>0</v>
      </c>
      <c r="AH151" s="62"/>
      <c r="AI151" s="62">
        <v>-1157.9763168724276</v>
      </c>
      <c r="AJ151" s="62">
        <v>-323.40631687242745</v>
      </c>
      <c r="AK151" s="62">
        <v>-278.1294325102877</v>
      </c>
      <c r="AL151" s="62">
        <v>0</v>
      </c>
      <c r="AM151" s="62">
        <v>0</v>
      </c>
    </row>
    <row r="152" spans="1:39">
      <c r="A152" s="9">
        <v>91321</v>
      </c>
      <c r="B152" s="10" t="s">
        <v>1532</v>
      </c>
      <c r="C152" s="60">
        <v>4.2799999999999997E-5</v>
      </c>
      <c r="E152" s="62">
        <v>6910.4111961340805</v>
      </c>
      <c r="F152" s="62">
        <v>22293.775544681797</v>
      </c>
      <c r="G152" s="62">
        <v>14383.406136625517</v>
      </c>
      <c r="H152" s="62">
        <v>-1225.7987999999968</v>
      </c>
      <c r="I152" s="62">
        <v>0</v>
      </c>
      <c r="J152" s="62"/>
      <c r="K152" s="62">
        <v>-257.52760000000001</v>
      </c>
      <c r="L152" s="62">
        <v>542.10479999999995</v>
      </c>
      <c r="M152" s="62">
        <v>1005.8856</v>
      </c>
      <c r="N152" s="62">
        <v>625.52199999999993</v>
      </c>
      <c r="O152" s="62">
        <v>0</v>
      </c>
      <c r="P152" s="62"/>
      <c r="Q152" s="62">
        <v>942.24199999999996</v>
      </c>
      <c r="R152" s="62">
        <v>15632.271999999999</v>
      </c>
      <c r="S152" s="62">
        <v>5981.8135999999995</v>
      </c>
      <c r="T152" s="62">
        <v>-6680.3951999999999</v>
      </c>
      <c r="U152" s="62">
        <v>0</v>
      </c>
      <c r="V152" s="62"/>
      <c r="W152" s="62">
        <v>2793.8555999999999</v>
      </c>
      <c r="X152" s="62">
        <v>2793.8555999999999</v>
      </c>
      <c r="Y152" s="62">
        <v>2568.2567999999997</v>
      </c>
      <c r="Z152" s="62">
        <v>1182.136</v>
      </c>
      <c r="AA152" s="62">
        <v>0</v>
      </c>
      <c r="AB152" s="62"/>
      <c r="AC152" s="62">
        <v>5497.7964658436258</v>
      </c>
      <c r="AD152" s="62">
        <v>5019.6264658436257</v>
      </c>
      <c r="AE152" s="62">
        <v>4827.450136625519</v>
      </c>
      <c r="AF152" s="62">
        <v>3646.9384000000027</v>
      </c>
      <c r="AG152" s="62">
        <v>0</v>
      </c>
      <c r="AH152" s="62"/>
      <c r="AI152" s="62">
        <v>-2065.9552697095442</v>
      </c>
      <c r="AJ152" s="62">
        <v>-1694.0833211618267</v>
      </c>
      <c r="AK152" s="62">
        <v>0</v>
      </c>
      <c r="AL152" s="62">
        <v>0</v>
      </c>
      <c r="AM152" s="62">
        <v>0</v>
      </c>
    </row>
    <row r="153" spans="1:39">
      <c r="A153" s="9">
        <v>91327</v>
      </c>
      <c r="B153" s="10" t="s">
        <v>1533</v>
      </c>
      <c r="C153" s="60">
        <v>8.1999999999999994E-6</v>
      </c>
      <c r="E153" s="62">
        <v>185.10324850981078</v>
      </c>
      <c r="F153" s="62">
        <v>3143.2255788002667</v>
      </c>
      <c r="G153" s="62">
        <v>1482.1431217283953</v>
      </c>
      <c r="H153" s="62">
        <v>-1139.5468399999995</v>
      </c>
      <c r="I153" s="62">
        <v>0</v>
      </c>
      <c r="J153" s="62"/>
      <c r="K153" s="62">
        <v>-49.339399999999998</v>
      </c>
      <c r="L153" s="62">
        <v>103.8612</v>
      </c>
      <c r="M153" s="62">
        <v>192.71639999999999</v>
      </c>
      <c r="N153" s="62">
        <v>119.84299999999999</v>
      </c>
      <c r="O153" s="62">
        <v>0</v>
      </c>
      <c r="P153" s="62"/>
      <c r="Q153" s="62">
        <v>180.523</v>
      </c>
      <c r="R153" s="62">
        <v>2994.9679999999998</v>
      </c>
      <c r="S153" s="62">
        <v>1146.0483999999999</v>
      </c>
      <c r="T153" s="62">
        <v>-1279.8887999999999</v>
      </c>
      <c r="U153" s="62">
        <v>0</v>
      </c>
      <c r="V153" s="62"/>
      <c r="W153" s="62">
        <v>535.27139999999997</v>
      </c>
      <c r="X153" s="62">
        <v>535.27139999999997</v>
      </c>
      <c r="Y153" s="62">
        <v>492.04919999999998</v>
      </c>
      <c r="Z153" s="62">
        <v>226.48399999999998</v>
      </c>
      <c r="AA153" s="62">
        <v>0</v>
      </c>
      <c r="AB153" s="62"/>
      <c r="AC153" s="62">
        <v>35.640000000000008</v>
      </c>
      <c r="AD153" s="62">
        <v>0</v>
      </c>
      <c r="AE153" s="62">
        <v>0</v>
      </c>
      <c r="AF153" s="62">
        <v>0</v>
      </c>
      <c r="AG153" s="62">
        <v>0</v>
      </c>
      <c r="AH153" s="62"/>
      <c r="AI153" s="62">
        <v>-516.99175149018913</v>
      </c>
      <c r="AJ153" s="62">
        <v>-490.87502119973283</v>
      </c>
      <c r="AK153" s="62">
        <v>-348.67087827160447</v>
      </c>
      <c r="AL153" s="62">
        <v>-205.98503999999946</v>
      </c>
      <c r="AM153" s="62">
        <v>0</v>
      </c>
    </row>
    <row r="154" spans="1:39">
      <c r="A154" s="9">
        <v>91331</v>
      </c>
      <c r="B154" s="10" t="s">
        <v>1534</v>
      </c>
      <c r="C154" s="60">
        <v>3.0033E-3</v>
      </c>
      <c r="E154" s="62">
        <v>68295.417742262391</v>
      </c>
      <c r="F154" s="62">
        <v>1233079.0973679884</v>
      </c>
      <c r="G154" s="62">
        <v>613374.38297037035</v>
      </c>
      <c r="H154" s="62">
        <v>-353970.60649999994</v>
      </c>
      <c r="I154" s="62">
        <v>0</v>
      </c>
      <c r="J154" s="62"/>
      <c r="K154" s="62">
        <v>-18070.856100000001</v>
      </c>
      <c r="L154" s="62">
        <v>38039.7978</v>
      </c>
      <c r="M154" s="62">
        <v>70583.556599999996</v>
      </c>
      <c r="N154" s="62">
        <v>43893.229500000001</v>
      </c>
      <c r="O154" s="62">
        <v>0</v>
      </c>
      <c r="P154" s="62"/>
      <c r="Q154" s="62">
        <v>66117.6495</v>
      </c>
      <c r="R154" s="62">
        <v>1096925.2919999999</v>
      </c>
      <c r="S154" s="62">
        <v>419747.21460000001</v>
      </c>
      <c r="T154" s="62">
        <v>-468767.0772</v>
      </c>
      <c r="U154" s="62">
        <v>0</v>
      </c>
      <c r="V154" s="62"/>
      <c r="W154" s="62">
        <v>196046.41409999999</v>
      </c>
      <c r="X154" s="62">
        <v>196046.41409999999</v>
      </c>
      <c r="Y154" s="62">
        <v>180216.01980000001</v>
      </c>
      <c r="Z154" s="62">
        <v>82951.145999999993</v>
      </c>
      <c r="AA154" s="62">
        <v>0</v>
      </c>
      <c r="AB154" s="62"/>
      <c r="AC154" s="62">
        <v>0</v>
      </c>
      <c r="AD154" s="62">
        <v>0</v>
      </c>
      <c r="AE154" s="62">
        <v>0</v>
      </c>
      <c r="AF154" s="62">
        <v>0</v>
      </c>
      <c r="AG154" s="62">
        <v>0</v>
      </c>
      <c r="AH154" s="62"/>
      <c r="AI154" s="62">
        <v>-175797.7897577376</v>
      </c>
      <c r="AJ154" s="62">
        <v>-97932.40653201149</v>
      </c>
      <c r="AK154" s="62">
        <v>-57172.408029629616</v>
      </c>
      <c r="AL154" s="62">
        <v>-12047.904799999949</v>
      </c>
      <c r="AM154" s="62">
        <v>0</v>
      </c>
    </row>
    <row r="155" spans="1:39">
      <c r="A155" s="9">
        <v>91341</v>
      </c>
      <c r="B155" s="10" t="s">
        <v>1535</v>
      </c>
      <c r="C155" s="60">
        <v>2.51E-5</v>
      </c>
      <c r="E155" s="62">
        <v>2976.9804763509392</v>
      </c>
      <c r="F155" s="62">
        <v>11880.476643155916</v>
      </c>
      <c r="G155" s="62">
        <v>6396.1757211522636</v>
      </c>
      <c r="H155" s="62">
        <v>-1536.591819999999</v>
      </c>
      <c r="I155" s="62">
        <v>0</v>
      </c>
      <c r="J155" s="62"/>
      <c r="K155" s="62">
        <v>-151.02670000000001</v>
      </c>
      <c r="L155" s="62">
        <v>317.91660000000002</v>
      </c>
      <c r="M155" s="62">
        <v>589.90020000000004</v>
      </c>
      <c r="N155" s="62">
        <v>366.8365</v>
      </c>
      <c r="O155" s="62">
        <v>0</v>
      </c>
      <c r="P155" s="62"/>
      <c r="Q155" s="62">
        <v>552.57650000000001</v>
      </c>
      <c r="R155" s="62">
        <v>9167.5239999999994</v>
      </c>
      <c r="S155" s="62">
        <v>3508.0262000000002</v>
      </c>
      <c r="T155" s="62">
        <v>-3917.7084</v>
      </c>
      <c r="U155" s="62">
        <v>0</v>
      </c>
      <c r="V155" s="62"/>
      <c r="W155" s="62">
        <v>1638.4527</v>
      </c>
      <c r="X155" s="62">
        <v>1638.4527</v>
      </c>
      <c r="Y155" s="62">
        <v>1506.1505999999999</v>
      </c>
      <c r="Z155" s="62">
        <v>693.26200000000006</v>
      </c>
      <c r="AA155" s="62">
        <v>0</v>
      </c>
      <c r="AB155" s="62"/>
      <c r="AC155" s="62">
        <v>1552.000486639005</v>
      </c>
      <c r="AD155" s="62">
        <v>1371.6058534439842</v>
      </c>
      <c r="AE155" s="62">
        <v>1321.018080000001</v>
      </c>
      <c r="AF155" s="62">
        <v>1321.018080000001</v>
      </c>
      <c r="AG155" s="62">
        <v>0</v>
      </c>
      <c r="AH155" s="62"/>
      <c r="AI155" s="62">
        <v>-615.02251028806597</v>
      </c>
      <c r="AJ155" s="62">
        <v>-615.02251028806597</v>
      </c>
      <c r="AK155" s="62">
        <v>-528.91935884773693</v>
      </c>
      <c r="AL155" s="62">
        <v>0</v>
      </c>
      <c r="AM155" s="62">
        <v>0</v>
      </c>
    </row>
    <row r="156" spans="1:39">
      <c r="A156" s="9">
        <v>91401</v>
      </c>
      <c r="B156" s="10" t="s">
        <v>1536</v>
      </c>
      <c r="C156" s="60">
        <v>3.5885000000000001E-3</v>
      </c>
      <c r="E156" s="62">
        <v>268411.28975310462</v>
      </c>
      <c r="F156" s="62">
        <v>1557908.0687321089</v>
      </c>
      <c r="G156" s="62">
        <v>765045.05877637863</v>
      </c>
      <c r="H156" s="62">
        <v>-442169.98138000013</v>
      </c>
      <c r="I156" s="62">
        <v>0</v>
      </c>
      <c r="J156" s="62"/>
      <c r="K156" s="62">
        <v>-21592.004499999999</v>
      </c>
      <c r="L156" s="62">
        <v>45451.940999999999</v>
      </c>
      <c r="M156" s="62">
        <v>84336.926999999996</v>
      </c>
      <c r="N156" s="62">
        <v>52445.927500000005</v>
      </c>
      <c r="O156" s="62">
        <v>0</v>
      </c>
      <c r="P156" s="62"/>
      <c r="Q156" s="62">
        <v>79000.827499999999</v>
      </c>
      <c r="R156" s="62">
        <v>1310663.74</v>
      </c>
      <c r="S156" s="62">
        <v>501535.93700000003</v>
      </c>
      <c r="T156" s="62">
        <v>-560107.43400000001</v>
      </c>
      <c r="U156" s="62">
        <v>0</v>
      </c>
      <c r="V156" s="62"/>
      <c r="W156" s="62">
        <v>234246.51450000002</v>
      </c>
      <c r="X156" s="62">
        <v>234246.51450000002</v>
      </c>
      <c r="Y156" s="62">
        <v>215331.53100000002</v>
      </c>
      <c r="Z156" s="62">
        <v>99114.37000000001</v>
      </c>
      <c r="AA156" s="62">
        <v>0</v>
      </c>
      <c r="AB156" s="62"/>
      <c r="AC156" s="62">
        <v>13328.205672199201</v>
      </c>
      <c r="AD156" s="62">
        <v>4118.1266512033444</v>
      </c>
      <c r="AE156" s="62">
        <v>0</v>
      </c>
      <c r="AF156" s="62">
        <v>0</v>
      </c>
      <c r="AG156" s="62">
        <v>0</v>
      </c>
      <c r="AH156" s="62"/>
      <c r="AI156" s="62">
        <v>-36572.253419094603</v>
      </c>
      <c r="AJ156" s="62">
        <v>-36572.253419094603</v>
      </c>
      <c r="AK156" s="62">
        <v>-36159.336223621372</v>
      </c>
      <c r="AL156" s="62">
        <v>-33622.844880000077</v>
      </c>
      <c r="AM156" s="62">
        <v>0</v>
      </c>
    </row>
    <row r="157" spans="1:39">
      <c r="A157" s="9">
        <v>91411</v>
      </c>
      <c r="B157" s="10" t="s">
        <v>1537</v>
      </c>
      <c r="C157" s="60">
        <v>3.7829999999999998E-4</v>
      </c>
      <c r="E157" s="62">
        <v>38526.043489892574</v>
      </c>
      <c r="F157" s="62">
        <v>176634.66917014151</v>
      </c>
      <c r="G157" s="62">
        <v>91846.613968230435</v>
      </c>
      <c r="H157" s="62">
        <v>-40023.716540000001</v>
      </c>
      <c r="I157" s="62">
        <v>0</v>
      </c>
      <c r="J157" s="62"/>
      <c r="K157" s="62">
        <v>-2276.2311</v>
      </c>
      <c r="L157" s="62">
        <v>4791.5477999999994</v>
      </c>
      <c r="M157" s="62">
        <v>8890.8065999999999</v>
      </c>
      <c r="N157" s="62">
        <v>5528.8544999999995</v>
      </c>
      <c r="O157" s="62">
        <v>0</v>
      </c>
      <c r="P157" s="62"/>
      <c r="Q157" s="62">
        <v>8328.2744999999995</v>
      </c>
      <c r="R157" s="62">
        <v>138170.29199999999</v>
      </c>
      <c r="S157" s="62">
        <v>52871.964599999999</v>
      </c>
      <c r="T157" s="62">
        <v>-59046.5772</v>
      </c>
      <c r="U157" s="62">
        <v>0</v>
      </c>
      <c r="V157" s="62"/>
      <c r="W157" s="62">
        <v>24694.289099999998</v>
      </c>
      <c r="X157" s="62">
        <v>24694.289099999998</v>
      </c>
      <c r="Y157" s="62">
        <v>22700.269799999998</v>
      </c>
      <c r="Z157" s="62">
        <v>10448.645999999999</v>
      </c>
      <c r="AA157" s="62">
        <v>0</v>
      </c>
      <c r="AB157" s="62"/>
      <c r="AC157" s="62">
        <v>9173.6309898925792</v>
      </c>
      <c r="AD157" s="62">
        <v>8978.5402701415424</v>
      </c>
      <c r="AE157" s="62">
        <v>7383.5729682304336</v>
      </c>
      <c r="AF157" s="62">
        <v>3045.3601599999934</v>
      </c>
      <c r="AG157" s="62">
        <v>0</v>
      </c>
      <c r="AH157" s="62"/>
      <c r="AI157" s="62">
        <v>-1393.9200000000003</v>
      </c>
      <c r="AJ157" s="62">
        <v>0</v>
      </c>
      <c r="AK157" s="62">
        <v>0</v>
      </c>
      <c r="AL157" s="62">
        <v>0</v>
      </c>
      <c r="AM157" s="62">
        <v>0</v>
      </c>
    </row>
    <row r="158" spans="1:39">
      <c r="A158" s="9">
        <v>91417</v>
      </c>
      <c r="B158" s="10" t="s">
        <v>1538</v>
      </c>
      <c r="C158" s="60">
        <v>9.3000000000000007E-6</v>
      </c>
      <c r="E158" s="62">
        <v>2555.2388885702571</v>
      </c>
      <c r="F158" s="62">
        <v>4435.0800321387223</v>
      </c>
      <c r="G158" s="62">
        <v>2248.3215108641971</v>
      </c>
      <c r="H158" s="62">
        <v>-955.51802000000055</v>
      </c>
      <c r="I158" s="62">
        <v>0</v>
      </c>
      <c r="J158" s="62"/>
      <c r="K158" s="62">
        <v>-55.958100000000002</v>
      </c>
      <c r="L158" s="62">
        <v>117.7938</v>
      </c>
      <c r="M158" s="62">
        <v>218.5686</v>
      </c>
      <c r="N158" s="62">
        <v>135.9195</v>
      </c>
      <c r="O158" s="62">
        <v>0</v>
      </c>
      <c r="P158" s="62"/>
      <c r="Q158" s="62">
        <v>204.73950000000002</v>
      </c>
      <c r="R158" s="62">
        <v>3396.7320000000004</v>
      </c>
      <c r="S158" s="62">
        <v>1299.7866000000001</v>
      </c>
      <c r="T158" s="62">
        <v>-1451.5812000000001</v>
      </c>
      <c r="U158" s="62">
        <v>0</v>
      </c>
      <c r="V158" s="62"/>
      <c r="W158" s="62">
        <v>607.0761</v>
      </c>
      <c r="X158" s="62">
        <v>607.0761</v>
      </c>
      <c r="Y158" s="62">
        <v>558.05580000000009</v>
      </c>
      <c r="Z158" s="62">
        <v>256.86600000000004</v>
      </c>
      <c r="AA158" s="62">
        <v>0</v>
      </c>
      <c r="AB158" s="62"/>
      <c r="AC158" s="62">
        <v>1799.3813885702571</v>
      </c>
      <c r="AD158" s="62">
        <v>313.47813213872166</v>
      </c>
      <c r="AE158" s="62">
        <v>171.91051086419685</v>
      </c>
      <c r="AF158" s="62">
        <v>103.27767999999959</v>
      </c>
      <c r="AG158" s="62">
        <v>0</v>
      </c>
      <c r="AH158" s="62"/>
      <c r="AI158" s="62">
        <v>0</v>
      </c>
      <c r="AJ158" s="62">
        <v>0</v>
      </c>
      <c r="AK158" s="62">
        <v>0</v>
      </c>
      <c r="AL158" s="62">
        <v>0</v>
      </c>
      <c r="AM158" s="62">
        <v>0</v>
      </c>
    </row>
    <row r="159" spans="1:39">
      <c r="A159" s="9">
        <v>91421</v>
      </c>
      <c r="B159" s="10" t="s">
        <v>1539</v>
      </c>
      <c r="C159" s="60">
        <v>6.9499999999999995E-5</v>
      </c>
      <c r="E159" s="62">
        <v>6001.1233909488938</v>
      </c>
      <c r="F159" s="62">
        <v>30169.178939496607</v>
      </c>
      <c r="G159" s="62">
        <v>16227.025557366254</v>
      </c>
      <c r="H159" s="62">
        <v>-7147.0022199999994</v>
      </c>
      <c r="I159" s="62">
        <v>0</v>
      </c>
      <c r="J159" s="62"/>
      <c r="K159" s="62">
        <v>-418.18149999999997</v>
      </c>
      <c r="L159" s="62">
        <v>880.28699999999992</v>
      </c>
      <c r="M159" s="62">
        <v>1633.3889999999999</v>
      </c>
      <c r="N159" s="62">
        <v>1015.7424999999999</v>
      </c>
      <c r="O159" s="62">
        <v>0</v>
      </c>
      <c r="P159" s="62"/>
      <c r="Q159" s="62">
        <v>1530.0424999999998</v>
      </c>
      <c r="R159" s="62">
        <v>25384.179999999997</v>
      </c>
      <c r="S159" s="62">
        <v>9713.4589999999989</v>
      </c>
      <c r="T159" s="62">
        <v>-10847.838</v>
      </c>
      <c r="U159" s="62">
        <v>0</v>
      </c>
      <c r="V159" s="62"/>
      <c r="W159" s="62">
        <v>4536.7514999999994</v>
      </c>
      <c r="X159" s="62">
        <v>4536.7514999999994</v>
      </c>
      <c r="Y159" s="62">
        <v>4170.4169999999995</v>
      </c>
      <c r="Z159" s="62">
        <v>1919.59</v>
      </c>
      <c r="AA159" s="62">
        <v>0</v>
      </c>
      <c r="AB159" s="62"/>
      <c r="AC159" s="62">
        <v>2042.6032800000003</v>
      </c>
      <c r="AD159" s="62">
        <v>765.50328000000002</v>
      </c>
      <c r="AE159" s="62">
        <v>765.50328000000002</v>
      </c>
      <c r="AF159" s="62">
        <v>765.50328000000002</v>
      </c>
      <c r="AG159" s="62">
        <v>0</v>
      </c>
      <c r="AH159" s="62"/>
      <c r="AI159" s="62">
        <v>-1690.0923890511058</v>
      </c>
      <c r="AJ159" s="62">
        <v>-1397.5428405033886</v>
      </c>
      <c r="AK159" s="62">
        <v>-55.74272263374376</v>
      </c>
      <c r="AL159" s="62">
        <v>0</v>
      </c>
      <c r="AM159" s="62">
        <v>0</v>
      </c>
    </row>
    <row r="160" spans="1:39">
      <c r="A160" s="9">
        <v>91423</v>
      </c>
      <c r="B160" s="10" t="s">
        <v>1540</v>
      </c>
      <c r="C160" s="60">
        <v>5.38E-5</v>
      </c>
      <c r="E160" s="62">
        <v>7600.8161970855326</v>
      </c>
      <c r="F160" s="62">
        <v>28486.625267624953</v>
      </c>
      <c r="G160" s="62">
        <v>13854.019455226338</v>
      </c>
      <c r="H160" s="62">
        <v>-4409.8963599999988</v>
      </c>
      <c r="I160" s="62">
        <v>0</v>
      </c>
      <c r="J160" s="62"/>
      <c r="K160" s="62">
        <v>-323.71460000000002</v>
      </c>
      <c r="L160" s="62">
        <v>681.43079999999998</v>
      </c>
      <c r="M160" s="62">
        <v>1264.4076</v>
      </c>
      <c r="N160" s="62">
        <v>786.28700000000003</v>
      </c>
      <c r="O160" s="62">
        <v>0</v>
      </c>
      <c r="P160" s="62"/>
      <c r="Q160" s="62">
        <v>1184.4069999999999</v>
      </c>
      <c r="R160" s="62">
        <v>19649.912</v>
      </c>
      <c r="S160" s="62">
        <v>7519.1956</v>
      </c>
      <c r="T160" s="62">
        <v>-8397.3191999999999</v>
      </c>
      <c r="U160" s="62">
        <v>0</v>
      </c>
      <c r="V160" s="62"/>
      <c r="W160" s="62">
        <v>3511.9025999999999</v>
      </c>
      <c r="X160" s="62">
        <v>3511.9025999999999</v>
      </c>
      <c r="Y160" s="62">
        <v>3228.3227999999999</v>
      </c>
      <c r="Z160" s="62">
        <v>1485.9559999999999</v>
      </c>
      <c r="AA160" s="62">
        <v>0</v>
      </c>
      <c r="AB160" s="62"/>
      <c r="AC160" s="62">
        <v>5253.7611970855341</v>
      </c>
      <c r="AD160" s="62">
        <v>4643.3798676249544</v>
      </c>
      <c r="AE160" s="62">
        <v>1842.0934552263388</v>
      </c>
      <c r="AF160" s="62">
        <v>1715.1798400000009</v>
      </c>
      <c r="AG160" s="62">
        <v>0</v>
      </c>
      <c r="AH160" s="62"/>
      <c r="AI160" s="62">
        <v>-2025.5400000000004</v>
      </c>
      <c r="AJ160" s="62">
        <v>0</v>
      </c>
      <c r="AK160" s="62">
        <v>0</v>
      </c>
      <c r="AL160" s="62">
        <v>0</v>
      </c>
      <c r="AM160" s="62">
        <v>0</v>
      </c>
    </row>
    <row r="161" spans="1:39">
      <c r="A161" s="9">
        <v>91431</v>
      </c>
      <c r="B161" s="10" t="s">
        <v>1541</v>
      </c>
      <c r="C161" s="60">
        <v>1.562E-4</v>
      </c>
      <c r="E161" s="62">
        <v>16723.41779660742</v>
      </c>
      <c r="F161" s="62">
        <v>73317.549837603277</v>
      </c>
      <c r="G161" s="62">
        <v>38538.802024773671</v>
      </c>
      <c r="H161" s="62">
        <v>-13640.592359999995</v>
      </c>
      <c r="I161" s="62">
        <v>0</v>
      </c>
      <c r="J161" s="62"/>
      <c r="K161" s="62">
        <v>-939.85540000000003</v>
      </c>
      <c r="L161" s="62">
        <v>1978.4292</v>
      </c>
      <c r="M161" s="62">
        <v>3671.0124000000001</v>
      </c>
      <c r="N161" s="62">
        <v>2282.8629999999998</v>
      </c>
      <c r="O161" s="62">
        <v>0</v>
      </c>
      <c r="P161" s="62"/>
      <c r="Q161" s="62">
        <v>3438.7429999999999</v>
      </c>
      <c r="R161" s="62">
        <v>57050.487999999998</v>
      </c>
      <c r="S161" s="62">
        <v>21830.824400000001</v>
      </c>
      <c r="T161" s="62">
        <v>-24380.320800000001</v>
      </c>
      <c r="U161" s="62">
        <v>0</v>
      </c>
      <c r="V161" s="62"/>
      <c r="W161" s="62">
        <v>10196.267400000001</v>
      </c>
      <c r="X161" s="62">
        <v>10196.267400000001</v>
      </c>
      <c r="Y161" s="62">
        <v>9372.9372000000003</v>
      </c>
      <c r="Z161" s="62">
        <v>4314.2439999999997</v>
      </c>
      <c r="AA161" s="62">
        <v>0</v>
      </c>
      <c r="AB161" s="62"/>
      <c r="AC161" s="62">
        <v>4759.9967678008343</v>
      </c>
      <c r="AD161" s="62">
        <v>4648.8692087966847</v>
      </c>
      <c r="AE161" s="62">
        <v>4142.6214400000054</v>
      </c>
      <c r="AF161" s="62">
        <v>4142.6214400000054</v>
      </c>
      <c r="AG161" s="62">
        <v>0</v>
      </c>
      <c r="AH161" s="62"/>
      <c r="AI161" s="62">
        <v>-731.73397119341371</v>
      </c>
      <c r="AJ161" s="62">
        <v>-556.50397119341369</v>
      </c>
      <c r="AK161" s="62">
        <v>-478.59341522633594</v>
      </c>
      <c r="AL161" s="62">
        <v>0</v>
      </c>
      <c r="AM161" s="62">
        <v>0</v>
      </c>
    </row>
    <row r="162" spans="1:39">
      <c r="A162" s="9">
        <v>91441</v>
      </c>
      <c r="B162" s="10" t="s">
        <v>1542</v>
      </c>
      <c r="C162" s="60">
        <v>9.5140000000000003E-4</v>
      </c>
      <c r="E162" s="62">
        <v>37552.697627406371</v>
      </c>
      <c r="F162" s="62">
        <v>399990.49327802879</v>
      </c>
      <c r="G162" s="62">
        <v>205759.35280987655</v>
      </c>
      <c r="H162" s="62">
        <v>-96577.481</v>
      </c>
      <c r="I162" s="62">
        <v>0</v>
      </c>
      <c r="J162" s="62"/>
      <c r="K162" s="62">
        <v>-5724.5738000000001</v>
      </c>
      <c r="L162" s="62">
        <v>12050.4324</v>
      </c>
      <c r="M162" s="62">
        <v>22359.802800000001</v>
      </c>
      <c r="N162" s="62">
        <v>13904.711000000001</v>
      </c>
      <c r="O162" s="62">
        <v>0</v>
      </c>
      <c r="P162" s="62"/>
      <c r="Q162" s="62">
        <v>20945.071</v>
      </c>
      <c r="R162" s="62">
        <v>347489.33600000001</v>
      </c>
      <c r="S162" s="62">
        <v>132969.5668</v>
      </c>
      <c r="T162" s="62">
        <v>-148498.31760000001</v>
      </c>
      <c r="U162" s="62">
        <v>0</v>
      </c>
      <c r="V162" s="62"/>
      <c r="W162" s="62">
        <v>62104.537800000006</v>
      </c>
      <c r="X162" s="62">
        <v>62104.537800000006</v>
      </c>
      <c r="Y162" s="62">
        <v>57089.708400000003</v>
      </c>
      <c r="Z162" s="62">
        <v>26277.668000000001</v>
      </c>
      <c r="AA162" s="62">
        <v>0</v>
      </c>
      <c r="AB162" s="62"/>
      <c r="AC162" s="62">
        <v>11738.457600000002</v>
      </c>
      <c r="AD162" s="62">
        <v>11738.457600000002</v>
      </c>
      <c r="AE162" s="62">
        <v>11738.457600000002</v>
      </c>
      <c r="AF162" s="62">
        <v>11738.457600000002</v>
      </c>
      <c r="AG162" s="62">
        <v>0</v>
      </c>
      <c r="AH162" s="62"/>
      <c r="AI162" s="62">
        <v>-51510.794972593627</v>
      </c>
      <c r="AJ162" s="62">
        <v>-33392.270521971215</v>
      </c>
      <c r="AK162" s="62">
        <v>-18398.182790123457</v>
      </c>
      <c r="AL162" s="62">
        <v>0</v>
      </c>
      <c r="AM162" s="62">
        <v>0</v>
      </c>
    </row>
    <row r="163" spans="1:39">
      <c r="A163" s="9">
        <v>91451</v>
      </c>
      <c r="B163" s="10" t="s">
        <v>1543</v>
      </c>
      <c r="C163" s="60">
        <v>1.4760000000000001E-3</v>
      </c>
      <c r="E163" s="62">
        <v>35132.857978273794</v>
      </c>
      <c r="F163" s="62">
        <v>596152.637997029</v>
      </c>
      <c r="G163" s="62">
        <v>288470.42294790124</v>
      </c>
      <c r="H163" s="62">
        <v>-184083.97672000006</v>
      </c>
      <c r="I163" s="62">
        <v>0</v>
      </c>
      <c r="J163" s="62"/>
      <c r="K163" s="62">
        <v>-8881.0920000000006</v>
      </c>
      <c r="L163" s="62">
        <v>18695.016</v>
      </c>
      <c r="M163" s="62">
        <v>34688.952000000005</v>
      </c>
      <c r="N163" s="62">
        <v>21571.74</v>
      </c>
      <c r="O163" s="62">
        <v>0</v>
      </c>
      <c r="P163" s="62"/>
      <c r="Q163" s="62">
        <v>32494.140000000003</v>
      </c>
      <c r="R163" s="62">
        <v>539094.24</v>
      </c>
      <c r="S163" s="62">
        <v>206288.712</v>
      </c>
      <c r="T163" s="62">
        <v>-230379.98400000003</v>
      </c>
      <c r="U163" s="62">
        <v>0</v>
      </c>
      <c r="V163" s="62"/>
      <c r="W163" s="62">
        <v>96348.852000000014</v>
      </c>
      <c r="X163" s="62">
        <v>96348.852000000014</v>
      </c>
      <c r="Y163" s="62">
        <v>88568.856</v>
      </c>
      <c r="Z163" s="62">
        <v>40767.120000000003</v>
      </c>
      <c r="AA163" s="62">
        <v>0</v>
      </c>
      <c r="AB163" s="62"/>
      <c r="AC163" s="62">
        <v>0</v>
      </c>
      <c r="AD163" s="62">
        <v>0</v>
      </c>
      <c r="AE163" s="62">
        <v>0</v>
      </c>
      <c r="AF163" s="62">
        <v>0</v>
      </c>
      <c r="AG163" s="62">
        <v>0</v>
      </c>
      <c r="AH163" s="62"/>
      <c r="AI163" s="62">
        <v>-84829.042021726229</v>
      </c>
      <c r="AJ163" s="62">
        <v>-57985.470002971051</v>
      </c>
      <c r="AK163" s="62">
        <v>-41076.097052098754</v>
      </c>
      <c r="AL163" s="62">
        <v>-16042.852720000014</v>
      </c>
      <c r="AM163" s="62">
        <v>0</v>
      </c>
    </row>
    <row r="164" spans="1:39">
      <c r="A164" s="9">
        <v>91457</v>
      </c>
      <c r="B164" s="10" t="s">
        <v>1544</v>
      </c>
      <c r="C164" s="60">
        <v>2.23E-5</v>
      </c>
      <c r="E164" s="62">
        <v>12738.678249590699</v>
      </c>
      <c r="F164" s="62">
        <v>19868.359173242148</v>
      </c>
      <c r="G164" s="62">
        <v>11425.178942716051</v>
      </c>
      <c r="H164" s="62">
        <v>960.90385999999944</v>
      </c>
      <c r="I164" s="62">
        <v>0</v>
      </c>
      <c r="J164" s="62"/>
      <c r="K164" s="62">
        <v>-134.17910000000001</v>
      </c>
      <c r="L164" s="62">
        <v>282.45179999999999</v>
      </c>
      <c r="M164" s="62">
        <v>524.09460000000001</v>
      </c>
      <c r="N164" s="62">
        <v>325.91449999999998</v>
      </c>
      <c r="O164" s="62">
        <v>0</v>
      </c>
      <c r="P164" s="62"/>
      <c r="Q164" s="62">
        <v>490.93450000000001</v>
      </c>
      <c r="R164" s="62">
        <v>8144.8519999999999</v>
      </c>
      <c r="S164" s="62">
        <v>3116.6925999999999</v>
      </c>
      <c r="T164" s="62">
        <v>-3480.6732000000002</v>
      </c>
      <c r="U164" s="62">
        <v>0</v>
      </c>
      <c r="V164" s="62"/>
      <c r="W164" s="62">
        <v>1455.6771000000001</v>
      </c>
      <c r="X164" s="62">
        <v>1455.6771000000001</v>
      </c>
      <c r="Y164" s="62">
        <v>1338.1338000000001</v>
      </c>
      <c r="Z164" s="62">
        <v>615.92600000000004</v>
      </c>
      <c r="AA164" s="62">
        <v>0</v>
      </c>
      <c r="AB164" s="62"/>
      <c r="AC164" s="62">
        <v>10926.245749590698</v>
      </c>
      <c r="AD164" s="62">
        <v>9985.3782732421496</v>
      </c>
      <c r="AE164" s="62">
        <v>6446.2579427160508</v>
      </c>
      <c r="AF164" s="62">
        <v>3499.7365599999998</v>
      </c>
      <c r="AG164" s="62">
        <v>0</v>
      </c>
      <c r="AH164" s="62"/>
      <c r="AI164" s="62">
        <v>0</v>
      </c>
      <c r="AJ164" s="62">
        <v>0</v>
      </c>
      <c r="AK164" s="62">
        <v>0</v>
      </c>
      <c r="AL164" s="62">
        <v>0</v>
      </c>
      <c r="AM164" s="62">
        <v>0</v>
      </c>
    </row>
    <row r="165" spans="1:39">
      <c r="A165" s="9">
        <v>91461</v>
      </c>
      <c r="B165" s="10" t="s">
        <v>1545</v>
      </c>
      <c r="C165" s="60">
        <v>9.3999999999999998E-6</v>
      </c>
      <c r="E165" s="62">
        <v>1707.4076029561338</v>
      </c>
      <c r="F165" s="62">
        <v>4834.0522071055111</v>
      </c>
      <c r="G165" s="62">
        <v>2061.204884855968</v>
      </c>
      <c r="H165" s="62">
        <v>-1229.4867599999991</v>
      </c>
      <c r="I165" s="62">
        <v>0</v>
      </c>
      <c r="J165" s="62"/>
      <c r="K165" s="62">
        <v>-56.559799999999996</v>
      </c>
      <c r="L165" s="62">
        <v>119.0604</v>
      </c>
      <c r="M165" s="62">
        <v>220.9188</v>
      </c>
      <c r="N165" s="62">
        <v>137.381</v>
      </c>
      <c r="O165" s="62">
        <v>0</v>
      </c>
      <c r="P165" s="62"/>
      <c r="Q165" s="62">
        <v>206.941</v>
      </c>
      <c r="R165" s="62">
        <v>3433.2559999999999</v>
      </c>
      <c r="S165" s="62">
        <v>1313.7628</v>
      </c>
      <c r="T165" s="62">
        <v>-1467.1895999999999</v>
      </c>
      <c r="U165" s="62">
        <v>0</v>
      </c>
      <c r="V165" s="62"/>
      <c r="W165" s="62">
        <v>613.60379999999998</v>
      </c>
      <c r="X165" s="62">
        <v>613.60379999999998</v>
      </c>
      <c r="Y165" s="62">
        <v>564.05639999999994</v>
      </c>
      <c r="Z165" s="62">
        <v>259.62799999999999</v>
      </c>
      <c r="AA165" s="62">
        <v>0</v>
      </c>
      <c r="AB165" s="62"/>
      <c r="AC165" s="62">
        <v>1102.7287629561329</v>
      </c>
      <c r="AD165" s="62">
        <v>827.43816710551062</v>
      </c>
      <c r="AE165" s="62">
        <v>121.77304485596714</v>
      </c>
      <c r="AF165" s="62">
        <v>0</v>
      </c>
      <c r="AG165" s="62">
        <v>0</v>
      </c>
      <c r="AH165" s="62"/>
      <c r="AI165" s="62">
        <v>-159.30615999999924</v>
      </c>
      <c r="AJ165" s="62">
        <v>-159.30615999999924</v>
      </c>
      <c r="AK165" s="62">
        <v>-159.30615999999924</v>
      </c>
      <c r="AL165" s="62">
        <v>-159.30615999999924</v>
      </c>
      <c r="AM165" s="62">
        <v>0</v>
      </c>
    </row>
    <row r="166" spans="1:39">
      <c r="A166" s="9">
        <v>91501</v>
      </c>
      <c r="B166" s="10" t="s">
        <v>1546</v>
      </c>
      <c r="C166" s="60">
        <v>4.9700000000000005E-4</v>
      </c>
      <c r="E166" s="62">
        <v>55864.033892877793</v>
      </c>
      <c r="F166" s="62">
        <v>223302.7688696413</v>
      </c>
      <c r="G166" s="62">
        <v>111693.1553670782</v>
      </c>
      <c r="H166" s="62">
        <v>-58313.345800000025</v>
      </c>
      <c r="I166" s="62">
        <v>0</v>
      </c>
      <c r="J166" s="62"/>
      <c r="K166" s="62">
        <v>-2990.4490000000001</v>
      </c>
      <c r="L166" s="62">
        <v>6295.0020000000004</v>
      </c>
      <c r="M166" s="62">
        <v>11680.494000000001</v>
      </c>
      <c r="N166" s="62">
        <v>7263.6550000000007</v>
      </c>
      <c r="O166" s="62">
        <v>0</v>
      </c>
      <c r="P166" s="62"/>
      <c r="Q166" s="62">
        <v>10941.455000000002</v>
      </c>
      <c r="R166" s="62">
        <v>181524.28000000003</v>
      </c>
      <c r="S166" s="62">
        <v>69461.714000000007</v>
      </c>
      <c r="T166" s="62">
        <v>-77573.748000000007</v>
      </c>
      <c r="U166" s="62">
        <v>0</v>
      </c>
      <c r="V166" s="62"/>
      <c r="W166" s="62">
        <v>32442.669000000002</v>
      </c>
      <c r="X166" s="62">
        <v>32442.669000000002</v>
      </c>
      <c r="Y166" s="62">
        <v>29822.982000000004</v>
      </c>
      <c r="Z166" s="62">
        <v>13727.140000000001</v>
      </c>
      <c r="AA166" s="62">
        <v>0</v>
      </c>
      <c r="AB166" s="62"/>
      <c r="AC166" s="62">
        <v>17200.75169287781</v>
      </c>
      <c r="AD166" s="62">
        <v>4771.2106696412857</v>
      </c>
      <c r="AE166" s="62">
        <v>2458.3581670781959</v>
      </c>
      <c r="AF166" s="62">
        <v>0</v>
      </c>
      <c r="AG166" s="62">
        <v>0</v>
      </c>
      <c r="AH166" s="62"/>
      <c r="AI166" s="62">
        <v>-1730.3928000000187</v>
      </c>
      <c r="AJ166" s="62">
        <v>-1730.3928000000187</v>
      </c>
      <c r="AK166" s="62">
        <v>-1730.3928000000187</v>
      </c>
      <c r="AL166" s="62">
        <v>-1730.3928000000187</v>
      </c>
      <c r="AM166" s="62">
        <v>0</v>
      </c>
    </row>
    <row r="167" spans="1:39">
      <c r="A167" s="9">
        <v>91504</v>
      </c>
      <c r="B167" s="10" t="s">
        <v>1547</v>
      </c>
      <c r="C167" s="60">
        <v>9.7000000000000003E-6</v>
      </c>
      <c r="E167" s="62">
        <v>3386.6244084288719</v>
      </c>
      <c r="F167" s="62">
        <v>6298.0699378894533</v>
      </c>
      <c r="G167" s="62">
        <v>2856.6696227160492</v>
      </c>
      <c r="H167" s="62">
        <v>-772.51866000000086</v>
      </c>
      <c r="I167" s="62">
        <v>0</v>
      </c>
      <c r="J167" s="62"/>
      <c r="K167" s="62">
        <v>-58.364899999999999</v>
      </c>
      <c r="L167" s="62">
        <v>122.86020000000001</v>
      </c>
      <c r="M167" s="62">
        <v>227.96940000000001</v>
      </c>
      <c r="N167" s="62">
        <v>141.7655</v>
      </c>
      <c r="O167" s="62">
        <v>0</v>
      </c>
      <c r="P167" s="62"/>
      <c r="Q167" s="62">
        <v>213.5455</v>
      </c>
      <c r="R167" s="62">
        <v>3542.828</v>
      </c>
      <c r="S167" s="62">
        <v>1355.6913999999999</v>
      </c>
      <c r="T167" s="62">
        <v>-1514.0148000000002</v>
      </c>
      <c r="U167" s="62">
        <v>0</v>
      </c>
      <c r="V167" s="62"/>
      <c r="W167" s="62">
        <v>633.18690000000004</v>
      </c>
      <c r="X167" s="62">
        <v>633.18690000000004</v>
      </c>
      <c r="Y167" s="62">
        <v>582.05820000000006</v>
      </c>
      <c r="Z167" s="62">
        <v>267.91399999999999</v>
      </c>
      <c r="AA167" s="62">
        <v>0</v>
      </c>
      <c r="AB167" s="62"/>
      <c r="AC167" s="62">
        <v>2598.2569084288716</v>
      </c>
      <c r="AD167" s="62">
        <v>1999.1948378894526</v>
      </c>
      <c r="AE167" s="62">
        <v>690.95062271604934</v>
      </c>
      <c r="AF167" s="62">
        <v>331.81663999999932</v>
      </c>
      <c r="AG167" s="62">
        <v>0</v>
      </c>
      <c r="AH167" s="62"/>
      <c r="AI167" s="62">
        <v>0</v>
      </c>
      <c r="AJ167" s="62">
        <v>0</v>
      </c>
      <c r="AK167" s="62">
        <v>0</v>
      </c>
      <c r="AL167" s="62">
        <v>0</v>
      </c>
      <c r="AM167" s="62">
        <v>0</v>
      </c>
    </row>
    <row r="168" spans="1:39">
      <c r="A168" s="9">
        <v>91601</v>
      </c>
      <c r="B168" s="10" t="s">
        <v>1548</v>
      </c>
      <c r="C168" s="60">
        <v>2.8040000000000001E-3</v>
      </c>
      <c r="E168" s="62">
        <v>303717.54672712239</v>
      </c>
      <c r="F168" s="62">
        <v>1284335.0689201516</v>
      </c>
      <c r="G168" s="62">
        <v>646830.86231308617</v>
      </c>
      <c r="H168" s="62">
        <v>-329324.43104000017</v>
      </c>
      <c r="I168" s="62">
        <v>0</v>
      </c>
      <c r="J168" s="62"/>
      <c r="K168" s="62">
        <v>-16871.668000000001</v>
      </c>
      <c r="L168" s="62">
        <v>35515.464</v>
      </c>
      <c r="M168" s="62">
        <v>65899.608000000007</v>
      </c>
      <c r="N168" s="62">
        <v>40980.46</v>
      </c>
      <c r="O168" s="62">
        <v>0</v>
      </c>
      <c r="P168" s="62"/>
      <c r="Q168" s="62">
        <v>61730.060000000005</v>
      </c>
      <c r="R168" s="62">
        <v>1024132.9600000001</v>
      </c>
      <c r="S168" s="62">
        <v>391892.64799999999</v>
      </c>
      <c r="T168" s="62">
        <v>-437659.53600000002</v>
      </c>
      <c r="U168" s="62">
        <v>0</v>
      </c>
      <c r="V168" s="62"/>
      <c r="W168" s="62">
        <v>183036.70800000001</v>
      </c>
      <c r="X168" s="62">
        <v>183036.70800000001</v>
      </c>
      <c r="Y168" s="62">
        <v>168256.82399999999</v>
      </c>
      <c r="Z168" s="62">
        <v>77446.48</v>
      </c>
      <c r="AA168" s="62">
        <v>0</v>
      </c>
      <c r="AB168" s="62"/>
      <c r="AC168" s="62">
        <v>85914.281767122491</v>
      </c>
      <c r="AD168" s="62">
        <v>51741.771960151542</v>
      </c>
      <c r="AE168" s="62">
        <v>30873.617353086389</v>
      </c>
      <c r="AF168" s="62">
        <v>0</v>
      </c>
      <c r="AG168" s="62">
        <v>0</v>
      </c>
      <c r="AH168" s="62"/>
      <c r="AI168" s="62">
        <v>-10091.835040000176</v>
      </c>
      <c r="AJ168" s="62">
        <v>-10091.835040000176</v>
      </c>
      <c r="AK168" s="62">
        <v>-10091.835040000176</v>
      </c>
      <c r="AL168" s="62">
        <v>-10091.835040000176</v>
      </c>
      <c r="AM168" s="62">
        <v>0</v>
      </c>
    </row>
    <row r="169" spans="1:39">
      <c r="A169" s="9">
        <v>91604</v>
      </c>
      <c r="B169" s="10" t="s">
        <v>1549</v>
      </c>
      <c r="C169" s="60">
        <v>8.8499999999999996E-5</v>
      </c>
      <c r="E169" s="62">
        <v>14865.001660525922</v>
      </c>
      <c r="F169" s="62">
        <v>45759.083741023846</v>
      </c>
      <c r="G169" s="62">
        <v>24265.901813497938</v>
      </c>
      <c r="H169" s="62">
        <v>-7815.0607400000026</v>
      </c>
      <c r="I169" s="62">
        <v>0</v>
      </c>
      <c r="J169" s="62"/>
      <c r="K169" s="62">
        <v>-532.50450000000001</v>
      </c>
      <c r="L169" s="62">
        <v>1120.941</v>
      </c>
      <c r="M169" s="62">
        <v>2079.9270000000001</v>
      </c>
      <c r="N169" s="62">
        <v>1293.4275</v>
      </c>
      <c r="O169" s="62">
        <v>0</v>
      </c>
      <c r="P169" s="62"/>
      <c r="Q169" s="62">
        <v>1948.3274999999999</v>
      </c>
      <c r="R169" s="62">
        <v>32323.739999999998</v>
      </c>
      <c r="S169" s="62">
        <v>12368.937</v>
      </c>
      <c r="T169" s="62">
        <v>-13813.433999999999</v>
      </c>
      <c r="U169" s="62">
        <v>0</v>
      </c>
      <c r="V169" s="62"/>
      <c r="W169" s="62">
        <v>5777.0144999999993</v>
      </c>
      <c r="X169" s="62">
        <v>5777.0144999999993</v>
      </c>
      <c r="Y169" s="62">
        <v>5310.5309999999999</v>
      </c>
      <c r="Z169" s="62">
        <v>2444.37</v>
      </c>
      <c r="AA169" s="62">
        <v>0</v>
      </c>
      <c r="AB169" s="62"/>
      <c r="AC169" s="62">
        <v>7672.1641605259219</v>
      </c>
      <c r="AD169" s="62">
        <v>6537.3882410238475</v>
      </c>
      <c r="AE169" s="62">
        <v>4506.5068134979383</v>
      </c>
      <c r="AF169" s="62">
        <v>2260.5757599999984</v>
      </c>
      <c r="AG169" s="62">
        <v>0</v>
      </c>
      <c r="AH169" s="62"/>
      <c r="AI169" s="62">
        <v>0</v>
      </c>
      <c r="AJ169" s="62">
        <v>0</v>
      </c>
      <c r="AK169" s="62">
        <v>0</v>
      </c>
      <c r="AL169" s="62">
        <v>0</v>
      </c>
      <c r="AM169" s="62">
        <v>0</v>
      </c>
    </row>
    <row r="170" spans="1:39">
      <c r="A170" s="9">
        <v>91608</v>
      </c>
      <c r="B170" s="10" t="s">
        <v>1550</v>
      </c>
      <c r="C170" s="60">
        <v>1.5349999999999999E-4</v>
      </c>
      <c r="E170" s="62">
        <v>-421.28586584054938</v>
      </c>
      <c r="F170" s="62">
        <v>56290.378582292222</v>
      </c>
      <c r="G170" s="62">
        <v>32184.690904855961</v>
      </c>
      <c r="H170" s="62">
        <v>-17086.018940000002</v>
      </c>
      <c r="I170" s="62">
        <v>0</v>
      </c>
      <c r="J170" s="62"/>
      <c r="K170" s="62">
        <v>-923.60949999999991</v>
      </c>
      <c r="L170" s="62">
        <v>1944.231</v>
      </c>
      <c r="M170" s="62">
        <v>3607.5569999999998</v>
      </c>
      <c r="N170" s="62">
        <v>2243.4024999999997</v>
      </c>
      <c r="O170" s="62">
        <v>0</v>
      </c>
      <c r="P170" s="62"/>
      <c r="Q170" s="62">
        <v>3379.3024999999998</v>
      </c>
      <c r="R170" s="62">
        <v>56064.34</v>
      </c>
      <c r="S170" s="62">
        <v>21453.466999999997</v>
      </c>
      <c r="T170" s="62">
        <v>-23958.894</v>
      </c>
      <c r="U170" s="62">
        <v>0</v>
      </c>
      <c r="V170" s="62"/>
      <c r="W170" s="62">
        <v>10020.019499999999</v>
      </c>
      <c r="X170" s="62">
        <v>10020.019499999999</v>
      </c>
      <c r="Y170" s="62">
        <v>9210.9210000000003</v>
      </c>
      <c r="Z170" s="62">
        <v>4239.67</v>
      </c>
      <c r="AA170" s="62">
        <v>0</v>
      </c>
      <c r="AB170" s="62"/>
      <c r="AC170" s="62">
        <v>1261.0025599999967</v>
      </c>
      <c r="AD170" s="62">
        <v>389.80255999999645</v>
      </c>
      <c r="AE170" s="62">
        <v>389.80255999999645</v>
      </c>
      <c r="AF170" s="62">
        <v>389.80255999999645</v>
      </c>
      <c r="AG170" s="62">
        <v>0</v>
      </c>
      <c r="AH170" s="62"/>
      <c r="AI170" s="62">
        <v>-14158.000925840544</v>
      </c>
      <c r="AJ170" s="62">
        <v>-12128.014477707768</v>
      </c>
      <c r="AK170" s="62">
        <v>-2477.0566551440334</v>
      </c>
      <c r="AL170" s="62">
        <v>0</v>
      </c>
      <c r="AM170" s="62">
        <v>0</v>
      </c>
    </row>
    <row r="171" spans="1:39">
      <c r="A171" s="9">
        <v>91611</v>
      </c>
      <c r="B171" s="10" t="s">
        <v>1551</v>
      </c>
      <c r="C171" s="60">
        <v>1.4708E-3</v>
      </c>
      <c r="E171" s="62">
        <v>121872.3737359971</v>
      </c>
      <c r="F171" s="62">
        <v>638926.78349773982</v>
      </c>
      <c r="G171" s="62">
        <v>314227.73205061723</v>
      </c>
      <c r="H171" s="62">
        <v>-176719.06080000006</v>
      </c>
      <c r="I171" s="62">
        <v>0</v>
      </c>
      <c r="J171" s="62"/>
      <c r="K171" s="62">
        <v>-8849.8035999999993</v>
      </c>
      <c r="L171" s="62">
        <v>18629.1528</v>
      </c>
      <c r="M171" s="62">
        <v>34566.741600000001</v>
      </c>
      <c r="N171" s="62">
        <v>21495.741999999998</v>
      </c>
      <c r="O171" s="62">
        <v>0</v>
      </c>
      <c r="P171" s="62"/>
      <c r="Q171" s="62">
        <v>32379.662</v>
      </c>
      <c r="R171" s="62">
        <v>537194.99199999997</v>
      </c>
      <c r="S171" s="62">
        <v>205561.94959999999</v>
      </c>
      <c r="T171" s="62">
        <v>-229568.34719999999</v>
      </c>
      <c r="U171" s="62">
        <v>0</v>
      </c>
      <c r="V171" s="62"/>
      <c r="W171" s="62">
        <v>96009.411599999992</v>
      </c>
      <c r="X171" s="62">
        <v>96009.411599999992</v>
      </c>
      <c r="Y171" s="62">
        <v>88256.824800000002</v>
      </c>
      <c r="Z171" s="62">
        <v>40623.495999999999</v>
      </c>
      <c r="AA171" s="62">
        <v>0</v>
      </c>
      <c r="AB171" s="62"/>
      <c r="AC171" s="62">
        <v>17286.581323651451</v>
      </c>
      <c r="AD171" s="62">
        <v>2046.7046853941877</v>
      </c>
      <c r="AE171" s="62">
        <v>0</v>
      </c>
      <c r="AF171" s="62">
        <v>0</v>
      </c>
      <c r="AG171" s="62">
        <v>0</v>
      </c>
      <c r="AH171" s="62"/>
      <c r="AI171" s="62">
        <v>-14953.47758765435</v>
      </c>
      <c r="AJ171" s="62">
        <v>-14953.47758765435</v>
      </c>
      <c r="AK171" s="62">
        <v>-14157.783949382751</v>
      </c>
      <c r="AL171" s="62">
        <v>-9269.9516000000531</v>
      </c>
      <c r="AM171" s="62">
        <v>0</v>
      </c>
    </row>
    <row r="172" spans="1:39">
      <c r="A172" s="9">
        <v>91621</v>
      </c>
      <c r="B172" s="10" t="s">
        <v>1552</v>
      </c>
      <c r="C172" s="60">
        <v>2.7050000000000002E-4</v>
      </c>
      <c r="E172" s="62">
        <v>17897.762594545049</v>
      </c>
      <c r="F172" s="62">
        <v>124170.61977844549</v>
      </c>
      <c r="G172" s="62">
        <v>58931.8744906996</v>
      </c>
      <c r="H172" s="62">
        <v>-30895.946819999986</v>
      </c>
      <c r="I172" s="62">
        <v>0</v>
      </c>
      <c r="J172" s="62"/>
      <c r="K172" s="62">
        <v>-1627.5985000000001</v>
      </c>
      <c r="L172" s="62">
        <v>3426.1530000000002</v>
      </c>
      <c r="M172" s="62">
        <v>6357.2910000000002</v>
      </c>
      <c r="N172" s="62">
        <v>3953.3575000000001</v>
      </c>
      <c r="O172" s="62">
        <v>0</v>
      </c>
      <c r="P172" s="62"/>
      <c r="Q172" s="62">
        <v>5955.0574999999999</v>
      </c>
      <c r="R172" s="62">
        <v>98797.420000000013</v>
      </c>
      <c r="S172" s="62">
        <v>37805.620999999999</v>
      </c>
      <c r="T172" s="62">
        <v>-42220.722000000002</v>
      </c>
      <c r="U172" s="62">
        <v>0</v>
      </c>
      <c r="V172" s="62"/>
      <c r="W172" s="62">
        <v>17657.428500000002</v>
      </c>
      <c r="X172" s="62">
        <v>17657.428500000002</v>
      </c>
      <c r="Y172" s="62">
        <v>16231.623000000001</v>
      </c>
      <c r="Z172" s="62">
        <v>7471.21</v>
      </c>
      <c r="AA172" s="62">
        <v>0</v>
      </c>
      <c r="AB172" s="62"/>
      <c r="AC172" s="62">
        <v>7285.5378672199258</v>
      </c>
      <c r="AD172" s="62">
        <v>5974.1410511203412</v>
      </c>
      <c r="AE172" s="62">
        <v>0</v>
      </c>
      <c r="AF172" s="62">
        <v>0</v>
      </c>
      <c r="AG172" s="62">
        <v>0</v>
      </c>
      <c r="AH172" s="62"/>
      <c r="AI172" s="62">
        <v>-11372.662772674879</v>
      </c>
      <c r="AJ172" s="62">
        <v>-1684.5227726748776</v>
      </c>
      <c r="AK172" s="62">
        <v>-1462.6605093003927</v>
      </c>
      <c r="AL172" s="62">
        <v>-99.792319999981828</v>
      </c>
      <c r="AM172" s="62">
        <v>0</v>
      </c>
    </row>
    <row r="173" spans="1:39">
      <c r="A173" s="9">
        <v>91631</v>
      </c>
      <c r="B173" s="10" t="s">
        <v>1553</v>
      </c>
      <c r="C173" s="60">
        <v>5.2249999999999996E-4</v>
      </c>
      <c r="E173" s="62">
        <v>25733.483123259073</v>
      </c>
      <c r="F173" s="62">
        <v>216332.77157338354</v>
      </c>
      <c r="G173" s="62">
        <v>103095.2674708642</v>
      </c>
      <c r="H173" s="62">
        <v>-66231.446659999987</v>
      </c>
      <c r="I173" s="62">
        <v>0</v>
      </c>
      <c r="J173" s="62"/>
      <c r="K173" s="62">
        <v>-3143.8824999999997</v>
      </c>
      <c r="L173" s="62">
        <v>6617.9849999999997</v>
      </c>
      <c r="M173" s="62">
        <v>12279.794999999998</v>
      </c>
      <c r="N173" s="62">
        <v>7636.3374999999996</v>
      </c>
      <c r="O173" s="62">
        <v>0</v>
      </c>
      <c r="P173" s="62"/>
      <c r="Q173" s="62">
        <v>11502.8375</v>
      </c>
      <c r="R173" s="62">
        <v>190837.9</v>
      </c>
      <c r="S173" s="62">
        <v>73025.64499999999</v>
      </c>
      <c r="T173" s="62">
        <v>-81553.89</v>
      </c>
      <c r="U173" s="62">
        <v>0</v>
      </c>
      <c r="V173" s="62"/>
      <c r="W173" s="62">
        <v>34107.232499999998</v>
      </c>
      <c r="X173" s="62">
        <v>34107.232499999998</v>
      </c>
      <c r="Y173" s="62">
        <v>31353.134999999998</v>
      </c>
      <c r="Z173" s="62">
        <v>14431.449999999999</v>
      </c>
      <c r="AA173" s="62">
        <v>0</v>
      </c>
      <c r="AB173" s="62"/>
      <c r="AC173" s="62">
        <v>0</v>
      </c>
      <c r="AD173" s="62">
        <v>0</v>
      </c>
      <c r="AE173" s="62">
        <v>0</v>
      </c>
      <c r="AF173" s="62">
        <v>0</v>
      </c>
      <c r="AG173" s="62">
        <v>0</v>
      </c>
      <c r="AH173" s="62"/>
      <c r="AI173" s="62">
        <v>-16732.704376740927</v>
      </c>
      <c r="AJ173" s="62">
        <v>-15230.345926616446</v>
      </c>
      <c r="AK173" s="62">
        <v>-13563.307529135789</v>
      </c>
      <c r="AL173" s="62">
        <v>-6745.3441599999733</v>
      </c>
      <c r="AM173" s="62">
        <v>0</v>
      </c>
    </row>
    <row r="174" spans="1:39">
      <c r="A174" s="9">
        <v>91633</v>
      </c>
      <c r="B174" s="10" t="s">
        <v>1554</v>
      </c>
      <c r="C174" s="60">
        <v>2.51E-5</v>
      </c>
      <c r="E174" s="62">
        <v>674.49833057698402</v>
      </c>
      <c r="F174" s="62">
        <v>10238.703655058311</v>
      </c>
      <c r="G174" s="62">
        <v>6035.1497781069938</v>
      </c>
      <c r="H174" s="62">
        <v>-2739.9277400000014</v>
      </c>
      <c r="I174" s="62">
        <v>0</v>
      </c>
      <c r="J174" s="62"/>
      <c r="K174" s="62">
        <v>-151.02670000000001</v>
      </c>
      <c r="L174" s="62">
        <v>317.91660000000002</v>
      </c>
      <c r="M174" s="62">
        <v>589.90020000000004</v>
      </c>
      <c r="N174" s="62">
        <v>366.8365</v>
      </c>
      <c r="O174" s="62">
        <v>0</v>
      </c>
      <c r="P174" s="62"/>
      <c r="Q174" s="62">
        <v>552.57650000000001</v>
      </c>
      <c r="R174" s="62">
        <v>9167.5239999999994</v>
      </c>
      <c r="S174" s="62">
        <v>3508.0262000000002</v>
      </c>
      <c r="T174" s="62">
        <v>-3917.7084</v>
      </c>
      <c r="U174" s="62">
        <v>0</v>
      </c>
      <c r="V174" s="62"/>
      <c r="W174" s="62">
        <v>1638.4527</v>
      </c>
      <c r="X174" s="62">
        <v>1638.4527</v>
      </c>
      <c r="Y174" s="62">
        <v>1506.1505999999999</v>
      </c>
      <c r="Z174" s="62">
        <v>693.26200000000006</v>
      </c>
      <c r="AA174" s="62">
        <v>0</v>
      </c>
      <c r="AB174" s="62"/>
      <c r="AC174" s="62">
        <v>482.08985547324903</v>
      </c>
      <c r="AD174" s="62">
        <v>482.08985547324903</v>
      </c>
      <c r="AE174" s="62">
        <v>431.07277810699406</v>
      </c>
      <c r="AF174" s="62">
        <v>117.68215999999848</v>
      </c>
      <c r="AG174" s="62">
        <v>0</v>
      </c>
      <c r="AH174" s="62"/>
      <c r="AI174" s="62">
        <v>-1847.594024896265</v>
      </c>
      <c r="AJ174" s="62">
        <v>-1367.2795004149377</v>
      </c>
      <c r="AK174" s="62">
        <v>0</v>
      </c>
      <c r="AL174" s="62">
        <v>0</v>
      </c>
      <c r="AM174" s="62">
        <v>0</v>
      </c>
    </row>
    <row r="175" spans="1:39">
      <c r="A175" s="9">
        <v>91641</v>
      </c>
      <c r="B175" s="10" t="s">
        <v>1555</v>
      </c>
      <c r="C175" s="60">
        <v>3.1139999999999998E-4</v>
      </c>
      <c r="E175" s="62">
        <v>-504.24396110650923</v>
      </c>
      <c r="F175" s="62">
        <v>120030.73207109266</v>
      </c>
      <c r="G175" s="62">
        <v>59657.674706666643</v>
      </c>
      <c r="H175" s="62">
        <v>-36933.295160000009</v>
      </c>
      <c r="I175" s="62">
        <v>0</v>
      </c>
      <c r="J175" s="62"/>
      <c r="K175" s="62">
        <v>-1873.6937999999998</v>
      </c>
      <c r="L175" s="62">
        <v>3944.1923999999999</v>
      </c>
      <c r="M175" s="62">
        <v>7318.5227999999997</v>
      </c>
      <c r="N175" s="62">
        <v>4551.1109999999999</v>
      </c>
      <c r="O175" s="62">
        <v>0</v>
      </c>
      <c r="P175" s="62"/>
      <c r="Q175" s="62">
        <v>6855.4709999999995</v>
      </c>
      <c r="R175" s="62">
        <v>113735.73599999999</v>
      </c>
      <c r="S175" s="62">
        <v>43521.8868</v>
      </c>
      <c r="T175" s="62">
        <v>-48604.5576</v>
      </c>
      <c r="U175" s="62">
        <v>0</v>
      </c>
      <c r="V175" s="62"/>
      <c r="W175" s="62">
        <v>20327.257799999999</v>
      </c>
      <c r="X175" s="62">
        <v>20327.257799999999</v>
      </c>
      <c r="Y175" s="62">
        <v>18685.868399999999</v>
      </c>
      <c r="Z175" s="62">
        <v>8600.8679999999986</v>
      </c>
      <c r="AA175" s="62">
        <v>0</v>
      </c>
      <c r="AB175" s="62"/>
      <c r="AC175" s="62">
        <v>0</v>
      </c>
      <c r="AD175" s="62">
        <v>0</v>
      </c>
      <c r="AE175" s="62">
        <v>0</v>
      </c>
      <c r="AF175" s="62">
        <v>0</v>
      </c>
      <c r="AG175" s="62">
        <v>0</v>
      </c>
      <c r="AH175" s="62"/>
      <c r="AI175" s="62">
        <v>-25813.278961106509</v>
      </c>
      <c r="AJ175" s="62">
        <v>-17976.454128907339</v>
      </c>
      <c r="AK175" s="62">
        <v>-9868.6032933333499</v>
      </c>
      <c r="AL175" s="62">
        <v>-1480.7165600000044</v>
      </c>
      <c r="AM175" s="62">
        <v>0</v>
      </c>
    </row>
    <row r="176" spans="1:39">
      <c r="A176" s="9">
        <v>91651</v>
      </c>
      <c r="B176" s="10" t="s">
        <v>1556</v>
      </c>
      <c r="C176" s="60">
        <v>4.4440000000000001E-4</v>
      </c>
      <c r="E176" s="62">
        <v>23733.054454358527</v>
      </c>
      <c r="F176" s="62">
        <v>187339.94975153697</v>
      </c>
      <c r="G176" s="62">
        <v>93087.044200823046</v>
      </c>
      <c r="H176" s="62">
        <v>-53159.850400000003</v>
      </c>
      <c r="I176" s="62">
        <v>0</v>
      </c>
      <c r="J176" s="62"/>
      <c r="K176" s="62">
        <v>-2673.9548</v>
      </c>
      <c r="L176" s="62">
        <v>5628.7704000000003</v>
      </c>
      <c r="M176" s="62">
        <v>10444.2888</v>
      </c>
      <c r="N176" s="62">
        <v>6494.9059999999999</v>
      </c>
      <c r="O176" s="62">
        <v>0</v>
      </c>
      <c r="P176" s="62"/>
      <c r="Q176" s="62">
        <v>9783.4660000000003</v>
      </c>
      <c r="R176" s="62">
        <v>162312.65600000002</v>
      </c>
      <c r="S176" s="62">
        <v>62110.232800000005</v>
      </c>
      <c r="T176" s="62">
        <v>-69363.729600000006</v>
      </c>
      <c r="U176" s="62">
        <v>0</v>
      </c>
      <c r="V176" s="62"/>
      <c r="W176" s="62">
        <v>29009.0988</v>
      </c>
      <c r="X176" s="62">
        <v>29009.0988</v>
      </c>
      <c r="Y176" s="62">
        <v>26666.666400000002</v>
      </c>
      <c r="Z176" s="62">
        <v>12274.328</v>
      </c>
      <c r="AA176" s="62">
        <v>0</v>
      </c>
      <c r="AB176" s="62"/>
      <c r="AC176" s="62">
        <v>0</v>
      </c>
      <c r="AD176" s="62">
        <v>0</v>
      </c>
      <c r="AE176" s="62">
        <v>0</v>
      </c>
      <c r="AF176" s="62">
        <v>0</v>
      </c>
      <c r="AG176" s="62">
        <v>0</v>
      </c>
      <c r="AH176" s="62"/>
      <c r="AI176" s="62">
        <v>-12385.555545641473</v>
      </c>
      <c r="AJ176" s="62">
        <v>-9610.5754484630488</v>
      </c>
      <c r="AK176" s="62">
        <v>-6134.1437991769671</v>
      </c>
      <c r="AL176" s="62">
        <v>-2565.354800000001</v>
      </c>
      <c r="AM176" s="62">
        <v>0</v>
      </c>
    </row>
    <row r="177" spans="1:39">
      <c r="A177" s="9">
        <v>91661</v>
      </c>
      <c r="B177" s="10" t="s">
        <v>1557</v>
      </c>
      <c r="C177" s="60">
        <v>1.673E-4</v>
      </c>
      <c r="E177" s="62">
        <v>-2587.1876144408743</v>
      </c>
      <c r="F177" s="62">
        <v>59175.6513083807</v>
      </c>
      <c r="G177" s="62">
        <v>27133.765339506164</v>
      </c>
      <c r="H177" s="62">
        <v>-23193.251700000008</v>
      </c>
      <c r="I177" s="62">
        <v>0</v>
      </c>
      <c r="J177" s="62"/>
      <c r="K177" s="62">
        <v>-1006.6441</v>
      </c>
      <c r="L177" s="62">
        <v>2119.0218</v>
      </c>
      <c r="M177" s="62">
        <v>3931.8845999999999</v>
      </c>
      <c r="N177" s="62">
        <v>2445.0895</v>
      </c>
      <c r="O177" s="62">
        <v>0</v>
      </c>
      <c r="P177" s="62"/>
      <c r="Q177" s="62">
        <v>3683.1095</v>
      </c>
      <c r="R177" s="62">
        <v>61104.652000000002</v>
      </c>
      <c r="S177" s="62">
        <v>23382.1826</v>
      </c>
      <c r="T177" s="62">
        <v>-26112.853200000001</v>
      </c>
      <c r="U177" s="62">
        <v>0</v>
      </c>
      <c r="V177" s="62"/>
      <c r="W177" s="62">
        <v>10920.8421</v>
      </c>
      <c r="X177" s="62">
        <v>10920.8421</v>
      </c>
      <c r="Y177" s="62">
        <v>10039.0038</v>
      </c>
      <c r="Z177" s="62">
        <v>4620.826</v>
      </c>
      <c r="AA177" s="62">
        <v>0</v>
      </c>
      <c r="AB177" s="62"/>
      <c r="AC177" s="62">
        <v>0</v>
      </c>
      <c r="AD177" s="62">
        <v>0</v>
      </c>
      <c r="AE177" s="62">
        <v>0</v>
      </c>
      <c r="AF177" s="62">
        <v>0</v>
      </c>
      <c r="AG177" s="62">
        <v>0</v>
      </c>
      <c r="AH177" s="62"/>
      <c r="AI177" s="62">
        <v>-16184.495114440873</v>
      </c>
      <c r="AJ177" s="62">
        <v>-14968.864591619298</v>
      </c>
      <c r="AK177" s="62">
        <v>-10219.305660493841</v>
      </c>
      <c r="AL177" s="62">
        <v>-4146.3140000000076</v>
      </c>
      <c r="AM177" s="62">
        <v>0</v>
      </c>
    </row>
    <row r="178" spans="1:39">
      <c r="A178" s="9">
        <v>91671</v>
      </c>
      <c r="B178" s="10" t="s">
        <v>1558</v>
      </c>
      <c r="C178" s="60">
        <v>9.6700000000000006E-5</v>
      </c>
      <c r="E178" s="62">
        <v>13576.214221601687</v>
      </c>
      <c r="F178" s="62">
        <v>47038.086188572641</v>
      </c>
      <c r="G178" s="62">
        <v>22289.912892016458</v>
      </c>
      <c r="H178" s="62">
        <v>-11308.485980000001</v>
      </c>
      <c r="I178" s="62">
        <v>0</v>
      </c>
      <c r="J178" s="62"/>
      <c r="K178" s="62">
        <v>-581.84390000000008</v>
      </c>
      <c r="L178" s="62">
        <v>1224.8022000000001</v>
      </c>
      <c r="M178" s="62">
        <v>2272.6433999999999</v>
      </c>
      <c r="N178" s="62">
        <v>1413.2705000000001</v>
      </c>
      <c r="O178" s="62">
        <v>0</v>
      </c>
      <c r="P178" s="62"/>
      <c r="Q178" s="62">
        <v>2128.8505</v>
      </c>
      <c r="R178" s="62">
        <v>35318.707999999999</v>
      </c>
      <c r="S178" s="62">
        <v>13514.985400000001</v>
      </c>
      <c r="T178" s="62">
        <v>-15093.322800000002</v>
      </c>
      <c r="U178" s="62">
        <v>0</v>
      </c>
      <c r="V178" s="62"/>
      <c r="W178" s="62">
        <v>6312.2859000000008</v>
      </c>
      <c r="X178" s="62">
        <v>6312.2859000000008</v>
      </c>
      <c r="Y178" s="62">
        <v>5802.5802000000003</v>
      </c>
      <c r="Z178" s="62">
        <v>2670.8540000000003</v>
      </c>
      <c r="AA178" s="62">
        <v>0</v>
      </c>
      <c r="AB178" s="62"/>
      <c r="AC178" s="62">
        <v>6016.209401601689</v>
      </c>
      <c r="AD178" s="62">
        <v>4481.5777685726443</v>
      </c>
      <c r="AE178" s="62">
        <v>998.99157201645733</v>
      </c>
      <c r="AF178" s="62">
        <v>0</v>
      </c>
      <c r="AG178" s="62">
        <v>0</v>
      </c>
      <c r="AH178" s="62"/>
      <c r="AI178" s="62">
        <v>-299.28768000000127</v>
      </c>
      <c r="AJ178" s="62">
        <v>-299.28768000000127</v>
      </c>
      <c r="AK178" s="62">
        <v>-299.28768000000127</v>
      </c>
      <c r="AL178" s="62">
        <v>-299.28768000000127</v>
      </c>
      <c r="AM178" s="62">
        <v>0</v>
      </c>
    </row>
    <row r="179" spans="1:39">
      <c r="A179" s="9">
        <v>91681</v>
      </c>
      <c r="B179" s="10" t="s">
        <v>1559</v>
      </c>
      <c r="C179" s="60">
        <v>4.728E-4</v>
      </c>
      <c r="E179" s="62">
        <v>128113.4777123112</v>
      </c>
      <c r="F179" s="62">
        <v>297791.98978326557</v>
      </c>
      <c r="G179" s="62">
        <v>162975.54167399177</v>
      </c>
      <c r="H179" s="62">
        <v>-19420.995040000016</v>
      </c>
      <c r="I179" s="62">
        <v>0</v>
      </c>
      <c r="J179" s="62"/>
      <c r="K179" s="62">
        <v>-2844.8375999999998</v>
      </c>
      <c r="L179" s="62">
        <v>5988.4848000000002</v>
      </c>
      <c r="M179" s="62">
        <v>11111.7456</v>
      </c>
      <c r="N179" s="62">
        <v>6909.9719999999998</v>
      </c>
      <c r="O179" s="62">
        <v>0</v>
      </c>
      <c r="P179" s="62"/>
      <c r="Q179" s="62">
        <v>10408.691999999999</v>
      </c>
      <c r="R179" s="62">
        <v>172685.47200000001</v>
      </c>
      <c r="S179" s="62">
        <v>66079.473599999998</v>
      </c>
      <c r="T179" s="62">
        <v>-73796.515199999994</v>
      </c>
      <c r="U179" s="62">
        <v>0</v>
      </c>
      <c r="V179" s="62"/>
      <c r="W179" s="62">
        <v>30862.9656</v>
      </c>
      <c r="X179" s="62">
        <v>30862.9656</v>
      </c>
      <c r="Y179" s="62">
        <v>28370.836800000001</v>
      </c>
      <c r="Z179" s="62">
        <v>13058.736000000001</v>
      </c>
      <c r="AA179" s="62">
        <v>0</v>
      </c>
      <c r="AB179" s="62"/>
      <c r="AC179" s="62">
        <v>94203.037712311198</v>
      </c>
      <c r="AD179" s="62">
        <v>88255.067383265559</v>
      </c>
      <c r="AE179" s="62">
        <v>57413.485673991767</v>
      </c>
      <c r="AF179" s="62">
        <v>34406.812159999979</v>
      </c>
      <c r="AG179" s="62">
        <v>0</v>
      </c>
      <c r="AH179" s="62"/>
      <c r="AI179" s="62">
        <v>-4516.380000000001</v>
      </c>
      <c r="AJ179" s="62">
        <v>0</v>
      </c>
      <c r="AK179" s="62">
        <v>0</v>
      </c>
      <c r="AL179" s="62">
        <v>0</v>
      </c>
      <c r="AM179" s="62">
        <v>0</v>
      </c>
    </row>
    <row r="180" spans="1:39">
      <c r="A180" s="9">
        <v>91691</v>
      </c>
      <c r="B180" s="10" t="s">
        <v>1560</v>
      </c>
      <c r="C180" s="60">
        <v>2.3200000000000001E-5</v>
      </c>
      <c r="E180" s="62">
        <v>2014.1833083127567</v>
      </c>
      <c r="F180" s="62">
        <v>10394.277708312757</v>
      </c>
      <c r="G180" s="62">
        <v>5441.3963667489725</v>
      </c>
      <c r="H180" s="62">
        <v>-2895.2173599999987</v>
      </c>
      <c r="I180" s="62">
        <v>0</v>
      </c>
      <c r="J180" s="62"/>
      <c r="K180" s="62">
        <v>-139.59440000000001</v>
      </c>
      <c r="L180" s="62">
        <v>293.85120000000001</v>
      </c>
      <c r="M180" s="62">
        <v>545.24639999999999</v>
      </c>
      <c r="N180" s="62">
        <v>339.06800000000004</v>
      </c>
      <c r="O180" s="62">
        <v>0</v>
      </c>
      <c r="P180" s="62"/>
      <c r="Q180" s="62">
        <v>510.74800000000005</v>
      </c>
      <c r="R180" s="62">
        <v>8473.5680000000011</v>
      </c>
      <c r="S180" s="62">
        <v>3242.4784000000004</v>
      </c>
      <c r="T180" s="62">
        <v>-3621.1488000000004</v>
      </c>
      <c r="U180" s="62">
        <v>0</v>
      </c>
      <c r="V180" s="62"/>
      <c r="W180" s="62">
        <v>1514.4264000000001</v>
      </c>
      <c r="X180" s="62">
        <v>1514.4264000000001</v>
      </c>
      <c r="Y180" s="62">
        <v>1392.1392000000001</v>
      </c>
      <c r="Z180" s="62">
        <v>640.78399999999999</v>
      </c>
      <c r="AA180" s="62">
        <v>0</v>
      </c>
      <c r="AB180" s="62"/>
      <c r="AC180" s="62">
        <v>666.68386831275609</v>
      </c>
      <c r="AD180" s="62">
        <v>599.36386831275604</v>
      </c>
      <c r="AE180" s="62">
        <v>515.45292674897041</v>
      </c>
      <c r="AF180" s="62">
        <v>0</v>
      </c>
      <c r="AG180" s="62">
        <v>0</v>
      </c>
      <c r="AH180" s="62"/>
      <c r="AI180" s="62">
        <v>-538.08055999999942</v>
      </c>
      <c r="AJ180" s="62">
        <v>-486.93175999999937</v>
      </c>
      <c r="AK180" s="62">
        <v>-253.92055999999866</v>
      </c>
      <c r="AL180" s="62">
        <v>-253.92055999999866</v>
      </c>
      <c r="AM180" s="62">
        <v>0</v>
      </c>
    </row>
    <row r="181" spans="1:39">
      <c r="A181" s="9">
        <v>91701</v>
      </c>
      <c r="B181" s="10" t="s">
        <v>1561</v>
      </c>
      <c r="C181" s="60">
        <v>1.2451999999999999E-3</v>
      </c>
      <c r="E181" s="62">
        <v>119998.8251120933</v>
      </c>
      <c r="F181" s="62">
        <v>577452.9644554127</v>
      </c>
      <c r="G181" s="62">
        <v>302318.89248897124</v>
      </c>
      <c r="H181" s="62">
        <v>-121449.51775999997</v>
      </c>
      <c r="I181" s="62">
        <v>0</v>
      </c>
      <c r="J181" s="62"/>
      <c r="K181" s="62">
        <v>-7492.3683999999994</v>
      </c>
      <c r="L181" s="62">
        <v>15771.703199999998</v>
      </c>
      <c r="M181" s="62">
        <v>29264.690399999999</v>
      </c>
      <c r="N181" s="62">
        <v>18198.597999999998</v>
      </c>
      <c r="O181" s="62">
        <v>0</v>
      </c>
      <c r="P181" s="62"/>
      <c r="Q181" s="62">
        <v>27413.077999999998</v>
      </c>
      <c r="R181" s="62">
        <v>454796.84799999994</v>
      </c>
      <c r="S181" s="62">
        <v>174031.64239999998</v>
      </c>
      <c r="T181" s="62">
        <v>-194355.79679999998</v>
      </c>
      <c r="U181" s="62">
        <v>0</v>
      </c>
      <c r="V181" s="62"/>
      <c r="W181" s="62">
        <v>81282.920399999988</v>
      </c>
      <c r="X181" s="62">
        <v>81282.920399999988</v>
      </c>
      <c r="Y181" s="62">
        <v>74719.4712</v>
      </c>
      <c r="Z181" s="62">
        <v>34392.423999999999</v>
      </c>
      <c r="AA181" s="62">
        <v>0</v>
      </c>
      <c r="AB181" s="62"/>
      <c r="AC181" s="62">
        <v>25744.005112093313</v>
      </c>
      <c r="AD181" s="62">
        <v>25601.49285541282</v>
      </c>
      <c r="AE181" s="62">
        <v>24303.088488971236</v>
      </c>
      <c r="AF181" s="62">
        <v>20315.257040000011</v>
      </c>
      <c r="AG181" s="62">
        <v>0</v>
      </c>
      <c r="AH181" s="62"/>
      <c r="AI181" s="62">
        <v>-6948.8100000000013</v>
      </c>
      <c r="AJ181" s="62">
        <v>0</v>
      </c>
      <c r="AK181" s="62">
        <v>0</v>
      </c>
      <c r="AL181" s="62">
        <v>0</v>
      </c>
      <c r="AM181" s="62">
        <v>0</v>
      </c>
    </row>
    <row r="182" spans="1:39">
      <c r="A182" s="9">
        <v>91704</v>
      </c>
      <c r="B182" s="10" t="s">
        <v>1562</v>
      </c>
      <c r="C182" s="60">
        <v>1.73E-5</v>
      </c>
      <c r="E182" s="62">
        <v>2045.3600920755418</v>
      </c>
      <c r="F182" s="62">
        <v>8062.7321061834255</v>
      </c>
      <c r="G182" s="62">
        <v>3897.917440411522</v>
      </c>
      <c r="H182" s="62">
        <v>-1956.29826</v>
      </c>
      <c r="I182" s="62">
        <v>0</v>
      </c>
      <c r="J182" s="62"/>
      <c r="K182" s="62">
        <v>-104.0941</v>
      </c>
      <c r="L182" s="62">
        <v>219.12180000000001</v>
      </c>
      <c r="M182" s="62">
        <v>406.58460000000002</v>
      </c>
      <c r="N182" s="62">
        <v>252.83950000000002</v>
      </c>
      <c r="O182" s="62">
        <v>0</v>
      </c>
      <c r="P182" s="62"/>
      <c r="Q182" s="62">
        <v>380.85950000000003</v>
      </c>
      <c r="R182" s="62">
        <v>6318.652</v>
      </c>
      <c r="S182" s="62">
        <v>2417.8825999999999</v>
      </c>
      <c r="T182" s="62">
        <v>-2700.2532000000001</v>
      </c>
      <c r="U182" s="62">
        <v>0</v>
      </c>
      <c r="V182" s="62"/>
      <c r="W182" s="62">
        <v>1129.2921000000001</v>
      </c>
      <c r="X182" s="62">
        <v>1129.2921000000001</v>
      </c>
      <c r="Y182" s="62">
        <v>1038.1038000000001</v>
      </c>
      <c r="Z182" s="62">
        <v>477.82600000000002</v>
      </c>
      <c r="AA182" s="62">
        <v>0</v>
      </c>
      <c r="AB182" s="62"/>
      <c r="AC182" s="62">
        <v>639.30259207554172</v>
      </c>
      <c r="AD182" s="62">
        <v>395.66620618342557</v>
      </c>
      <c r="AE182" s="62">
        <v>35.346440411521826</v>
      </c>
      <c r="AF182" s="62">
        <v>13.289439999999914</v>
      </c>
      <c r="AG182" s="62">
        <v>0</v>
      </c>
      <c r="AH182" s="62"/>
      <c r="AI182" s="62">
        <v>0</v>
      </c>
      <c r="AJ182" s="62">
        <v>0</v>
      </c>
      <c r="AK182" s="62">
        <v>0</v>
      </c>
      <c r="AL182" s="62">
        <v>0</v>
      </c>
      <c r="AM182" s="62">
        <v>0</v>
      </c>
    </row>
    <row r="183" spans="1:39">
      <c r="A183" s="9">
        <v>91706</v>
      </c>
      <c r="B183" s="10" t="s">
        <v>1563</v>
      </c>
      <c r="C183" s="60">
        <v>2.4340000000000001E-4</v>
      </c>
      <c r="E183" s="62">
        <v>15717.821525459429</v>
      </c>
      <c r="F183" s="62">
        <v>109295.72090886191</v>
      </c>
      <c r="G183" s="62">
        <v>55667.76651144035</v>
      </c>
      <c r="H183" s="62">
        <v>-25565.985639999988</v>
      </c>
      <c r="I183" s="62">
        <v>0</v>
      </c>
      <c r="J183" s="62"/>
      <c r="K183" s="62">
        <v>-1464.5378000000001</v>
      </c>
      <c r="L183" s="62">
        <v>3082.9043999999999</v>
      </c>
      <c r="M183" s="62">
        <v>5720.3868000000002</v>
      </c>
      <c r="N183" s="62">
        <v>3557.2910000000002</v>
      </c>
      <c r="O183" s="62">
        <v>0</v>
      </c>
      <c r="P183" s="62"/>
      <c r="Q183" s="62">
        <v>5358.451</v>
      </c>
      <c r="R183" s="62">
        <v>88899.415999999997</v>
      </c>
      <c r="S183" s="62">
        <v>34018.070800000001</v>
      </c>
      <c r="T183" s="62">
        <v>-37990.845600000001</v>
      </c>
      <c r="U183" s="62">
        <v>0</v>
      </c>
      <c r="V183" s="62"/>
      <c r="W183" s="62">
        <v>15888.4218</v>
      </c>
      <c r="X183" s="62">
        <v>15888.4218</v>
      </c>
      <c r="Y183" s="62">
        <v>14605.4604</v>
      </c>
      <c r="Z183" s="62">
        <v>6722.7080000000005</v>
      </c>
      <c r="AA183" s="62">
        <v>0</v>
      </c>
      <c r="AB183" s="62"/>
      <c r="AC183" s="62">
        <v>2431.1821633195182</v>
      </c>
      <c r="AD183" s="62">
        <v>2379.6443467220079</v>
      </c>
      <c r="AE183" s="62">
        <v>2144.8609600000173</v>
      </c>
      <c r="AF183" s="62">
        <v>2144.8609600000173</v>
      </c>
      <c r="AG183" s="62">
        <v>0</v>
      </c>
      <c r="AH183" s="62"/>
      <c r="AI183" s="62">
        <v>-6495.6956378600871</v>
      </c>
      <c r="AJ183" s="62">
        <v>-954.66563786008589</v>
      </c>
      <c r="AK183" s="62">
        <v>-821.01244855967423</v>
      </c>
      <c r="AL183" s="62">
        <v>0</v>
      </c>
      <c r="AM183" s="62">
        <v>0</v>
      </c>
    </row>
    <row r="184" spans="1:39">
      <c r="A184" s="9">
        <v>91719</v>
      </c>
      <c r="B184" s="10" t="s">
        <v>1564</v>
      </c>
      <c r="C184" s="60">
        <v>4.9700000000000002E-5</v>
      </c>
      <c r="E184" s="62">
        <v>4092.4684689032324</v>
      </c>
      <c r="F184" s="62">
        <v>23246.43976018954</v>
      </c>
      <c r="G184" s="62">
        <v>10363.863351358024</v>
      </c>
      <c r="H184" s="62">
        <v>-6223.3015400000013</v>
      </c>
      <c r="I184" s="62">
        <v>0</v>
      </c>
      <c r="J184" s="62"/>
      <c r="K184" s="62">
        <v>-299.04489999999998</v>
      </c>
      <c r="L184" s="62">
        <v>629.50020000000006</v>
      </c>
      <c r="M184" s="62">
        <v>1168.0494000000001</v>
      </c>
      <c r="N184" s="62">
        <v>726.3655</v>
      </c>
      <c r="O184" s="62">
        <v>0</v>
      </c>
      <c r="P184" s="62"/>
      <c r="Q184" s="62">
        <v>1094.1455000000001</v>
      </c>
      <c r="R184" s="62">
        <v>18152.428</v>
      </c>
      <c r="S184" s="62">
        <v>6946.1714000000002</v>
      </c>
      <c r="T184" s="62">
        <v>-7757.3748000000005</v>
      </c>
      <c r="U184" s="62">
        <v>0</v>
      </c>
      <c r="V184" s="62"/>
      <c r="W184" s="62">
        <v>3244.2669000000001</v>
      </c>
      <c r="X184" s="62">
        <v>3244.2669000000001</v>
      </c>
      <c r="Y184" s="62">
        <v>2982.2982000000002</v>
      </c>
      <c r="Z184" s="62">
        <v>1372.7139999999999</v>
      </c>
      <c r="AA184" s="62">
        <v>0</v>
      </c>
      <c r="AB184" s="62"/>
      <c r="AC184" s="62">
        <v>2414.8683817427386</v>
      </c>
      <c r="AD184" s="62">
        <v>1980.1920730290462</v>
      </c>
      <c r="AE184" s="62">
        <v>0</v>
      </c>
      <c r="AF184" s="62">
        <v>0</v>
      </c>
      <c r="AG184" s="62">
        <v>0</v>
      </c>
      <c r="AH184" s="62"/>
      <c r="AI184" s="62">
        <v>-2361.767412839507</v>
      </c>
      <c r="AJ184" s="62">
        <v>-759.94741283950646</v>
      </c>
      <c r="AK184" s="62">
        <v>-732.65564864197563</v>
      </c>
      <c r="AL184" s="62">
        <v>-565.00624000000028</v>
      </c>
      <c r="AM184" s="62">
        <v>0</v>
      </c>
    </row>
    <row r="185" spans="1:39">
      <c r="A185" s="9">
        <v>91801</v>
      </c>
      <c r="B185" s="10" t="s">
        <v>1565</v>
      </c>
      <c r="C185" s="60">
        <v>8.0961000000000002E-3</v>
      </c>
      <c r="E185" s="62">
        <v>571255.29576381273</v>
      </c>
      <c r="F185" s="62">
        <v>3529008.0926978379</v>
      </c>
      <c r="G185" s="62">
        <v>1752487.9522775314</v>
      </c>
      <c r="H185" s="62">
        <v>-963028.61161999928</v>
      </c>
      <c r="I185" s="62">
        <v>0</v>
      </c>
      <c r="J185" s="62"/>
      <c r="K185" s="62">
        <v>-48714.233700000004</v>
      </c>
      <c r="L185" s="62">
        <v>102545.2026</v>
      </c>
      <c r="M185" s="62">
        <v>190274.5422</v>
      </c>
      <c r="N185" s="62">
        <v>118324.5015</v>
      </c>
      <c r="O185" s="62">
        <v>0</v>
      </c>
      <c r="P185" s="62"/>
      <c r="Q185" s="62">
        <v>178235.6415</v>
      </c>
      <c r="R185" s="62">
        <v>2957019.5640000002</v>
      </c>
      <c r="S185" s="62">
        <v>1131527.1281999999</v>
      </c>
      <c r="T185" s="62">
        <v>-1263671.6724</v>
      </c>
      <c r="U185" s="62">
        <v>0</v>
      </c>
      <c r="V185" s="62"/>
      <c r="W185" s="62">
        <v>528489.11970000004</v>
      </c>
      <c r="X185" s="62">
        <v>528489.11970000004</v>
      </c>
      <c r="Y185" s="62">
        <v>485814.57660000003</v>
      </c>
      <c r="Z185" s="62">
        <v>223614.28200000001</v>
      </c>
      <c r="AA185" s="62">
        <v>0</v>
      </c>
      <c r="AB185" s="62"/>
      <c r="AC185" s="62">
        <v>0</v>
      </c>
      <c r="AD185" s="62">
        <v>0</v>
      </c>
      <c r="AE185" s="62">
        <v>0</v>
      </c>
      <c r="AF185" s="62">
        <v>0</v>
      </c>
      <c r="AG185" s="62">
        <v>0</v>
      </c>
      <c r="AH185" s="62"/>
      <c r="AI185" s="62">
        <v>-86755.231736187314</v>
      </c>
      <c r="AJ185" s="62">
        <v>-59045.79360216239</v>
      </c>
      <c r="AK185" s="62">
        <v>-55128.294722468607</v>
      </c>
      <c r="AL185" s="62">
        <v>-41295.722719999219</v>
      </c>
      <c r="AM185" s="62">
        <v>0</v>
      </c>
    </row>
    <row r="186" spans="1:39">
      <c r="A186" s="9">
        <v>91804</v>
      </c>
      <c r="B186" s="10" t="s">
        <v>1566</v>
      </c>
      <c r="C186" s="60">
        <v>1.3439999999999999E-4</v>
      </c>
      <c r="E186" s="62">
        <v>34487.17199395386</v>
      </c>
      <c r="F186" s="62">
        <v>76293.791866982909</v>
      </c>
      <c r="G186" s="62">
        <v>40553.732045761324</v>
      </c>
      <c r="H186" s="62">
        <v>-10442.101759999989</v>
      </c>
      <c r="I186" s="62">
        <v>0</v>
      </c>
      <c r="J186" s="62"/>
      <c r="K186" s="62">
        <v>-808.68479999999988</v>
      </c>
      <c r="L186" s="62">
        <v>1702.3103999999998</v>
      </c>
      <c r="M186" s="62">
        <v>3158.6687999999999</v>
      </c>
      <c r="N186" s="62">
        <v>1964.2559999999999</v>
      </c>
      <c r="O186" s="62">
        <v>0</v>
      </c>
      <c r="P186" s="62"/>
      <c r="Q186" s="62">
        <v>2958.8159999999998</v>
      </c>
      <c r="R186" s="62">
        <v>49088.255999999994</v>
      </c>
      <c r="S186" s="62">
        <v>18784.012799999997</v>
      </c>
      <c r="T186" s="62">
        <v>-20977.689599999998</v>
      </c>
      <c r="U186" s="62">
        <v>0</v>
      </c>
      <c r="V186" s="62"/>
      <c r="W186" s="62">
        <v>8773.228799999999</v>
      </c>
      <c r="X186" s="62">
        <v>8773.228799999999</v>
      </c>
      <c r="Y186" s="62">
        <v>8064.8063999999995</v>
      </c>
      <c r="Z186" s="62">
        <v>3712.1279999999997</v>
      </c>
      <c r="AA186" s="62">
        <v>0</v>
      </c>
      <c r="AB186" s="62"/>
      <c r="AC186" s="62">
        <v>23563.811993953863</v>
      </c>
      <c r="AD186" s="62">
        <v>16729.996666982908</v>
      </c>
      <c r="AE186" s="62">
        <v>10546.244045761323</v>
      </c>
      <c r="AF186" s="62">
        <v>4859.2038400000074</v>
      </c>
      <c r="AG186" s="62">
        <v>0</v>
      </c>
      <c r="AH186" s="62"/>
      <c r="AI186" s="62">
        <v>0</v>
      </c>
      <c r="AJ186" s="62">
        <v>0</v>
      </c>
      <c r="AK186" s="62">
        <v>0</v>
      </c>
      <c r="AL186" s="62">
        <v>0</v>
      </c>
      <c r="AM186" s="62">
        <v>0</v>
      </c>
    </row>
    <row r="187" spans="1:39">
      <c r="A187" s="9">
        <v>91811</v>
      </c>
      <c r="B187" s="10" t="s">
        <v>1567</v>
      </c>
      <c r="C187" s="60">
        <v>4.5555999999999999E-3</v>
      </c>
      <c r="E187" s="62">
        <v>172854.78395423101</v>
      </c>
      <c r="F187" s="62">
        <v>1850020.5561987953</v>
      </c>
      <c r="G187" s="62">
        <v>904553.93645942374</v>
      </c>
      <c r="H187" s="62">
        <v>-559151.56312000006</v>
      </c>
      <c r="I187" s="62">
        <v>0</v>
      </c>
      <c r="J187" s="62"/>
      <c r="K187" s="62">
        <v>-27411.0452</v>
      </c>
      <c r="L187" s="62">
        <v>57701.229599999999</v>
      </c>
      <c r="M187" s="62">
        <v>107065.71120000001</v>
      </c>
      <c r="N187" s="62">
        <v>66580.093999999997</v>
      </c>
      <c r="O187" s="62">
        <v>0</v>
      </c>
      <c r="P187" s="62"/>
      <c r="Q187" s="62">
        <v>100291.534</v>
      </c>
      <c r="R187" s="62">
        <v>1663887.344</v>
      </c>
      <c r="S187" s="62">
        <v>636699.7672</v>
      </c>
      <c r="T187" s="62">
        <v>-711056.27040000004</v>
      </c>
      <c r="U187" s="62">
        <v>0</v>
      </c>
      <c r="V187" s="62"/>
      <c r="W187" s="62">
        <v>297375.90120000002</v>
      </c>
      <c r="X187" s="62">
        <v>297375.90120000002</v>
      </c>
      <c r="Y187" s="62">
        <v>273363.33360000001</v>
      </c>
      <c r="Z187" s="62">
        <v>125825.67199999999</v>
      </c>
      <c r="AA187" s="62">
        <v>0</v>
      </c>
      <c r="AB187" s="62"/>
      <c r="AC187" s="62">
        <v>0</v>
      </c>
      <c r="AD187" s="62">
        <v>0</v>
      </c>
      <c r="AE187" s="62">
        <v>0</v>
      </c>
      <c r="AF187" s="62">
        <v>0</v>
      </c>
      <c r="AG187" s="62">
        <v>0</v>
      </c>
      <c r="AH187" s="62"/>
      <c r="AI187" s="62">
        <v>-197401.606045769</v>
      </c>
      <c r="AJ187" s="62">
        <v>-168943.9186012047</v>
      </c>
      <c r="AK187" s="62">
        <v>-112574.87554057629</v>
      </c>
      <c r="AL187" s="62">
        <v>-40501.058720000132</v>
      </c>
      <c r="AM187" s="62">
        <v>0</v>
      </c>
    </row>
    <row r="188" spans="1:39">
      <c r="A188" s="9">
        <v>91812</v>
      </c>
      <c r="B188" s="10" t="s">
        <v>1568</v>
      </c>
      <c r="C188" s="60">
        <v>5.0800000000000002E-5</v>
      </c>
      <c r="E188" s="62">
        <v>8702.4117006150627</v>
      </c>
      <c r="F188" s="62">
        <v>25758.91497696361</v>
      </c>
      <c r="G188" s="62">
        <v>12817.020256460906</v>
      </c>
      <c r="H188" s="62">
        <v>-6460.9529599999987</v>
      </c>
      <c r="I188" s="62">
        <v>0</v>
      </c>
      <c r="J188" s="62"/>
      <c r="K188" s="62">
        <v>-305.66360000000003</v>
      </c>
      <c r="L188" s="62">
        <v>643.43280000000004</v>
      </c>
      <c r="M188" s="62">
        <v>1193.9016000000001</v>
      </c>
      <c r="N188" s="62">
        <v>742.44200000000001</v>
      </c>
      <c r="O188" s="62">
        <v>0</v>
      </c>
      <c r="P188" s="62"/>
      <c r="Q188" s="62">
        <v>1118.3620000000001</v>
      </c>
      <c r="R188" s="62">
        <v>18554.191999999999</v>
      </c>
      <c r="S188" s="62">
        <v>7099.9096</v>
      </c>
      <c r="T188" s="62">
        <v>-7929.0672000000004</v>
      </c>
      <c r="U188" s="62">
        <v>0</v>
      </c>
      <c r="V188" s="62"/>
      <c r="W188" s="62">
        <v>3316.0716000000002</v>
      </c>
      <c r="X188" s="62">
        <v>3316.0716000000002</v>
      </c>
      <c r="Y188" s="62">
        <v>3048.3047999999999</v>
      </c>
      <c r="Z188" s="62">
        <v>1403.096</v>
      </c>
      <c r="AA188" s="62">
        <v>0</v>
      </c>
      <c r="AB188" s="62"/>
      <c r="AC188" s="62">
        <v>5251.0654606150611</v>
      </c>
      <c r="AD188" s="62">
        <v>3922.6423369636095</v>
      </c>
      <c r="AE188" s="62">
        <v>2152.3280164609041</v>
      </c>
      <c r="AF188" s="62">
        <v>0</v>
      </c>
      <c r="AG188" s="62">
        <v>0</v>
      </c>
      <c r="AH188" s="62"/>
      <c r="AI188" s="62">
        <v>-677.42375999999797</v>
      </c>
      <c r="AJ188" s="62">
        <v>-677.42375999999797</v>
      </c>
      <c r="AK188" s="62">
        <v>-677.42375999999797</v>
      </c>
      <c r="AL188" s="62">
        <v>-677.42375999999797</v>
      </c>
      <c r="AM188" s="62">
        <v>0</v>
      </c>
    </row>
    <row r="189" spans="1:39">
      <c r="A189" s="9">
        <v>91813</v>
      </c>
      <c r="B189" s="10" t="s">
        <v>1569</v>
      </c>
      <c r="C189" s="60">
        <v>8.6100000000000006E-5</v>
      </c>
      <c r="E189" s="62">
        <v>6869.3435403032636</v>
      </c>
      <c r="F189" s="62">
        <v>39963.593756070899</v>
      </c>
      <c r="G189" s="62">
        <v>17703.463766172837</v>
      </c>
      <c r="H189" s="62">
        <v>-12538.55234</v>
      </c>
      <c r="I189" s="62">
        <v>0</v>
      </c>
      <c r="J189" s="62"/>
      <c r="K189" s="62">
        <v>-518.06370000000004</v>
      </c>
      <c r="L189" s="62">
        <v>1090.5426</v>
      </c>
      <c r="M189" s="62">
        <v>2023.5222000000001</v>
      </c>
      <c r="N189" s="62">
        <v>1258.3515</v>
      </c>
      <c r="O189" s="62">
        <v>0</v>
      </c>
      <c r="P189" s="62"/>
      <c r="Q189" s="62">
        <v>1895.4915000000001</v>
      </c>
      <c r="R189" s="62">
        <v>31447.164000000001</v>
      </c>
      <c r="S189" s="62">
        <v>12033.5082</v>
      </c>
      <c r="T189" s="62">
        <v>-13438.832400000001</v>
      </c>
      <c r="U189" s="62">
        <v>0</v>
      </c>
      <c r="V189" s="62"/>
      <c r="W189" s="62">
        <v>5620.3497000000007</v>
      </c>
      <c r="X189" s="62">
        <v>5620.3497000000007</v>
      </c>
      <c r="Y189" s="62">
        <v>5166.5165999999999</v>
      </c>
      <c r="Z189" s="62">
        <v>2378.0820000000003</v>
      </c>
      <c r="AA189" s="62">
        <v>0</v>
      </c>
      <c r="AB189" s="62"/>
      <c r="AC189" s="62">
        <v>5228.2494803032641</v>
      </c>
      <c r="AD189" s="62">
        <v>4541.6908960708997</v>
      </c>
      <c r="AE189" s="62">
        <v>1216.0702061728405</v>
      </c>
      <c r="AF189" s="62">
        <v>0</v>
      </c>
      <c r="AG189" s="62">
        <v>0</v>
      </c>
      <c r="AH189" s="62"/>
      <c r="AI189" s="62">
        <v>-5356.6834400000007</v>
      </c>
      <c r="AJ189" s="62">
        <v>-2736.1534400000005</v>
      </c>
      <c r="AK189" s="62">
        <v>-2736.1534400000005</v>
      </c>
      <c r="AL189" s="62">
        <v>-2736.1534400000005</v>
      </c>
      <c r="AM189" s="62">
        <v>0</v>
      </c>
    </row>
    <row r="190" spans="1:39">
      <c r="A190" s="9">
        <v>91818</v>
      </c>
      <c r="B190" s="10" t="s">
        <v>1570</v>
      </c>
      <c r="C190" s="60">
        <v>4.0079999999999998E-4</v>
      </c>
      <c r="E190" s="62">
        <v>187731.82037677304</v>
      </c>
      <c r="F190" s="62">
        <v>328598.29748714645</v>
      </c>
      <c r="G190" s="62">
        <v>191136.70388460904</v>
      </c>
      <c r="H190" s="62">
        <v>10798.630719999994</v>
      </c>
      <c r="I190" s="62">
        <v>0</v>
      </c>
      <c r="J190" s="62"/>
      <c r="K190" s="62">
        <v>-2411.6136000000001</v>
      </c>
      <c r="L190" s="62">
        <v>5076.5328</v>
      </c>
      <c r="M190" s="62">
        <v>9419.6016</v>
      </c>
      <c r="N190" s="62">
        <v>5857.692</v>
      </c>
      <c r="O190" s="62">
        <v>0</v>
      </c>
      <c r="P190" s="62"/>
      <c r="Q190" s="62">
        <v>8823.6119999999992</v>
      </c>
      <c r="R190" s="62">
        <v>146388.19199999998</v>
      </c>
      <c r="S190" s="62">
        <v>56016.609599999996</v>
      </c>
      <c r="T190" s="62">
        <v>-62558.467199999999</v>
      </c>
      <c r="U190" s="62">
        <v>0</v>
      </c>
      <c r="V190" s="62"/>
      <c r="W190" s="62">
        <v>26163.0216</v>
      </c>
      <c r="X190" s="62">
        <v>26163.0216</v>
      </c>
      <c r="Y190" s="62">
        <v>24050.4048</v>
      </c>
      <c r="Z190" s="62">
        <v>11070.096</v>
      </c>
      <c r="AA190" s="62">
        <v>0</v>
      </c>
      <c r="AB190" s="62"/>
      <c r="AC190" s="62">
        <v>160181.05037677306</v>
      </c>
      <c r="AD190" s="62">
        <v>150970.55108714651</v>
      </c>
      <c r="AE190" s="62">
        <v>101650.08788460906</v>
      </c>
      <c r="AF190" s="62">
        <v>56429.309919999992</v>
      </c>
      <c r="AG190" s="62">
        <v>0</v>
      </c>
      <c r="AH190" s="62"/>
      <c r="AI190" s="62">
        <v>-5024.2500000000009</v>
      </c>
      <c r="AJ190" s="62">
        <v>0</v>
      </c>
      <c r="AK190" s="62">
        <v>0</v>
      </c>
      <c r="AL190" s="62">
        <v>0</v>
      </c>
      <c r="AM190" s="62">
        <v>0</v>
      </c>
    </row>
    <row r="191" spans="1:39">
      <c r="A191" s="9">
        <v>91819</v>
      </c>
      <c r="B191" s="10" t="s">
        <v>1571</v>
      </c>
      <c r="C191" s="60">
        <v>2.8489999999999999E-4</v>
      </c>
      <c r="E191" s="62">
        <v>28364.538079396538</v>
      </c>
      <c r="F191" s="62">
        <v>125027.63969599403</v>
      </c>
      <c r="G191" s="62">
        <v>64373.1440691358</v>
      </c>
      <c r="H191" s="62">
        <v>-30376.657700000003</v>
      </c>
      <c r="I191" s="62">
        <v>0</v>
      </c>
      <c r="J191" s="62"/>
      <c r="K191" s="62">
        <v>-1714.2432999999999</v>
      </c>
      <c r="L191" s="62">
        <v>3608.5434</v>
      </c>
      <c r="M191" s="62">
        <v>6695.7197999999999</v>
      </c>
      <c r="N191" s="62">
        <v>4163.8135000000002</v>
      </c>
      <c r="O191" s="62">
        <v>0</v>
      </c>
      <c r="P191" s="62"/>
      <c r="Q191" s="62">
        <v>6272.0734999999995</v>
      </c>
      <c r="R191" s="62">
        <v>104056.87599999999</v>
      </c>
      <c r="S191" s="62">
        <v>39818.193800000001</v>
      </c>
      <c r="T191" s="62">
        <v>-44468.331599999998</v>
      </c>
      <c r="U191" s="62">
        <v>0</v>
      </c>
      <c r="V191" s="62"/>
      <c r="W191" s="62">
        <v>18597.417299999997</v>
      </c>
      <c r="X191" s="62">
        <v>18597.417299999997</v>
      </c>
      <c r="Y191" s="62">
        <v>17095.7094</v>
      </c>
      <c r="Z191" s="62">
        <v>7868.9379999999992</v>
      </c>
      <c r="AA191" s="62">
        <v>0</v>
      </c>
      <c r="AB191" s="62"/>
      <c r="AC191" s="62">
        <v>8895.8624</v>
      </c>
      <c r="AD191" s="62">
        <v>2058.9223999999986</v>
      </c>
      <c r="AE191" s="62">
        <v>2058.9223999999986</v>
      </c>
      <c r="AF191" s="62">
        <v>2058.9223999999986</v>
      </c>
      <c r="AG191" s="62">
        <v>0</v>
      </c>
      <c r="AH191" s="62"/>
      <c r="AI191" s="62">
        <v>-3686.5718206034562</v>
      </c>
      <c r="AJ191" s="62">
        <v>-3294.1194040059472</v>
      </c>
      <c r="AK191" s="62">
        <v>-1295.4013308642047</v>
      </c>
      <c r="AL191" s="62">
        <v>0</v>
      </c>
      <c r="AM191" s="62">
        <v>0</v>
      </c>
    </row>
    <row r="192" spans="1:39">
      <c r="A192" s="9">
        <v>91821</v>
      </c>
      <c r="B192" s="10" t="s">
        <v>1572</v>
      </c>
      <c r="C192" s="60">
        <v>1.7330000000000001E-4</v>
      </c>
      <c r="E192" s="62">
        <v>15642.505612729909</v>
      </c>
      <c r="F192" s="62">
        <v>76823.032889327427</v>
      </c>
      <c r="G192" s="62">
        <v>38398.224735802491</v>
      </c>
      <c r="H192" s="62">
        <v>-19690.158099999979</v>
      </c>
      <c r="I192" s="62">
        <v>0</v>
      </c>
      <c r="J192" s="62"/>
      <c r="K192" s="62">
        <v>-1042.7461000000001</v>
      </c>
      <c r="L192" s="62">
        <v>2195.0178000000001</v>
      </c>
      <c r="M192" s="62">
        <v>4072.8966</v>
      </c>
      <c r="N192" s="62">
        <v>2532.7795000000001</v>
      </c>
      <c r="O192" s="62">
        <v>0</v>
      </c>
      <c r="P192" s="62"/>
      <c r="Q192" s="62">
        <v>3815.1995000000002</v>
      </c>
      <c r="R192" s="62">
        <v>63296.092000000004</v>
      </c>
      <c r="S192" s="62">
        <v>24220.7546</v>
      </c>
      <c r="T192" s="62">
        <v>-27049.357200000002</v>
      </c>
      <c r="U192" s="62">
        <v>0</v>
      </c>
      <c r="V192" s="62"/>
      <c r="W192" s="62">
        <v>11312.5041</v>
      </c>
      <c r="X192" s="62">
        <v>11312.5041</v>
      </c>
      <c r="Y192" s="62">
        <v>10399.0398</v>
      </c>
      <c r="Z192" s="62">
        <v>4786.5460000000003</v>
      </c>
      <c r="AA192" s="62">
        <v>0</v>
      </c>
      <c r="AB192" s="62"/>
      <c r="AC192" s="62">
        <v>1946.3153966805226</v>
      </c>
      <c r="AD192" s="62">
        <v>408.18627327803222</v>
      </c>
      <c r="AE192" s="62">
        <v>39.873600000020815</v>
      </c>
      <c r="AF192" s="62">
        <v>39.873600000020815</v>
      </c>
      <c r="AG192" s="62">
        <v>0</v>
      </c>
      <c r="AH192" s="62"/>
      <c r="AI192" s="62">
        <v>-388.76728395061423</v>
      </c>
      <c r="AJ192" s="62">
        <v>-388.76728395061423</v>
      </c>
      <c r="AK192" s="62">
        <v>-334.33986419752836</v>
      </c>
      <c r="AL192" s="62">
        <v>0</v>
      </c>
      <c r="AM192" s="62">
        <v>0</v>
      </c>
    </row>
    <row r="193" spans="1:39">
      <c r="A193" s="9">
        <v>91831</v>
      </c>
      <c r="B193" s="10" t="s">
        <v>1573</v>
      </c>
      <c r="C193" s="60">
        <v>3.366E-4</v>
      </c>
      <c r="E193" s="62">
        <v>27871.21656232161</v>
      </c>
      <c r="F193" s="62">
        <v>148420.06137194816</v>
      </c>
      <c r="G193" s="62">
        <v>71440.345959012353</v>
      </c>
      <c r="H193" s="62">
        <v>-39996.090920000002</v>
      </c>
      <c r="I193" s="62">
        <v>0</v>
      </c>
      <c r="J193" s="62"/>
      <c r="K193" s="62">
        <v>-2025.3222000000001</v>
      </c>
      <c r="L193" s="62">
        <v>4263.3756000000003</v>
      </c>
      <c r="M193" s="62">
        <v>7910.7731999999996</v>
      </c>
      <c r="N193" s="62">
        <v>4919.4089999999997</v>
      </c>
      <c r="O193" s="62">
        <v>0</v>
      </c>
      <c r="P193" s="62"/>
      <c r="Q193" s="62">
        <v>7410.2489999999998</v>
      </c>
      <c r="R193" s="62">
        <v>122939.784</v>
      </c>
      <c r="S193" s="62">
        <v>47043.889199999998</v>
      </c>
      <c r="T193" s="62">
        <v>-52537.874400000001</v>
      </c>
      <c r="U193" s="62">
        <v>0</v>
      </c>
      <c r="V193" s="62"/>
      <c r="W193" s="62">
        <v>21972.2382</v>
      </c>
      <c r="X193" s="62">
        <v>21972.2382</v>
      </c>
      <c r="Y193" s="62">
        <v>20198.0196</v>
      </c>
      <c r="Z193" s="62">
        <v>9296.8919999999998</v>
      </c>
      <c r="AA193" s="62">
        <v>0</v>
      </c>
      <c r="AB193" s="62"/>
      <c r="AC193" s="62">
        <v>4558.1255020746885</v>
      </c>
      <c r="AD193" s="62">
        <v>3288.7375117012457</v>
      </c>
      <c r="AE193" s="62">
        <v>0</v>
      </c>
      <c r="AF193" s="62">
        <v>0</v>
      </c>
      <c r="AG193" s="62">
        <v>0</v>
      </c>
      <c r="AH193" s="62"/>
      <c r="AI193" s="62">
        <v>-4044.073939753081</v>
      </c>
      <c r="AJ193" s="62">
        <v>-4044.073939753081</v>
      </c>
      <c r="AK193" s="62">
        <v>-3712.3360409876504</v>
      </c>
      <c r="AL193" s="62">
        <v>-1674.5175199999999</v>
      </c>
      <c r="AM193" s="62">
        <v>0</v>
      </c>
    </row>
    <row r="194" spans="1:39">
      <c r="A194" s="9">
        <v>91841</v>
      </c>
      <c r="B194" s="10" t="s">
        <v>1574</v>
      </c>
      <c r="C194" s="60">
        <v>2.5339999999999998E-4</v>
      </c>
      <c r="E194" s="62">
        <v>10920.018728852649</v>
      </c>
      <c r="F194" s="62">
        <v>108588.79369084435</v>
      </c>
      <c r="G194" s="62">
        <v>56515.416506995847</v>
      </c>
      <c r="H194" s="62">
        <v>-28429.003000000019</v>
      </c>
      <c r="I194" s="62">
        <v>0</v>
      </c>
      <c r="J194" s="62"/>
      <c r="K194" s="62">
        <v>-1524.7077999999999</v>
      </c>
      <c r="L194" s="62">
        <v>3209.5643999999998</v>
      </c>
      <c r="M194" s="62">
        <v>5955.4067999999997</v>
      </c>
      <c r="N194" s="62">
        <v>3703.4409999999998</v>
      </c>
      <c r="O194" s="62">
        <v>0</v>
      </c>
      <c r="P194" s="62"/>
      <c r="Q194" s="62">
        <v>5578.6009999999997</v>
      </c>
      <c r="R194" s="62">
        <v>92551.815999999992</v>
      </c>
      <c r="S194" s="62">
        <v>35415.690799999997</v>
      </c>
      <c r="T194" s="62">
        <v>-39551.685599999997</v>
      </c>
      <c r="U194" s="62">
        <v>0</v>
      </c>
      <c r="V194" s="62"/>
      <c r="W194" s="62">
        <v>16541.191799999997</v>
      </c>
      <c r="X194" s="62">
        <v>16541.191799999997</v>
      </c>
      <c r="Y194" s="62">
        <v>15205.520399999999</v>
      </c>
      <c r="Z194" s="62">
        <v>6998.9079999999994</v>
      </c>
      <c r="AA194" s="62">
        <v>0</v>
      </c>
      <c r="AB194" s="62"/>
      <c r="AC194" s="62">
        <v>420.33359999998083</v>
      </c>
      <c r="AD194" s="62">
        <v>420.33359999998083</v>
      </c>
      <c r="AE194" s="62">
        <v>420.33359999998083</v>
      </c>
      <c r="AF194" s="62">
        <v>420.33359999998083</v>
      </c>
      <c r="AG194" s="62">
        <v>0</v>
      </c>
      <c r="AH194" s="62"/>
      <c r="AI194" s="62">
        <v>-10095.399871147327</v>
      </c>
      <c r="AJ194" s="62">
        <v>-4134.1121091556261</v>
      </c>
      <c r="AK194" s="62">
        <v>-481.53509300412878</v>
      </c>
      <c r="AL194" s="62">
        <v>0</v>
      </c>
      <c r="AM194" s="62">
        <v>0</v>
      </c>
    </row>
    <row r="195" spans="1:39">
      <c r="A195" s="9">
        <v>91851</v>
      </c>
      <c r="B195" s="10" t="s">
        <v>1575</v>
      </c>
      <c r="C195" s="60">
        <v>7.4910000000000005E-4</v>
      </c>
      <c r="E195" s="62">
        <v>47423.062375688722</v>
      </c>
      <c r="F195" s="62">
        <v>316397.13237477595</v>
      </c>
      <c r="G195" s="62">
        <v>159682.34276197525</v>
      </c>
      <c r="H195" s="62">
        <v>-83919.89998000006</v>
      </c>
      <c r="I195" s="62">
        <v>0</v>
      </c>
      <c r="J195" s="62"/>
      <c r="K195" s="62">
        <v>-4507.3347000000003</v>
      </c>
      <c r="L195" s="62">
        <v>9488.1005999999998</v>
      </c>
      <c r="M195" s="62">
        <v>17605.3482</v>
      </c>
      <c r="N195" s="62">
        <v>10948.096500000001</v>
      </c>
      <c r="O195" s="62">
        <v>0</v>
      </c>
      <c r="P195" s="62"/>
      <c r="Q195" s="62">
        <v>16491.4365</v>
      </c>
      <c r="R195" s="62">
        <v>273601.28400000004</v>
      </c>
      <c r="S195" s="62">
        <v>104695.7142</v>
      </c>
      <c r="T195" s="62">
        <v>-116922.52440000001</v>
      </c>
      <c r="U195" s="62">
        <v>0</v>
      </c>
      <c r="V195" s="62"/>
      <c r="W195" s="62">
        <v>48899.000700000004</v>
      </c>
      <c r="X195" s="62">
        <v>48899.000700000004</v>
      </c>
      <c r="Y195" s="62">
        <v>44950.494600000005</v>
      </c>
      <c r="Z195" s="62">
        <v>20690.142</v>
      </c>
      <c r="AA195" s="62">
        <v>0</v>
      </c>
      <c r="AB195" s="62"/>
      <c r="AC195" s="62">
        <v>4937.2959199999605</v>
      </c>
      <c r="AD195" s="62">
        <v>1364.3859199999602</v>
      </c>
      <c r="AE195" s="62">
        <v>1364.3859199999602</v>
      </c>
      <c r="AF195" s="62">
        <v>1364.3859199999602</v>
      </c>
      <c r="AG195" s="62">
        <v>0</v>
      </c>
      <c r="AH195" s="62"/>
      <c r="AI195" s="62">
        <v>-18397.336044311247</v>
      </c>
      <c r="AJ195" s="62">
        <v>-16955.638845224115</v>
      </c>
      <c r="AK195" s="62">
        <v>-8933.6001580247121</v>
      </c>
      <c r="AL195" s="62">
        <v>0</v>
      </c>
      <c r="AM195" s="62">
        <v>0</v>
      </c>
    </row>
    <row r="196" spans="1:39">
      <c r="A196" s="9">
        <v>91861</v>
      </c>
      <c r="B196" s="10" t="s">
        <v>1576</v>
      </c>
      <c r="C196" s="60">
        <v>1.9700000000000001E-5</v>
      </c>
      <c r="E196" s="62">
        <v>2294.3674557884688</v>
      </c>
      <c r="F196" s="62">
        <v>9373.4816142946929</v>
      </c>
      <c r="G196" s="62">
        <v>4289.6551100411534</v>
      </c>
      <c r="H196" s="62">
        <v>-2480.5636199999981</v>
      </c>
      <c r="I196" s="62">
        <v>0</v>
      </c>
      <c r="J196" s="62"/>
      <c r="K196" s="62">
        <v>-118.53490000000001</v>
      </c>
      <c r="L196" s="62">
        <v>249.52020000000002</v>
      </c>
      <c r="M196" s="62">
        <v>462.98940000000005</v>
      </c>
      <c r="N196" s="62">
        <v>287.91550000000001</v>
      </c>
      <c r="O196" s="62">
        <v>0</v>
      </c>
      <c r="P196" s="62"/>
      <c r="Q196" s="62">
        <v>433.69550000000004</v>
      </c>
      <c r="R196" s="62">
        <v>7195.2280000000001</v>
      </c>
      <c r="S196" s="62">
        <v>2753.3114</v>
      </c>
      <c r="T196" s="62">
        <v>-3074.8548000000001</v>
      </c>
      <c r="U196" s="62">
        <v>0</v>
      </c>
      <c r="V196" s="62"/>
      <c r="W196" s="62">
        <v>1285.9569000000001</v>
      </c>
      <c r="X196" s="62">
        <v>1285.9569000000001</v>
      </c>
      <c r="Y196" s="62">
        <v>1182.1182000000001</v>
      </c>
      <c r="Z196" s="62">
        <v>544.11400000000003</v>
      </c>
      <c r="AA196" s="62">
        <v>0</v>
      </c>
      <c r="AB196" s="62"/>
      <c r="AC196" s="62">
        <v>1040.8782757884669</v>
      </c>
      <c r="AD196" s="62">
        <v>880.51483429469135</v>
      </c>
      <c r="AE196" s="62">
        <v>128.97443004115223</v>
      </c>
      <c r="AF196" s="62">
        <v>0</v>
      </c>
      <c r="AG196" s="62">
        <v>0</v>
      </c>
      <c r="AH196" s="62"/>
      <c r="AI196" s="62">
        <v>-347.62831999999827</v>
      </c>
      <c r="AJ196" s="62">
        <v>-237.73831999999823</v>
      </c>
      <c r="AK196" s="62">
        <v>-237.73831999999823</v>
      </c>
      <c r="AL196" s="62">
        <v>-237.73831999999823</v>
      </c>
      <c r="AM196" s="62">
        <v>0</v>
      </c>
    </row>
    <row r="197" spans="1:39">
      <c r="A197" s="9">
        <v>91871</v>
      </c>
      <c r="B197" s="10" t="s">
        <v>1577</v>
      </c>
      <c r="C197" s="60">
        <v>1.3319E-3</v>
      </c>
      <c r="E197" s="62">
        <v>79492.714017765946</v>
      </c>
      <c r="F197" s="62">
        <v>568774.08893502736</v>
      </c>
      <c r="G197" s="62">
        <v>290738.18812312756</v>
      </c>
      <c r="H197" s="62">
        <v>-146001.03125999996</v>
      </c>
      <c r="I197" s="62">
        <v>0</v>
      </c>
      <c r="J197" s="62"/>
      <c r="K197" s="62">
        <v>-8014.0423000000001</v>
      </c>
      <c r="L197" s="62">
        <v>16869.845399999998</v>
      </c>
      <c r="M197" s="62">
        <v>31302.3138</v>
      </c>
      <c r="N197" s="62">
        <v>19465.718499999999</v>
      </c>
      <c r="O197" s="62">
        <v>0</v>
      </c>
      <c r="P197" s="62"/>
      <c r="Q197" s="62">
        <v>29321.7785</v>
      </c>
      <c r="R197" s="62">
        <v>486463.15600000002</v>
      </c>
      <c r="S197" s="62">
        <v>186149.00779999999</v>
      </c>
      <c r="T197" s="62">
        <v>-207888.27960000001</v>
      </c>
      <c r="U197" s="62">
        <v>0</v>
      </c>
      <c r="V197" s="62"/>
      <c r="W197" s="62">
        <v>86942.436300000001</v>
      </c>
      <c r="X197" s="62">
        <v>86942.436300000001</v>
      </c>
      <c r="Y197" s="62">
        <v>79921.991399999999</v>
      </c>
      <c r="Z197" s="62">
        <v>36787.078000000001</v>
      </c>
      <c r="AA197" s="62">
        <v>0</v>
      </c>
      <c r="AB197" s="62"/>
      <c r="AC197" s="62">
        <v>5634.4518400000652</v>
      </c>
      <c r="AD197" s="62">
        <v>5634.4518400000652</v>
      </c>
      <c r="AE197" s="62">
        <v>5634.4518400000652</v>
      </c>
      <c r="AF197" s="62">
        <v>5634.4518400000652</v>
      </c>
      <c r="AG197" s="62">
        <v>0</v>
      </c>
      <c r="AH197" s="62"/>
      <c r="AI197" s="62">
        <v>-34391.910322234115</v>
      </c>
      <c r="AJ197" s="62">
        <v>-27135.800604972719</v>
      </c>
      <c r="AK197" s="62">
        <v>-12269.576716872434</v>
      </c>
      <c r="AL197" s="62">
        <v>0</v>
      </c>
      <c r="AM197" s="62">
        <v>0</v>
      </c>
    </row>
    <row r="198" spans="1:39">
      <c r="A198" s="9">
        <v>91881</v>
      </c>
      <c r="B198" s="10" t="s">
        <v>1578</v>
      </c>
      <c r="C198" s="60">
        <v>9.3000000000000007E-6</v>
      </c>
      <c r="E198" s="62">
        <v>-4820.8555719539654</v>
      </c>
      <c r="F198" s="62">
        <v>2524.9492200792306</v>
      </c>
      <c r="G198" s="62">
        <v>1307.1486981892997</v>
      </c>
      <c r="H198" s="62">
        <v>-769.9253800000007</v>
      </c>
      <c r="I198" s="62">
        <v>0</v>
      </c>
      <c r="J198" s="62"/>
      <c r="K198" s="62">
        <v>-55.958100000000002</v>
      </c>
      <c r="L198" s="62">
        <v>117.7938</v>
      </c>
      <c r="M198" s="62">
        <v>218.5686</v>
      </c>
      <c r="N198" s="62">
        <v>135.9195</v>
      </c>
      <c r="O198" s="62">
        <v>0</v>
      </c>
      <c r="P198" s="62"/>
      <c r="Q198" s="62">
        <v>204.73950000000002</v>
      </c>
      <c r="R198" s="62">
        <v>3396.7320000000004</v>
      </c>
      <c r="S198" s="62">
        <v>1299.7866000000001</v>
      </c>
      <c r="T198" s="62">
        <v>-1451.5812000000001</v>
      </c>
      <c r="U198" s="62">
        <v>0</v>
      </c>
      <c r="V198" s="62"/>
      <c r="W198" s="62">
        <v>607.0761</v>
      </c>
      <c r="X198" s="62">
        <v>607.0761</v>
      </c>
      <c r="Y198" s="62">
        <v>558.05580000000009</v>
      </c>
      <c r="Z198" s="62">
        <v>256.86600000000004</v>
      </c>
      <c r="AA198" s="62">
        <v>0</v>
      </c>
      <c r="AB198" s="62"/>
      <c r="AC198" s="62">
        <v>288.87031999999942</v>
      </c>
      <c r="AD198" s="62">
        <v>288.87031999999942</v>
      </c>
      <c r="AE198" s="62">
        <v>288.87031999999942</v>
      </c>
      <c r="AF198" s="62">
        <v>288.87031999999942</v>
      </c>
      <c r="AG198" s="62">
        <v>0</v>
      </c>
      <c r="AH198" s="62"/>
      <c r="AI198" s="62">
        <v>-5865.5833919539655</v>
      </c>
      <c r="AJ198" s="62">
        <v>-1885.5229999207691</v>
      </c>
      <c r="AK198" s="62">
        <v>-1058.1326218106999</v>
      </c>
      <c r="AL198" s="62">
        <v>0</v>
      </c>
      <c r="AM198" s="62">
        <v>0</v>
      </c>
    </row>
    <row r="199" spans="1:39">
      <c r="A199" s="9">
        <v>91901</v>
      </c>
      <c r="B199" s="10" t="s">
        <v>1579</v>
      </c>
      <c r="C199" s="60">
        <v>3.6706999999999998E-3</v>
      </c>
      <c r="E199" s="62">
        <v>351743.58759583271</v>
      </c>
      <c r="F199" s="62">
        <v>1646674.8600375752</v>
      </c>
      <c r="G199" s="62">
        <v>823576.53991127585</v>
      </c>
      <c r="H199" s="62">
        <v>-422042.03781999974</v>
      </c>
      <c r="I199" s="62">
        <v>0</v>
      </c>
      <c r="J199" s="62"/>
      <c r="K199" s="62">
        <v>-22086.601899999998</v>
      </c>
      <c r="L199" s="62">
        <v>46493.086199999998</v>
      </c>
      <c r="M199" s="62">
        <v>86268.791400000002</v>
      </c>
      <c r="N199" s="62">
        <v>53647.280500000001</v>
      </c>
      <c r="O199" s="62">
        <v>0</v>
      </c>
      <c r="P199" s="62"/>
      <c r="Q199" s="62">
        <v>80810.460500000001</v>
      </c>
      <c r="R199" s="62">
        <v>1340686.4679999999</v>
      </c>
      <c r="S199" s="62">
        <v>513024.37339999998</v>
      </c>
      <c r="T199" s="62">
        <v>-572937.53879999998</v>
      </c>
      <c r="U199" s="62">
        <v>0</v>
      </c>
      <c r="V199" s="62"/>
      <c r="W199" s="62">
        <v>239612.28389999998</v>
      </c>
      <c r="X199" s="62">
        <v>239612.28389999998</v>
      </c>
      <c r="Y199" s="62">
        <v>220264.02419999999</v>
      </c>
      <c r="Z199" s="62">
        <v>101384.734</v>
      </c>
      <c r="AA199" s="62">
        <v>0</v>
      </c>
      <c r="AB199" s="62"/>
      <c r="AC199" s="62">
        <v>57543.958615832518</v>
      </c>
      <c r="AD199" s="62">
        <v>24019.53545757525</v>
      </c>
      <c r="AE199" s="62">
        <v>8155.8644312756842</v>
      </c>
      <c r="AF199" s="62">
        <v>0</v>
      </c>
      <c r="AG199" s="62">
        <v>0</v>
      </c>
      <c r="AH199" s="62"/>
      <c r="AI199" s="62">
        <v>-4136.5135199997576</v>
      </c>
      <c r="AJ199" s="62">
        <v>-4136.5135199997576</v>
      </c>
      <c r="AK199" s="62">
        <v>-4136.5135199997576</v>
      </c>
      <c r="AL199" s="62">
        <v>-4136.5135199997576</v>
      </c>
      <c r="AM199" s="62">
        <v>0</v>
      </c>
    </row>
    <row r="200" spans="1:39">
      <c r="A200" s="9">
        <v>91903</v>
      </c>
      <c r="B200" s="10" t="s">
        <v>1580</v>
      </c>
      <c r="C200" s="60">
        <v>8.6999999999999997E-6</v>
      </c>
      <c r="E200" s="62">
        <v>-1688.1441487126697</v>
      </c>
      <c r="F200" s="62">
        <v>4440.2101442333887</v>
      </c>
      <c r="G200" s="62">
        <v>2380.2240404938266</v>
      </c>
      <c r="H200" s="62">
        <v>-591.23342000000036</v>
      </c>
      <c r="I200" s="62">
        <v>0</v>
      </c>
      <c r="J200" s="62"/>
      <c r="K200" s="62">
        <v>-52.347899999999996</v>
      </c>
      <c r="L200" s="62">
        <v>110.1942</v>
      </c>
      <c r="M200" s="62">
        <v>204.4674</v>
      </c>
      <c r="N200" s="62">
        <v>127.15049999999999</v>
      </c>
      <c r="O200" s="62">
        <v>0</v>
      </c>
      <c r="P200" s="62"/>
      <c r="Q200" s="62">
        <v>191.53049999999999</v>
      </c>
      <c r="R200" s="62">
        <v>3177.5879999999997</v>
      </c>
      <c r="S200" s="62">
        <v>1215.9294</v>
      </c>
      <c r="T200" s="62">
        <v>-1357.9307999999999</v>
      </c>
      <c r="U200" s="62">
        <v>0</v>
      </c>
      <c r="V200" s="62"/>
      <c r="W200" s="62">
        <v>567.90989999999999</v>
      </c>
      <c r="X200" s="62">
        <v>567.90989999999999</v>
      </c>
      <c r="Y200" s="62">
        <v>522.05219999999997</v>
      </c>
      <c r="Z200" s="62">
        <v>240.29399999999998</v>
      </c>
      <c r="AA200" s="62">
        <v>0</v>
      </c>
      <c r="AB200" s="62"/>
      <c r="AC200" s="62">
        <v>615.35335128733095</v>
      </c>
      <c r="AD200" s="62">
        <v>584.51804423338922</v>
      </c>
      <c r="AE200" s="62">
        <v>437.77504049382662</v>
      </c>
      <c r="AF200" s="62">
        <v>399.25287999999955</v>
      </c>
      <c r="AG200" s="62">
        <v>0</v>
      </c>
      <c r="AH200" s="62"/>
      <c r="AI200" s="62">
        <v>-3010.5900000000006</v>
      </c>
      <c r="AJ200" s="62">
        <v>0</v>
      </c>
      <c r="AK200" s="62">
        <v>0</v>
      </c>
      <c r="AL200" s="62">
        <v>0</v>
      </c>
      <c r="AM200" s="62">
        <v>0</v>
      </c>
    </row>
    <row r="201" spans="1:39">
      <c r="A201" s="9">
        <v>91904</v>
      </c>
      <c r="B201" s="10" t="s">
        <v>1581</v>
      </c>
      <c r="C201" s="60">
        <v>3.3399999999999999E-5</v>
      </c>
      <c r="E201" s="62">
        <v>7035.466111423254</v>
      </c>
      <c r="F201" s="62">
        <v>17782.526221796699</v>
      </c>
      <c r="G201" s="62">
        <v>10073.425046008231</v>
      </c>
      <c r="H201" s="62">
        <v>-2530.0600399999989</v>
      </c>
      <c r="I201" s="62">
        <v>0</v>
      </c>
      <c r="J201" s="62"/>
      <c r="K201" s="62">
        <v>-200.96779999999998</v>
      </c>
      <c r="L201" s="62">
        <v>423.0444</v>
      </c>
      <c r="M201" s="62">
        <v>784.96679999999992</v>
      </c>
      <c r="N201" s="62">
        <v>488.14099999999996</v>
      </c>
      <c r="O201" s="62">
        <v>0</v>
      </c>
      <c r="P201" s="62"/>
      <c r="Q201" s="62">
        <v>735.30099999999993</v>
      </c>
      <c r="R201" s="62">
        <v>12199.016</v>
      </c>
      <c r="S201" s="62">
        <v>4668.0508</v>
      </c>
      <c r="T201" s="62">
        <v>-5213.2056000000002</v>
      </c>
      <c r="U201" s="62">
        <v>0</v>
      </c>
      <c r="V201" s="62"/>
      <c r="W201" s="62">
        <v>2180.2518</v>
      </c>
      <c r="X201" s="62">
        <v>2180.2518</v>
      </c>
      <c r="Y201" s="62">
        <v>2004.2003999999999</v>
      </c>
      <c r="Z201" s="62">
        <v>922.50799999999992</v>
      </c>
      <c r="AA201" s="62">
        <v>0</v>
      </c>
      <c r="AB201" s="62"/>
      <c r="AC201" s="62">
        <v>4320.881111423254</v>
      </c>
      <c r="AD201" s="62">
        <v>2980.214021796698</v>
      </c>
      <c r="AE201" s="62">
        <v>2616.2070460082318</v>
      </c>
      <c r="AF201" s="62">
        <v>1272.4965600000019</v>
      </c>
      <c r="AG201" s="62">
        <v>0</v>
      </c>
      <c r="AH201" s="62"/>
      <c r="AI201" s="62">
        <v>0</v>
      </c>
      <c r="AJ201" s="62">
        <v>0</v>
      </c>
      <c r="AK201" s="62">
        <v>0</v>
      </c>
      <c r="AL201" s="62">
        <v>0</v>
      </c>
      <c r="AM201" s="62">
        <v>0</v>
      </c>
    </row>
    <row r="202" spans="1:39">
      <c r="A202" s="9">
        <v>91908</v>
      </c>
      <c r="B202" s="10" t="s">
        <v>1582</v>
      </c>
      <c r="C202" s="60">
        <v>1.6900000000000001E-5</v>
      </c>
      <c r="E202" s="62">
        <v>1309.7071162921984</v>
      </c>
      <c r="F202" s="62">
        <v>6650.0221187818261</v>
      </c>
      <c r="G202" s="62">
        <v>3032.4491128395061</v>
      </c>
      <c r="H202" s="62">
        <v>-1897.1902599999999</v>
      </c>
      <c r="I202" s="62">
        <v>0</v>
      </c>
      <c r="J202" s="62"/>
      <c r="K202" s="62">
        <v>-101.68730000000001</v>
      </c>
      <c r="L202" s="62">
        <v>214.05540000000002</v>
      </c>
      <c r="M202" s="62">
        <v>397.18380000000002</v>
      </c>
      <c r="N202" s="62">
        <v>246.99350000000001</v>
      </c>
      <c r="O202" s="62">
        <v>0</v>
      </c>
      <c r="P202" s="62"/>
      <c r="Q202" s="62">
        <v>372.05350000000004</v>
      </c>
      <c r="R202" s="62">
        <v>6172.5560000000005</v>
      </c>
      <c r="S202" s="62">
        <v>2361.9778000000001</v>
      </c>
      <c r="T202" s="62">
        <v>-2637.8196000000003</v>
      </c>
      <c r="U202" s="62">
        <v>0</v>
      </c>
      <c r="V202" s="62"/>
      <c r="W202" s="62">
        <v>1103.1813</v>
      </c>
      <c r="X202" s="62">
        <v>1103.1813</v>
      </c>
      <c r="Y202" s="62">
        <v>1014.1014</v>
      </c>
      <c r="Z202" s="62">
        <v>466.77800000000002</v>
      </c>
      <c r="AA202" s="62">
        <v>0</v>
      </c>
      <c r="AB202" s="62"/>
      <c r="AC202" s="62">
        <v>828.80115950207539</v>
      </c>
      <c r="AD202" s="62">
        <v>52.870961991701762</v>
      </c>
      <c r="AE202" s="62">
        <v>26.857840000000238</v>
      </c>
      <c r="AF202" s="62">
        <v>26.857840000000238</v>
      </c>
      <c r="AG202" s="62">
        <v>0</v>
      </c>
      <c r="AH202" s="62"/>
      <c r="AI202" s="62">
        <v>-892.641543209877</v>
      </c>
      <c r="AJ202" s="62">
        <v>-892.641543209877</v>
      </c>
      <c r="AK202" s="62">
        <v>-767.67172716049447</v>
      </c>
      <c r="AL202" s="62">
        <v>0</v>
      </c>
      <c r="AM202" s="62">
        <v>0</v>
      </c>
    </row>
    <row r="203" spans="1:39">
      <c r="A203" s="9">
        <v>91911</v>
      </c>
      <c r="B203" s="10" t="s">
        <v>1583</v>
      </c>
      <c r="C203" s="60">
        <v>4.5580000000000002E-4</v>
      </c>
      <c r="E203" s="62">
        <v>37658.547456538101</v>
      </c>
      <c r="F203" s="62">
        <v>204515.95488965014</v>
      </c>
      <c r="G203" s="62">
        <v>105495.71327135804</v>
      </c>
      <c r="H203" s="62">
        <v>-50248.823719999978</v>
      </c>
      <c r="I203" s="62">
        <v>0</v>
      </c>
      <c r="J203" s="62"/>
      <c r="K203" s="62">
        <v>-2742.5486000000001</v>
      </c>
      <c r="L203" s="62">
        <v>5773.1628000000001</v>
      </c>
      <c r="M203" s="62">
        <v>10712.211600000001</v>
      </c>
      <c r="N203" s="62">
        <v>6661.5170000000007</v>
      </c>
      <c r="O203" s="62">
        <v>0</v>
      </c>
      <c r="P203" s="62"/>
      <c r="Q203" s="62">
        <v>10034.437</v>
      </c>
      <c r="R203" s="62">
        <v>166476.39200000002</v>
      </c>
      <c r="S203" s="62">
        <v>63703.5196</v>
      </c>
      <c r="T203" s="62">
        <v>-71143.087200000009</v>
      </c>
      <c r="U203" s="62">
        <v>0</v>
      </c>
      <c r="V203" s="62"/>
      <c r="W203" s="62">
        <v>29753.256600000001</v>
      </c>
      <c r="X203" s="62">
        <v>29753.256600000001</v>
      </c>
      <c r="Y203" s="62">
        <v>27350.734800000002</v>
      </c>
      <c r="Z203" s="62">
        <v>12589.196</v>
      </c>
      <c r="AA203" s="62">
        <v>0</v>
      </c>
      <c r="AB203" s="62"/>
      <c r="AC203" s="62">
        <v>4068.7793071605047</v>
      </c>
      <c r="AD203" s="62">
        <v>4068.7793071605047</v>
      </c>
      <c r="AE203" s="62">
        <v>3729.2472713580382</v>
      </c>
      <c r="AF203" s="62">
        <v>1643.5504800000288</v>
      </c>
      <c r="AG203" s="62">
        <v>0</v>
      </c>
      <c r="AH203" s="62"/>
      <c r="AI203" s="62">
        <v>-3455.3768506224051</v>
      </c>
      <c r="AJ203" s="62">
        <v>-1555.6358175103721</v>
      </c>
      <c r="AK203" s="62">
        <v>0</v>
      </c>
      <c r="AL203" s="62">
        <v>0</v>
      </c>
      <c r="AM203" s="62">
        <v>0</v>
      </c>
    </row>
    <row r="204" spans="1:39">
      <c r="A204" s="9">
        <v>91917</v>
      </c>
      <c r="B204" s="10" t="s">
        <v>1584</v>
      </c>
      <c r="C204" s="60">
        <v>1.22E-5</v>
      </c>
      <c r="E204" s="62">
        <v>1117.4857330184591</v>
      </c>
      <c r="F204" s="62">
        <v>5521.9780243047653</v>
      </c>
      <c r="G204" s="62">
        <v>2777.5725948971199</v>
      </c>
      <c r="H204" s="62">
        <v>-1466.45228</v>
      </c>
      <c r="I204" s="62">
        <v>0</v>
      </c>
      <c r="J204" s="62"/>
      <c r="K204" s="62">
        <v>-73.407399999999996</v>
      </c>
      <c r="L204" s="62">
        <v>154.52520000000001</v>
      </c>
      <c r="M204" s="62">
        <v>286.7244</v>
      </c>
      <c r="N204" s="62">
        <v>178.303</v>
      </c>
      <c r="O204" s="62">
        <v>0</v>
      </c>
      <c r="P204" s="62"/>
      <c r="Q204" s="62">
        <v>268.58300000000003</v>
      </c>
      <c r="R204" s="62">
        <v>4455.9279999999999</v>
      </c>
      <c r="S204" s="62">
        <v>1705.0963999999999</v>
      </c>
      <c r="T204" s="62">
        <v>-1904.2248</v>
      </c>
      <c r="U204" s="62">
        <v>0</v>
      </c>
      <c r="V204" s="62"/>
      <c r="W204" s="62">
        <v>796.37940000000003</v>
      </c>
      <c r="X204" s="62">
        <v>796.37940000000003</v>
      </c>
      <c r="Y204" s="62">
        <v>732.07320000000004</v>
      </c>
      <c r="Z204" s="62">
        <v>336.964</v>
      </c>
      <c r="AA204" s="62">
        <v>0</v>
      </c>
      <c r="AB204" s="62"/>
      <c r="AC204" s="62">
        <v>203.42521301845875</v>
      </c>
      <c r="AD204" s="62">
        <v>192.63990430476588</v>
      </c>
      <c r="AE204" s="62">
        <v>131.17307489711965</v>
      </c>
      <c r="AF204" s="62">
        <v>0</v>
      </c>
      <c r="AG204" s="62">
        <v>0</v>
      </c>
      <c r="AH204" s="62"/>
      <c r="AI204" s="62">
        <v>-77.494479999999925</v>
      </c>
      <c r="AJ204" s="62">
        <v>-77.494479999999925</v>
      </c>
      <c r="AK204" s="62">
        <v>-77.494479999999925</v>
      </c>
      <c r="AL204" s="62">
        <v>-77.494479999999925</v>
      </c>
      <c r="AM204" s="62">
        <v>0</v>
      </c>
    </row>
    <row r="205" spans="1:39">
      <c r="A205" s="9">
        <v>91921</v>
      </c>
      <c r="B205" s="10" t="s">
        <v>1585</v>
      </c>
      <c r="C205" s="60">
        <v>3.769E-4</v>
      </c>
      <c r="E205" s="62">
        <v>25326.593944027823</v>
      </c>
      <c r="F205" s="62">
        <v>163314.38151713985</v>
      </c>
      <c r="G205" s="62">
        <v>83204.416621399199</v>
      </c>
      <c r="H205" s="62">
        <v>-43587.430899999985</v>
      </c>
      <c r="I205" s="62">
        <v>0</v>
      </c>
      <c r="J205" s="62"/>
      <c r="K205" s="62">
        <v>-2267.8072999999999</v>
      </c>
      <c r="L205" s="62">
        <v>4773.8154000000004</v>
      </c>
      <c r="M205" s="62">
        <v>8857.9038</v>
      </c>
      <c r="N205" s="62">
        <v>5508.3935000000001</v>
      </c>
      <c r="O205" s="62">
        <v>0</v>
      </c>
      <c r="P205" s="62"/>
      <c r="Q205" s="62">
        <v>8297.4534999999996</v>
      </c>
      <c r="R205" s="62">
        <v>137658.95600000001</v>
      </c>
      <c r="S205" s="62">
        <v>52676.2978</v>
      </c>
      <c r="T205" s="62">
        <v>-58828.059600000001</v>
      </c>
      <c r="U205" s="62">
        <v>0</v>
      </c>
      <c r="V205" s="62"/>
      <c r="W205" s="62">
        <v>24602.901300000001</v>
      </c>
      <c r="X205" s="62">
        <v>24602.901300000001</v>
      </c>
      <c r="Y205" s="62">
        <v>22616.261399999999</v>
      </c>
      <c r="Z205" s="62">
        <v>10409.977999999999</v>
      </c>
      <c r="AA205" s="62">
        <v>0</v>
      </c>
      <c r="AB205" s="62"/>
      <c r="AC205" s="62">
        <v>0</v>
      </c>
      <c r="AD205" s="62">
        <v>0</v>
      </c>
      <c r="AE205" s="62">
        <v>0</v>
      </c>
      <c r="AF205" s="62">
        <v>0</v>
      </c>
      <c r="AG205" s="62">
        <v>0</v>
      </c>
      <c r="AH205" s="62"/>
      <c r="AI205" s="62">
        <v>-5305.9535559721771</v>
      </c>
      <c r="AJ205" s="62">
        <v>-3721.2911828601464</v>
      </c>
      <c r="AK205" s="62">
        <v>-946.04637860080584</v>
      </c>
      <c r="AL205" s="62">
        <v>-677.74279999998384</v>
      </c>
      <c r="AM205" s="62">
        <v>0</v>
      </c>
    </row>
    <row r="206" spans="1:39">
      <c r="A206" s="9">
        <v>92001</v>
      </c>
      <c r="B206" s="10" t="s">
        <v>1586</v>
      </c>
      <c r="C206" s="60">
        <v>1.8143E-3</v>
      </c>
      <c r="E206" s="62">
        <v>105712.04998675172</v>
      </c>
      <c r="F206" s="62">
        <v>788194.87982509204</v>
      </c>
      <c r="G206" s="62">
        <v>385971.9761343209</v>
      </c>
      <c r="H206" s="62">
        <v>-239507.66942000008</v>
      </c>
      <c r="I206" s="62">
        <v>0</v>
      </c>
      <c r="J206" s="62"/>
      <c r="K206" s="62">
        <v>-10916.643099999999</v>
      </c>
      <c r="L206" s="62">
        <v>22979.9238</v>
      </c>
      <c r="M206" s="62">
        <v>42639.678599999999</v>
      </c>
      <c r="N206" s="62">
        <v>26515.994500000001</v>
      </c>
      <c r="O206" s="62">
        <v>0</v>
      </c>
      <c r="P206" s="62"/>
      <c r="Q206" s="62">
        <v>39941.8145</v>
      </c>
      <c r="R206" s="62">
        <v>662654.93200000003</v>
      </c>
      <c r="S206" s="62">
        <v>253570.1966</v>
      </c>
      <c r="T206" s="62">
        <v>-283183.20120000001</v>
      </c>
      <c r="U206" s="62">
        <v>0</v>
      </c>
      <c r="V206" s="62"/>
      <c r="W206" s="62">
        <v>118432.06110000001</v>
      </c>
      <c r="X206" s="62">
        <v>118432.06110000001</v>
      </c>
      <c r="Y206" s="62">
        <v>108868.8858</v>
      </c>
      <c r="Z206" s="62">
        <v>50110.966</v>
      </c>
      <c r="AA206" s="62">
        <v>0</v>
      </c>
      <c r="AB206" s="62"/>
      <c r="AC206" s="62">
        <v>17294.726206751766</v>
      </c>
      <c r="AD206" s="62">
        <v>17079.391645092001</v>
      </c>
      <c r="AE206" s="62">
        <v>13844.643854320973</v>
      </c>
      <c r="AF206" s="62">
        <v>0</v>
      </c>
      <c r="AG206" s="62">
        <v>0</v>
      </c>
      <c r="AH206" s="62"/>
      <c r="AI206" s="62">
        <v>-59039.908720000065</v>
      </c>
      <c r="AJ206" s="62">
        <v>-32951.428720000062</v>
      </c>
      <c r="AK206" s="62">
        <v>-32951.428720000062</v>
      </c>
      <c r="AL206" s="62">
        <v>-32951.428720000062</v>
      </c>
      <c r="AM206" s="62">
        <v>0</v>
      </c>
    </row>
    <row r="207" spans="1:39">
      <c r="A207" s="9">
        <v>92005</v>
      </c>
      <c r="B207" s="10" t="s">
        <v>1587</v>
      </c>
      <c r="C207" s="60">
        <v>4.1399999999999997E-5</v>
      </c>
      <c r="E207" s="62">
        <v>3568.423008971532</v>
      </c>
      <c r="F207" s="62">
        <v>18169.741058764059</v>
      </c>
      <c r="G207" s="62">
        <v>9174.1566242798344</v>
      </c>
      <c r="H207" s="62">
        <v>-5179.9697999999999</v>
      </c>
      <c r="I207" s="62">
        <v>0</v>
      </c>
      <c r="J207" s="62"/>
      <c r="K207" s="62">
        <v>-249.10379999999998</v>
      </c>
      <c r="L207" s="62">
        <v>524.37239999999997</v>
      </c>
      <c r="M207" s="62">
        <v>972.98279999999988</v>
      </c>
      <c r="N207" s="62">
        <v>605.06099999999992</v>
      </c>
      <c r="O207" s="62">
        <v>0</v>
      </c>
      <c r="P207" s="62"/>
      <c r="Q207" s="62">
        <v>911.42099999999994</v>
      </c>
      <c r="R207" s="62">
        <v>15120.935999999998</v>
      </c>
      <c r="S207" s="62">
        <v>5786.1467999999995</v>
      </c>
      <c r="T207" s="62">
        <v>-6461.8775999999998</v>
      </c>
      <c r="U207" s="62">
        <v>0</v>
      </c>
      <c r="V207" s="62"/>
      <c r="W207" s="62">
        <v>2702.4677999999999</v>
      </c>
      <c r="X207" s="62">
        <v>2702.4677999999999</v>
      </c>
      <c r="Y207" s="62">
        <v>2484.2483999999999</v>
      </c>
      <c r="Z207" s="62">
        <v>1143.4679999999998</v>
      </c>
      <c r="AA207" s="62">
        <v>0</v>
      </c>
      <c r="AB207" s="62"/>
      <c r="AC207" s="62">
        <v>881.85281893004003</v>
      </c>
      <c r="AD207" s="62">
        <v>462.09281893003998</v>
      </c>
      <c r="AE207" s="62">
        <v>397.39982427983455</v>
      </c>
      <c r="AF207" s="62">
        <v>0</v>
      </c>
      <c r="AG207" s="62">
        <v>0</v>
      </c>
      <c r="AH207" s="62"/>
      <c r="AI207" s="62">
        <v>-678.21480995850766</v>
      </c>
      <c r="AJ207" s="62">
        <v>-640.12796016597611</v>
      </c>
      <c r="AK207" s="62">
        <v>-466.62119999999919</v>
      </c>
      <c r="AL207" s="62">
        <v>-466.62119999999919</v>
      </c>
      <c r="AM207" s="62">
        <v>0</v>
      </c>
    </row>
    <row r="208" spans="1:39">
      <c r="A208" s="9">
        <v>92011</v>
      </c>
      <c r="B208" s="10" t="s">
        <v>1588</v>
      </c>
      <c r="C208" s="60">
        <v>2.0049999999999999E-4</v>
      </c>
      <c r="E208" s="62">
        <v>26010.8778683821</v>
      </c>
      <c r="F208" s="62">
        <v>92070.9887162659</v>
      </c>
      <c r="G208" s="62">
        <v>47454.811440164616</v>
      </c>
      <c r="H208" s="62">
        <v>-20829.539379999987</v>
      </c>
      <c r="I208" s="62">
        <v>0</v>
      </c>
      <c r="J208" s="62"/>
      <c r="K208" s="62">
        <v>-1206.4085</v>
      </c>
      <c r="L208" s="62">
        <v>2539.5329999999999</v>
      </c>
      <c r="M208" s="62">
        <v>4712.1509999999998</v>
      </c>
      <c r="N208" s="62">
        <v>2930.3074999999999</v>
      </c>
      <c r="O208" s="62">
        <v>0</v>
      </c>
      <c r="P208" s="62"/>
      <c r="Q208" s="62">
        <v>4414.0074999999997</v>
      </c>
      <c r="R208" s="62">
        <v>73230.62</v>
      </c>
      <c r="S208" s="62">
        <v>28022.280999999999</v>
      </c>
      <c r="T208" s="62">
        <v>-31294.842000000001</v>
      </c>
      <c r="U208" s="62">
        <v>0</v>
      </c>
      <c r="V208" s="62"/>
      <c r="W208" s="62">
        <v>13088.038499999999</v>
      </c>
      <c r="X208" s="62">
        <v>13088.038499999999</v>
      </c>
      <c r="Y208" s="62">
        <v>12031.203</v>
      </c>
      <c r="Z208" s="62">
        <v>5537.8099999999995</v>
      </c>
      <c r="AA208" s="62">
        <v>0</v>
      </c>
      <c r="AB208" s="62"/>
      <c r="AC208" s="62">
        <v>9715.2403683821012</v>
      </c>
      <c r="AD208" s="62">
        <v>3212.7972162659162</v>
      </c>
      <c r="AE208" s="62">
        <v>2689.1764401646178</v>
      </c>
      <c r="AF208" s="62">
        <v>1997.1851200000149</v>
      </c>
      <c r="AG208" s="62">
        <v>0</v>
      </c>
      <c r="AH208" s="62"/>
      <c r="AI208" s="62">
        <v>0</v>
      </c>
      <c r="AJ208" s="62">
        <v>0</v>
      </c>
      <c r="AK208" s="62">
        <v>0</v>
      </c>
      <c r="AL208" s="62">
        <v>0</v>
      </c>
      <c r="AM208" s="62">
        <v>0</v>
      </c>
    </row>
    <row r="209" spans="1:39">
      <c r="A209" s="9">
        <v>92017</v>
      </c>
      <c r="B209" s="10" t="s">
        <v>1589</v>
      </c>
      <c r="C209" s="60">
        <v>3.4199999999999998E-5</v>
      </c>
      <c r="E209" s="62">
        <v>2118.3829541205168</v>
      </c>
      <c r="F209" s="62">
        <v>15172.785925904749</v>
      </c>
      <c r="G209" s="62">
        <v>7566.1446660905312</v>
      </c>
      <c r="H209" s="62">
        <v>-3796.3514800000012</v>
      </c>
      <c r="I209" s="62">
        <v>0</v>
      </c>
      <c r="J209" s="62"/>
      <c r="K209" s="62">
        <v>-205.78139999999999</v>
      </c>
      <c r="L209" s="62">
        <v>433.17719999999997</v>
      </c>
      <c r="M209" s="62">
        <v>803.76839999999993</v>
      </c>
      <c r="N209" s="62">
        <v>499.83299999999997</v>
      </c>
      <c r="O209" s="62">
        <v>0</v>
      </c>
      <c r="P209" s="62"/>
      <c r="Q209" s="62">
        <v>752.9129999999999</v>
      </c>
      <c r="R209" s="62">
        <v>12491.207999999999</v>
      </c>
      <c r="S209" s="62">
        <v>4779.8603999999996</v>
      </c>
      <c r="T209" s="62">
        <v>-5338.0727999999999</v>
      </c>
      <c r="U209" s="62">
        <v>0</v>
      </c>
      <c r="V209" s="62"/>
      <c r="W209" s="62">
        <v>2232.4733999999999</v>
      </c>
      <c r="X209" s="62">
        <v>2232.4733999999999</v>
      </c>
      <c r="Y209" s="62">
        <v>2052.2051999999999</v>
      </c>
      <c r="Z209" s="62">
        <v>944.60399999999993</v>
      </c>
      <c r="AA209" s="62">
        <v>0</v>
      </c>
      <c r="AB209" s="62"/>
      <c r="AC209" s="62">
        <v>234.84336564315254</v>
      </c>
      <c r="AD209" s="62">
        <v>210.08273742738498</v>
      </c>
      <c r="AE209" s="62">
        <v>97.284319999999184</v>
      </c>
      <c r="AF209" s="62">
        <v>97.284319999999184</v>
      </c>
      <c r="AG209" s="62">
        <v>0</v>
      </c>
      <c r="AH209" s="62"/>
      <c r="AI209" s="62">
        <v>-896.06541152263526</v>
      </c>
      <c r="AJ209" s="62">
        <v>-194.15541152263501</v>
      </c>
      <c r="AK209" s="62">
        <v>-166.97365390946618</v>
      </c>
      <c r="AL209" s="62">
        <v>0</v>
      </c>
      <c r="AM209" s="62">
        <v>0</v>
      </c>
    </row>
    <row r="210" spans="1:39">
      <c r="A210" s="9">
        <v>92021</v>
      </c>
      <c r="B210" s="10" t="s">
        <v>1590</v>
      </c>
      <c r="C210" s="60">
        <v>1.5779999999999999E-4</v>
      </c>
      <c r="E210" s="62">
        <v>14634.676145911231</v>
      </c>
      <c r="F210" s="62">
        <v>76239.244824832378</v>
      </c>
      <c r="G210" s="62">
        <v>43876.791829218113</v>
      </c>
      <c r="H210" s="62">
        <v>-15362.572199999999</v>
      </c>
      <c r="I210" s="62">
        <v>0</v>
      </c>
      <c r="J210" s="62"/>
      <c r="K210" s="62">
        <v>-949.48259999999993</v>
      </c>
      <c r="L210" s="62">
        <v>1998.6947999999998</v>
      </c>
      <c r="M210" s="62">
        <v>3708.6155999999996</v>
      </c>
      <c r="N210" s="62">
        <v>2306.2469999999998</v>
      </c>
      <c r="O210" s="62">
        <v>0</v>
      </c>
      <c r="P210" s="62"/>
      <c r="Q210" s="62">
        <v>3473.9669999999996</v>
      </c>
      <c r="R210" s="62">
        <v>57634.871999999996</v>
      </c>
      <c r="S210" s="62">
        <v>22054.443599999999</v>
      </c>
      <c r="T210" s="62">
        <v>-24630.055199999999</v>
      </c>
      <c r="U210" s="62">
        <v>0</v>
      </c>
      <c r="V210" s="62"/>
      <c r="W210" s="62">
        <v>10300.710599999999</v>
      </c>
      <c r="X210" s="62">
        <v>10300.710599999999</v>
      </c>
      <c r="Y210" s="62">
        <v>9468.9467999999997</v>
      </c>
      <c r="Z210" s="62">
        <v>4358.4359999999997</v>
      </c>
      <c r="AA210" s="62">
        <v>0</v>
      </c>
      <c r="AB210" s="62"/>
      <c r="AC210" s="62">
        <v>9628.3649176954714</v>
      </c>
      <c r="AD210" s="62">
        <v>9628.3649176954714</v>
      </c>
      <c r="AE210" s="62">
        <v>8644.7858292181081</v>
      </c>
      <c r="AF210" s="62">
        <v>2602.7999999999997</v>
      </c>
      <c r="AG210" s="62">
        <v>0</v>
      </c>
      <c r="AH210" s="62"/>
      <c r="AI210" s="62">
        <v>-7818.8837717842389</v>
      </c>
      <c r="AJ210" s="62">
        <v>-3323.3974928630764</v>
      </c>
      <c r="AK210" s="62">
        <v>0</v>
      </c>
      <c r="AL210" s="62">
        <v>0</v>
      </c>
      <c r="AM210" s="62">
        <v>0</v>
      </c>
    </row>
    <row r="211" spans="1:39">
      <c r="A211" s="9">
        <v>92101</v>
      </c>
      <c r="B211" s="10" t="s">
        <v>1591</v>
      </c>
      <c r="C211" s="60">
        <v>8.5209999999999995E-4</v>
      </c>
      <c r="E211" s="62">
        <v>59007.529816683287</v>
      </c>
      <c r="F211" s="62">
        <v>359032.44873162097</v>
      </c>
      <c r="G211" s="62">
        <v>172731.15210131687</v>
      </c>
      <c r="H211" s="62">
        <v>-104326.51905999999</v>
      </c>
      <c r="I211" s="62">
        <v>0</v>
      </c>
      <c r="J211" s="62"/>
      <c r="K211" s="62">
        <v>-5127.0856999999996</v>
      </c>
      <c r="L211" s="62">
        <v>10792.6986</v>
      </c>
      <c r="M211" s="62">
        <v>20026.054199999999</v>
      </c>
      <c r="N211" s="62">
        <v>12453.441499999999</v>
      </c>
      <c r="O211" s="62">
        <v>0</v>
      </c>
      <c r="P211" s="62"/>
      <c r="Q211" s="62">
        <v>18758.981499999998</v>
      </c>
      <c r="R211" s="62">
        <v>311221.00399999996</v>
      </c>
      <c r="S211" s="62">
        <v>119091.20019999999</v>
      </c>
      <c r="T211" s="62">
        <v>-132999.1764</v>
      </c>
      <c r="U211" s="62">
        <v>0</v>
      </c>
      <c r="V211" s="62"/>
      <c r="W211" s="62">
        <v>55622.5317</v>
      </c>
      <c r="X211" s="62">
        <v>55622.5317</v>
      </c>
      <c r="Y211" s="62">
        <v>51131.1126</v>
      </c>
      <c r="Z211" s="62">
        <v>23535.002</v>
      </c>
      <c r="AA211" s="62">
        <v>0</v>
      </c>
      <c r="AB211" s="62"/>
      <c r="AC211" s="62">
        <v>8931.0149170124896</v>
      </c>
      <c r="AD211" s="62">
        <v>574.12703195024051</v>
      </c>
      <c r="AE211" s="62">
        <v>0</v>
      </c>
      <c r="AF211" s="62">
        <v>0</v>
      </c>
      <c r="AG211" s="62">
        <v>0</v>
      </c>
      <c r="AH211" s="62"/>
      <c r="AI211" s="62">
        <v>-19177.912600329197</v>
      </c>
      <c r="AJ211" s="62">
        <v>-19177.912600329197</v>
      </c>
      <c r="AK211" s="62">
        <v>-17517.214898683109</v>
      </c>
      <c r="AL211" s="62">
        <v>-7315.7861599999833</v>
      </c>
      <c r="AM211" s="62">
        <v>0</v>
      </c>
    </row>
    <row r="212" spans="1:39">
      <c r="A212" s="9">
        <v>92104</v>
      </c>
      <c r="B212" s="10" t="s">
        <v>1592</v>
      </c>
      <c r="C212" s="60">
        <v>8.6000000000000007E-6</v>
      </c>
      <c r="E212" s="62">
        <v>2539.5023589822936</v>
      </c>
      <c r="F212" s="62">
        <v>4665.122777239555</v>
      </c>
      <c r="G212" s="62">
        <v>2390.3262694650221</v>
      </c>
      <c r="H212" s="62">
        <v>-766.19323999999881</v>
      </c>
      <c r="I212" s="62">
        <v>0</v>
      </c>
      <c r="J212" s="62"/>
      <c r="K212" s="62">
        <v>-51.746200000000002</v>
      </c>
      <c r="L212" s="62">
        <v>108.92760000000001</v>
      </c>
      <c r="M212" s="62">
        <v>202.11720000000003</v>
      </c>
      <c r="N212" s="62">
        <v>125.68900000000001</v>
      </c>
      <c r="O212" s="62">
        <v>0</v>
      </c>
      <c r="P212" s="62"/>
      <c r="Q212" s="62">
        <v>189.32900000000001</v>
      </c>
      <c r="R212" s="62">
        <v>3141.0640000000003</v>
      </c>
      <c r="S212" s="62">
        <v>1201.9532000000002</v>
      </c>
      <c r="T212" s="62">
        <v>-1342.3224</v>
      </c>
      <c r="U212" s="62">
        <v>0</v>
      </c>
      <c r="V212" s="62"/>
      <c r="W212" s="62">
        <v>561.38220000000001</v>
      </c>
      <c r="X212" s="62">
        <v>561.38220000000001</v>
      </c>
      <c r="Y212" s="62">
        <v>516.05160000000001</v>
      </c>
      <c r="Z212" s="62">
        <v>237.53200000000001</v>
      </c>
      <c r="AA212" s="62">
        <v>0</v>
      </c>
      <c r="AB212" s="62"/>
      <c r="AC212" s="62">
        <v>1840.5373589822937</v>
      </c>
      <c r="AD212" s="62">
        <v>853.74897723955496</v>
      </c>
      <c r="AE212" s="62">
        <v>470.20426946502175</v>
      </c>
      <c r="AF212" s="62">
        <v>212.90816000000106</v>
      </c>
      <c r="AG212" s="62">
        <v>0</v>
      </c>
      <c r="AH212" s="62"/>
      <c r="AI212" s="62">
        <v>0</v>
      </c>
      <c r="AJ212" s="62">
        <v>0</v>
      </c>
      <c r="AK212" s="62">
        <v>0</v>
      </c>
      <c r="AL212" s="62">
        <v>0</v>
      </c>
      <c r="AM212" s="62">
        <v>0</v>
      </c>
    </row>
    <row r="213" spans="1:39">
      <c r="A213" s="9">
        <v>92109</v>
      </c>
      <c r="B213" s="10" t="s">
        <v>1593</v>
      </c>
      <c r="C213" s="60">
        <v>1.8809999999999999E-4</v>
      </c>
      <c r="E213" s="62">
        <v>9879.0633528005637</v>
      </c>
      <c r="F213" s="62">
        <v>77923.248076452001</v>
      </c>
      <c r="G213" s="62">
        <v>42217.622029876533</v>
      </c>
      <c r="H213" s="62">
        <v>-21332.671780000008</v>
      </c>
      <c r="I213" s="62">
        <v>0</v>
      </c>
      <c r="J213" s="62"/>
      <c r="K213" s="62">
        <v>-1131.7976999999998</v>
      </c>
      <c r="L213" s="62">
        <v>2382.4746</v>
      </c>
      <c r="M213" s="62">
        <v>4420.7262000000001</v>
      </c>
      <c r="N213" s="62">
        <v>2749.0814999999998</v>
      </c>
      <c r="O213" s="62">
        <v>0</v>
      </c>
      <c r="P213" s="62"/>
      <c r="Q213" s="62">
        <v>4141.0214999999998</v>
      </c>
      <c r="R213" s="62">
        <v>68701.644</v>
      </c>
      <c r="S213" s="62">
        <v>26289.232199999999</v>
      </c>
      <c r="T213" s="62">
        <v>-29359.400399999999</v>
      </c>
      <c r="U213" s="62">
        <v>0</v>
      </c>
      <c r="V213" s="62"/>
      <c r="W213" s="62">
        <v>12278.6037</v>
      </c>
      <c r="X213" s="62">
        <v>12278.6037</v>
      </c>
      <c r="Y213" s="62">
        <v>11287.1286</v>
      </c>
      <c r="Z213" s="62">
        <v>5195.3220000000001</v>
      </c>
      <c r="AA213" s="62">
        <v>0</v>
      </c>
      <c r="AB213" s="62"/>
      <c r="AC213" s="62">
        <v>1521.1243175308573</v>
      </c>
      <c r="AD213" s="62">
        <v>243.03431753085681</v>
      </c>
      <c r="AE213" s="62">
        <v>220.5350298765357</v>
      </c>
      <c r="AF213" s="62">
        <v>82.32511999999133</v>
      </c>
      <c r="AG213" s="62">
        <v>0</v>
      </c>
      <c r="AH213" s="62"/>
      <c r="AI213" s="62">
        <v>-6929.8884647302921</v>
      </c>
      <c r="AJ213" s="62">
        <v>-5682.5085410788415</v>
      </c>
      <c r="AK213" s="62">
        <v>0</v>
      </c>
      <c r="AL213" s="62">
        <v>0</v>
      </c>
      <c r="AM213" s="62">
        <v>0</v>
      </c>
    </row>
    <row r="214" spans="1:39">
      <c r="A214" s="9">
        <v>92111</v>
      </c>
      <c r="B214" s="10" t="s">
        <v>1594</v>
      </c>
      <c r="C214" s="60">
        <v>5.0460000000000001E-4</v>
      </c>
      <c r="E214" s="62">
        <v>43416.095161162491</v>
      </c>
      <c r="F214" s="62">
        <v>221281.3637949384</v>
      </c>
      <c r="G214" s="62">
        <v>109305.27366032921</v>
      </c>
      <c r="H214" s="62">
        <v>-56814.941080000011</v>
      </c>
      <c r="I214" s="62">
        <v>0</v>
      </c>
      <c r="J214" s="62"/>
      <c r="K214" s="62">
        <v>-3036.1782000000003</v>
      </c>
      <c r="L214" s="62">
        <v>6391.2636000000002</v>
      </c>
      <c r="M214" s="62">
        <v>11859.109200000001</v>
      </c>
      <c r="N214" s="62">
        <v>7374.7290000000003</v>
      </c>
      <c r="O214" s="62">
        <v>0</v>
      </c>
      <c r="P214" s="62"/>
      <c r="Q214" s="62">
        <v>11108.769</v>
      </c>
      <c r="R214" s="62">
        <v>184300.10399999999</v>
      </c>
      <c r="S214" s="62">
        <v>70523.905200000008</v>
      </c>
      <c r="T214" s="62">
        <v>-78759.986400000009</v>
      </c>
      <c r="U214" s="62">
        <v>0</v>
      </c>
      <c r="V214" s="62"/>
      <c r="W214" s="62">
        <v>32938.7742</v>
      </c>
      <c r="X214" s="62">
        <v>32938.7742</v>
      </c>
      <c r="Y214" s="62">
        <v>30279.027600000001</v>
      </c>
      <c r="Z214" s="62">
        <v>13937.052</v>
      </c>
      <c r="AA214" s="62">
        <v>0</v>
      </c>
      <c r="AB214" s="62"/>
      <c r="AC214" s="62">
        <v>7044.3030212448039</v>
      </c>
      <c r="AD214" s="62">
        <v>2290.7948550207379</v>
      </c>
      <c r="AE214" s="62">
        <v>633.26431999999329</v>
      </c>
      <c r="AF214" s="62">
        <v>633.26431999999329</v>
      </c>
      <c r="AG214" s="62">
        <v>0</v>
      </c>
      <c r="AH214" s="62"/>
      <c r="AI214" s="62">
        <v>-4639.5728600823095</v>
      </c>
      <c r="AJ214" s="62">
        <v>-4639.5728600823095</v>
      </c>
      <c r="AK214" s="62">
        <v>-3990.0326596707878</v>
      </c>
      <c r="AL214" s="62">
        <v>0</v>
      </c>
      <c r="AM214" s="62">
        <v>0</v>
      </c>
    </row>
    <row r="215" spans="1:39">
      <c r="A215" s="9">
        <v>92113</v>
      </c>
      <c r="B215" s="10" t="s">
        <v>1595</v>
      </c>
      <c r="C215" s="60">
        <v>1.4399999999999999E-5</v>
      </c>
      <c r="E215" s="62">
        <v>8339.6070417902065</v>
      </c>
      <c r="F215" s="62">
        <v>12512.28485423834</v>
      </c>
      <c r="G215" s="62">
        <v>5884.9231228806593</v>
      </c>
      <c r="H215" s="62">
        <v>-2184.1188799999986</v>
      </c>
      <c r="I215" s="62">
        <v>0</v>
      </c>
      <c r="J215" s="62"/>
      <c r="K215" s="62">
        <v>-86.644799999999989</v>
      </c>
      <c r="L215" s="62">
        <v>182.3904</v>
      </c>
      <c r="M215" s="62">
        <v>338.42879999999997</v>
      </c>
      <c r="N215" s="62">
        <v>210.45599999999999</v>
      </c>
      <c r="O215" s="62">
        <v>0</v>
      </c>
      <c r="P215" s="62"/>
      <c r="Q215" s="62">
        <v>317.01599999999996</v>
      </c>
      <c r="R215" s="62">
        <v>5259.4560000000001</v>
      </c>
      <c r="S215" s="62">
        <v>2012.5727999999999</v>
      </c>
      <c r="T215" s="62">
        <v>-2247.6095999999998</v>
      </c>
      <c r="U215" s="62">
        <v>0</v>
      </c>
      <c r="V215" s="62"/>
      <c r="W215" s="62">
        <v>939.98879999999997</v>
      </c>
      <c r="X215" s="62">
        <v>939.98879999999997</v>
      </c>
      <c r="Y215" s="62">
        <v>864.08639999999991</v>
      </c>
      <c r="Z215" s="62">
        <v>397.72800000000001</v>
      </c>
      <c r="AA215" s="62">
        <v>0</v>
      </c>
      <c r="AB215" s="62"/>
      <c r="AC215" s="62">
        <v>7713.9403217902054</v>
      </c>
      <c r="AD215" s="62">
        <v>6675.1429342383399</v>
      </c>
      <c r="AE215" s="62">
        <v>3214.5284028806582</v>
      </c>
      <c r="AF215" s="62">
        <v>0</v>
      </c>
      <c r="AG215" s="62">
        <v>0</v>
      </c>
      <c r="AH215" s="62"/>
      <c r="AI215" s="62">
        <v>-544.69327999999894</v>
      </c>
      <c r="AJ215" s="62">
        <v>-544.69327999999894</v>
      </c>
      <c r="AK215" s="62">
        <v>-544.69327999999894</v>
      </c>
      <c r="AL215" s="62">
        <v>-544.69327999999894</v>
      </c>
      <c r="AM215" s="62">
        <v>0</v>
      </c>
    </row>
    <row r="216" spans="1:39">
      <c r="A216" s="9">
        <v>92201</v>
      </c>
      <c r="B216" s="10" t="s">
        <v>1596</v>
      </c>
      <c r="C216" s="60">
        <v>9.3389999999999999E-4</v>
      </c>
      <c r="E216" s="62">
        <v>88839.848054492119</v>
      </c>
      <c r="F216" s="62">
        <v>413452.76040055021</v>
      </c>
      <c r="G216" s="62">
        <v>200297.26472518517</v>
      </c>
      <c r="H216" s="62">
        <v>-117162.53565999996</v>
      </c>
      <c r="I216" s="62">
        <v>0</v>
      </c>
      <c r="J216" s="62"/>
      <c r="K216" s="62">
        <v>-5619.2762999999995</v>
      </c>
      <c r="L216" s="62">
        <v>11828.777399999999</v>
      </c>
      <c r="M216" s="62">
        <v>21948.517800000001</v>
      </c>
      <c r="N216" s="62">
        <v>13648.9485</v>
      </c>
      <c r="O216" s="62">
        <v>0</v>
      </c>
      <c r="P216" s="62"/>
      <c r="Q216" s="62">
        <v>20559.808499999999</v>
      </c>
      <c r="R216" s="62">
        <v>341097.636</v>
      </c>
      <c r="S216" s="62">
        <v>130523.73179999999</v>
      </c>
      <c r="T216" s="62">
        <v>-145766.84760000001</v>
      </c>
      <c r="U216" s="62">
        <v>0</v>
      </c>
      <c r="V216" s="62"/>
      <c r="W216" s="62">
        <v>60962.190300000002</v>
      </c>
      <c r="X216" s="62">
        <v>60962.190300000002</v>
      </c>
      <c r="Y216" s="62">
        <v>56039.6034</v>
      </c>
      <c r="Z216" s="62">
        <v>25794.317999999999</v>
      </c>
      <c r="AA216" s="62">
        <v>0</v>
      </c>
      <c r="AB216" s="62"/>
      <c r="AC216" s="62">
        <v>23776.080114492062</v>
      </c>
      <c r="AD216" s="62">
        <v>10403.111260550148</v>
      </c>
      <c r="AE216" s="62">
        <v>2624.3662851851491</v>
      </c>
      <c r="AF216" s="62">
        <v>0</v>
      </c>
      <c r="AG216" s="62">
        <v>0</v>
      </c>
      <c r="AH216" s="62"/>
      <c r="AI216" s="62">
        <v>-10838.95455999996</v>
      </c>
      <c r="AJ216" s="62">
        <v>-10838.95455999996</v>
      </c>
      <c r="AK216" s="62">
        <v>-10838.95455999996</v>
      </c>
      <c r="AL216" s="62">
        <v>-10838.95455999996</v>
      </c>
      <c r="AM216" s="62">
        <v>0</v>
      </c>
    </row>
    <row r="217" spans="1:39">
      <c r="A217" s="9">
        <v>92301</v>
      </c>
      <c r="B217" s="10" t="s">
        <v>1597</v>
      </c>
      <c r="C217" s="60">
        <v>5.2129999999999998E-3</v>
      </c>
      <c r="E217" s="62">
        <v>431130.47266230738</v>
      </c>
      <c r="F217" s="62">
        <v>2323577.4183500251</v>
      </c>
      <c r="G217" s="62">
        <v>1164527.3136125917</v>
      </c>
      <c r="H217" s="62">
        <v>-601512.2834800008</v>
      </c>
      <c r="I217" s="62">
        <v>0</v>
      </c>
      <c r="J217" s="62"/>
      <c r="K217" s="62">
        <v>-31366.620999999999</v>
      </c>
      <c r="L217" s="62">
        <v>66027.857999999993</v>
      </c>
      <c r="M217" s="62">
        <v>122515.92599999999</v>
      </c>
      <c r="N217" s="62">
        <v>76187.994999999995</v>
      </c>
      <c r="O217" s="62">
        <v>0</v>
      </c>
      <c r="P217" s="62"/>
      <c r="Q217" s="62">
        <v>114764.19499999999</v>
      </c>
      <c r="R217" s="62">
        <v>1903996.1199999999</v>
      </c>
      <c r="S217" s="62">
        <v>728579.30599999998</v>
      </c>
      <c r="T217" s="62">
        <v>-813665.89199999999</v>
      </c>
      <c r="U217" s="62">
        <v>0</v>
      </c>
      <c r="V217" s="62"/>
      <c r="W217" s="62">
        <v>340289.00099999999</v>
      </c>
      <c r="X217" s="62">
        <v>340289.00099999999</v>
      </c>
      <c r="Y217" s="62">
        <v>312811.27799999999</v>
      </c>
      <c r="Z217" s="62">
        <v>143983.06</v>
      </c>
      <c r="AA217" s="62">
        <v>0</v>
      </c>
      <c r="AB217" s="62"/>
      <c r="AC217" s="62">
        <v>23748.634142308198</v>
      </c>
      <c r="AD217" s="62">
        <v>21281.885830026047</v>
      </c>
      <c r="AE217" s="62">
        <v>8638.2500925925488</v>
      </c>
      <c r="AF217" s="62">
        <v>0</v>
      </c>
      <c r="AG217" s="62">
        <v>0</v>
      </c>
      <c r="AH217" s="62"/>
      <c r="AI217" s="62">
        <v>-16304.736480000767</v>
      </c>
      <c r="AJ217" s="62">
        <v>-8017.4464800007645</v>
      </c>
      <c r="AK217" s="62">
        <v>-8017.4464800007645</v>
      </c>
      <c r="AL217" s="62">
        <v>-8017.4464800007645</v>
      </c>
      <c r="AM217" s="62">
        <v>0</v>
      </c>
    </row>
    <row r="218" spans="1:39">
      <c r="A218" s="9">
        <v>92302</v>
      </c>
      <c r="B218" s="10" t="s">
        <v>1598</v>
      </c>
      <c r="C218" s="60">
        <v>2.9740000000000002E-4</v>
      </c>
      <c r="E218" s="62">
        <v>14455.83241435512</v>
      </c>
      <c r="F218" s="62">
        <v>124645.15639360825</v>
      </c>
      <c r="G218" s="62">
        <v>60378.477359176941</v>
      </c>
      <c r="H218" s="62">
        <v>-39602.55884000002</v>
      </c>
      <c r="I218" s="62">
        <v>0</v>
      </c>
      <c r="J218" s="62"/>
      <c r="K218" s="62">
        <v>-1789.4558000000002</v>
      </c>
      <c r="L218" s="62">
        <v>3766.8684000000003</v>
      </c>
      <c r="M218" s="62">
        <v>6989.4948000000004</v>
      </c>
      <c r="N218" s="62">
        <v>4346.5010000000002</v>
      </c>
      <c r="O218" s="62">
        <v>0</v>
      </c>
      <c r="P218" s="62"/>
      <c r="Q218" s="62">
        <v>6547.2610000000004</v>
      </c>
      <c r="R218" s="62">
        <v>108622.376</v>
      </c>
      <c r="S218" s="62">
        <v>41565.218800000002</v>
      </c>
      <c r="T218" s="62">
        <v>-46419.381600000001</v>
      </c>
      <c r="U218" s="62">
        <v>0</v>
      </c>
      <c r="V218" s="62"/>
      <c r="W218" s="62">
        <v>19413.379800000002</v>
      </c>
      <c r="X218" s="62">
        <v>19413.379800000002</v>
      </c>
      <c r="Y218" s="62">
        <v>17845.7844</v>
      </c>
      <c r="Z218" s="62">
        <v>8214.1880000000001</v>
      </c>
      <c r="AA218" s="62">
        <v>0</v>
      </c>
      <c r="AB218" s="62"/>
      <c r="AC218" s="62">
        <v>0</v>
      </c>
      <c r="AD218" s="62">
        <v>0</v>
      </c>
      <c r="AE218" s="62">
        <v>0</v>
      </c>
      <c r="AF218" s="62">
        <v>0</v>
      </c>
      <c r="AG218" s="62">
        <v>0</v>
      </c>
      <c r="AH218" s="62"/>
      <c r="AI218" s="62">
        <v>-9715.352585644885</v>
      </c>
      <c r="AJ218" s="62">
        <v>-7157.4678063917727</v>
      </c>
      <c r="AK218" s="62">
        <v>-6022.0206408230679</v>
      </c>
      <c r="AL218" s="62">
        <v>-5743.8662400000176</v>
      </c>
      <c r="AM218" s="62">
        <v>0</v>
      </c>
    </row>
    <row r="219" spans="1:39">
      <c r="A219" s="9">
        <v>92311</v>
      </c>
      <c r="B219" s="10" t="s">
        <v>1599</v>
      </c>
      <c r="C219" s="60">
        <v>2.2504999999999999E-3</v>
      </c>
      <c r="E219" s="62">
        <v>146627.70332924571</v>
      </c>
      <c r="F219" s="62">
        <v>987305.15668244078</v>
      </c>
      <c r="G219" s="62">
        <v>500851.64995646081</v>
      </c>
      <c r="H219" s="62">
        <v>-254127.67426000006</v>
      </c>
      <c r="I219" s="62">
        <v>0</v>
      </c>
      <c r="J219" s="62"/>
      <c r="K219" s="62">
        <v>-13541.2585</v>
      </c>
      <c r="L219" s="62">
        <v>28504.832999999999</v>
      </c>
      <c r="M219" s="62">
        <v>52891.250999999997</v>
      </c>
      <c r="N219" s="62">
        <v>32891.057499999995</v>
      </c>
      <c r="O219" s="62">
        <v>0</v>
      </c>
      <c r="P219" s="62"/>
      <c r="Q219" s="62">
        <v>49544.7575</v>
      </c>
      <c r="R219" s="62">
        <v>821972.62</v>
      </c>
      <c r="S219" s="62">
        <v>314534.38099999999</v>
      </c>
      <c r="T219" s="62">
        <v>-351267.04199999996</v>
      </c>
      <c r="U219" s="62">
        <v>0</v>
      </c>
      <c r="V219" s="62"/>
      <c r="W219" s="62">
        <v>146905.8885</v>
      </c>
      <c r="X219" s="62">
        <v>146905.8885</v>
      </c>
      <c r="Y219" s="62">
        <v>135043.503</v>
      </c>
      <c r="Z219" s="62">
        <v>62158.81</v>
      </c>
      <c r="AA219" s="62">
        <v>0</v>
      </c>
      <c r="AB219" s="62"/>
      <c r="AC219" s="62">
        <v>2089.5002399999175</v>
      </c>
      <c r="AD219" s="62">
        <v>2089.5002399999175</v>
      </c>
      <c r="AE219" s="62">
        <v>2089.5002399999175</v>
      </c>
      <c r="AF219" s="62">
        <v>2089.5002399999175</v>
      </c>
      <c r="AG219" s="62">
        <v>0</v>
      </c>
      <c r="AH219" s="62"/>
      <c r="AI219" s="62">
        <v>-38371.184410754206</v>
      </c>
      <c r="AJ219" s="62">
        <v>-12167.685057559194</v>
      </c>
      <c r="AK219" s="62">
        <v>-3706.9852835391307</v>
      </c>
      <c r="AL219" s="62">
        <v>0</v>
      </c>
      <c r="AM219" s="62">
        <v>0</v>
      </c>
    </row>
    <row r="220" spans="1:39">
      <c r="A220" s="9">
        <v>92317</v>
      </c>
      <c r="B220" s="10" t="s">
        <v>1600</v>
      </c>
      <c r="C220" s="60">
        <v>2.94E-5</v>
      </c>
      <c r="E220" s="62">
        <v>8596.378590583814</v>
      </c>
      <c r="F220" s="62">
        <v>17780.559310915763</v>
      </c>
      <c r="G220" s="62">
        <v>9404.7949413991755</v>
      </c>
      <c r="H220" s="62">
        <v>-1530.2898800000016</v>
      </c>
      <c r="I220" s="62">
        <v>0</v>
      </c>
      <c r="J220" s="62"/>
      <c r="K220" s="62">
        <v>-176.8998</v>
      </c>
      <c r="L220" s="62">
        <v>372.38040000000001</v>
      </c>
      <c r="M220" s="62">
        <v>690.9588</v>
      </c>
      <c r="N220" s="62">
        <v>429.68099999999998</v>
      </c>
      <c r="O220" s="62">
        <v>0</v>
      </c>
      <c r="P220" s="62"/>
      <c r="Q220" s="62">
        <v>647.24099999999999</v>
      </c>
      <c r="R220" s="62">
        <v>10738.056</v>
      </c>
      <c r="S220" s="62">
        <v>4109.0028000000002</v>
      </c>
      <c r="T220" s="62">
        <v>-4588.8696</v>
      </c>
      <c r="U220" s="62">
        <v>0</v>
      </c>
      <c r="V220" s="62"/>
      <c r="W220" s="62">
        <v>1919.1438000000001</v>
      </c>
      <c r="X220" s="62">
        <v>1919.1438000000001</v>
      </c>
      <c r="Y220" s="62">
        <v>1764.1764000000001</v>
      </c>
      <c r="Z220" s="62">
        <v>812.02800000000002</v>
      </c>
      <c r="AA220" s="62">
        <v>0</v>
      </c>
      <c r="AB220" s="62"/>
      <c r="AC220" s="62">
        <v>6206.8935905838134</v>
      </c>
      <c r="AD220" s="62">
        <v>4750.9791109157641</v>
      </c>
      <c r="AE220" s="62">
        <v>2840.6569413991751</v>
      </c>
      <c r="AF220" s="62">
        <v>1816.8707199999985</v>
      </c>
      <c r="AG220" s="62">
        <v>0</v>
      </c>
      <c r="AH220" s="62"/>
      <c r="AI220" s="62">
        <v>0</v>
      </c>
      <c r="AJ220" s="62">
        <v>0</v>
      </c>
      <c r="AK220" s="62">
        <v>0</v>
      </c>
      <c r="AL220" s="62">
        <v>0</v>
      </c>
      <c r="AM220" s="62">
        <v>0</v>
      </c>
    </row>
    <row r="221" spans="1:39">
      <c r="A221" s="9">
        <v>92321</v>
      </c>
      <c r="B221" s="10" t="s">
        <v>1601</v>
      </c>
      <c r="C221" s="60">
        <v>1.1773E-3</v>
      </c>
      <c r="E221" s="62">
        <v>116045.29569447505</v>
      </c>
      <c r="F221" s="62">
        <v>526329.9191309067</v>
      </c>
      <c r="G221" s="62">
        <v>257638.04195695478</v>
      </c>
      <c r="H221" s="62">
        <v>-138952.91562000001</v>
      </c>
      <c r="I221" s="62">
        <v>0</v>
      </c>
      <c r="J221" s="62"/>
      <c r="K221" s="62">
        <v>-7083.8141000000005</v>
      </c>
      <c r="L221" s="62">
        <v>14911.6818</v>
      </c>
      <c r="M221" s="62">
        <v>27668.904600000002</v>
      </c>
      <c r="N221" s="62">
        <v>17206.2395</v>
      </c>
      <c r="O221" s="62">
        <v>0</v>
      </c>
      <c r="P221" s="62"/>
      <c r="Q221" s="62">
        <v>25918.2595</v>
      </c>
      <c r="R221" s="62">
        <v>429997.05200000003</v>
      </c>
      <c r="S221" s="62">
        <v>164541.8026</v>
      </c>
      <c r="T221" s="62">
        <v>-183757.69320000001</v>
      </c>
      <c r="U221" s="62">
        <v>0</v>
      </c>
      <c r="V221" s="62"/>
      <c r="W221" s="62">
        <v>76850.612099999998</v>
      </c>
      <c r="X221" s="62">
        <v>76850.612099999998</v>
      </c>
      <c r="Y221" s="62">
        <v>70645.063800000004</v>
      </c>
      <c r="Z221" s="62">
        <v>32517.026000000002</v>
      </c>
      <c r="AA221" s="62">
        <v>0</v>
      </c>
      <c r="AB221" s="62"/>
      <c r="AC221" s="62">
        <v>25626.680908713686</v>
      </c>
      <c r="AD221" s="62">
        <v>9837.0159451452255</v>
      </c>
      <c r="AE221" s="62">
        <v>0</v>
      </c>
      <c r="AF221" s="62">
        <v>0</v>
      </c>
      <c r="AG221" s="62">
        <v>0</v>
      </c>
      <c r="AH221" s="62"/>
      <c r="AI221" s="62">
        <v>-5266.4427142386467</v>
      </c>
      <c r="AJ221" s="62">
        <v>-5266.4427142386467</v>
      </c>
      <c r="AK221" s="62">
        <v>-5217.7290430452367</v>
      </c>
      <c r="AL221" s="62">
        <v>-4918.4879200000087</v>
      </c>
      <c r="AM221" s="62">
        <v>0</v>
      </c>
    </row>
    <row r="222" spans="1:39">
      <c r="A222" s="9">
        <v>92327</v>
      </c>
      <c r="B222" s="10" t="s">
        <v>1602</v>
      </c>
      <c r="C222" s="60">
        <v>5.6999999999999996E-6</v>
      </c>
      <c r="E222" s="62">
        <v>1603.7896144435899</v>
      </c>
      <c r="F222" s="62">
        <v>3431.7788899622619</v>
      </c>
      <c r="G222" s="62">
        <v>1869.839841810699</v>
      </c>
      <c r="H222" s="62">
        <v>-360.09298000000069</v>
      </c>
      <c r="I222" s="62">
        <v>0</v>
      </c>
      <c r="J222" s="62"/>
      <c r="K222" s="62">
        <v>-34.296900000000001</v>
      </c>
      <c r="L222" s="62">
        <v>72.19619999999999</v>
      </c>
      <c r="M222" s="62">
        <v>133.9614</v>
      </c>
      <c r="N222" s="62">
        <v>83.305499999999995</v>
      </c>
      <c r="O222" s="62">
        <v>0</v>
      </c>
      <c r="P222" s="62"/>
      <c r="Q222" s="62">
        <v>125.48549999999999</v>
      </c>
      <c r="R222" s="62">
        <v>2081.8679999999999</v>
      </c>
      <c r="S222" s="62">
        <v>796.64339999999993</v>
      </c>
      <c r="T222" s="62">
        <v>-889.67879999999991</v>
      </c>
      <c r="U222" s="62">
        <v>0</v>
      </c>
      <c r="V222" s="62"/>
      <c r="W222" s="62">
        <v>372.07889999999998</v>
      </c>
      <c r="X222" s="62">
        <v>372.07889999999998</v>
      </c>
      <c r="Y222" s="62">
        <v>342.0342</v>
      </c>
      <c r="Z222" s="62">
        <v>157.434</v>
      </c>
      <c r="AA222" s="62">
        <v>0</v>
      </c>
      <c r="AB222" s="62"/>
      <c r="AC222" s="62">
        <v>1140.52211444359</v>
      </c>
      <c r="AD222" s="62">
        <v>905.63578996226238</v>
      </c>
      <c r="AE222" s="62">
        <v>597.2008418106991</v>
      </c>
      <c r="AF222" s="62">
        <v>288.84631999999931</v>
      </c>
      <c r="AG222" s="62">
        <v>0</v>
      </c>
      <c r="AH222" s="62"/>
      <c r="AI222" s="62">
        <v>0</v>
      </c>
      <c r="AJ222" s="62">
        <v>0</v>
      </c>
      <c r="AK222" s="62">
        <v>0</v>
      </c>
      <c r="AL222" s="62">
        <v>0</v>
      </c>
      <c r="AM222" s="62">
        <v>0</v>
      </c>
    </row>
    <row r="223" spans="1:39">
      <c r="A223" s="9">
        <v>92331</v>
      </c>
      <c r="B223" s="10" t="s">
        <v>1603</v>
      </c>
      <c r="C223" s="60">
        <v>1.3970000000000001E-4</v>
      </c>
      <c r="E223" s="62">
        <v>10587.893555818173</v>
      </c>
      <c r="F223" s="62">
        <v>59929.167226274607</v>
      </c>
      <c r="G223" s="62">
        <v>29036.416644362136</v>
      </c>
      <c r="H223" s="62">
        <v>-16488.965540000008</v>
      </c>
      <c r="I223" s="62">
        <v>0</v>
      </c>
      <c r="J223" s="62"/>
      <c r="K223" s="62">
        <v>-840.57490000000007</v>
      </c>
      <c r="L223" s="62">
        <v>1769.4402</v>
      </c>
      <c r="M223" s="62">
        <v>3283.2294000000002</v>
      </c>
      <c r="N223" s="62">
        <v>2041.7155</v>
      </c>
      <c r="O223" s="62">
        <v>0</v>
      </c>
      <c r="P223" s="62"/>
      <c r="Q223" s="62">
        <v>3075.4955</v>
      </c>
      <c r="R223" s="62">
        <v>51024.028000000006</v>
      </c>
      <c r="S223" s="62">
        <v>19524.751400000001</v>
      </c>
      <c r="T223" s="62">
        <v>-21804.934800000003</v>
      </c>
      <c r="U223" s="62">
        <v>0</v>
      </c>
      <c r="V223" s="62"/>
      <c r="W223" s="62">
        <v>9119.1969000000008</v>
      </c>
      <c r="X223" s="62">
        <v>9119.1969000000008</v>
      </c>
      <c r="Y223" s="62">
        <v>8382.8382000000001</v>
      </c>
      <c r="Z223" s="62">
        <v>3858.5140000000001</v>
      </c>
      <c r="AA223" s="62">
        <v>0</v>
      </c>
      <c r="AB223" s="62"/>
      <c r="AC223" s="62">
        <v>1643.7829419087177</v>
      </c>
      <c r="AD223" s="62">
        <v>426.50901236514841</v>
      </c>
      <c r="AE223" s="62">
        <v>0</v>
      </c>
      <c r="AF223" s="62">
        <v>0</v>
      </c>
      <c r="AG223" s="62">
        <v>0</v>
      </c>
      <c r="AH223" s="62"/>
      <c r="AI223" s="62">
        <v>-2410.0068860905444</v>
      </c>
      <c r="AJ223" s="62">
        <v>-2410.0068860905444</v>
      </c>
      <c r="AK223" s="62">
        <v>-2154.4023556378688</v>
      </c>
      <c r="AL223" s="62">
        <v>-584.26024000000177</v>
      </c>
      <c r="AM223" s="62">
        <v>0</v>
      </c>
    </row>
    <row r="224" spans="1:39">
      <c r="A224" s="9">
        <v>92341</v>
      </c>
      <c r="B224" s="10" t="s">
        <v>1604</v>
      </c>
      <c r="C224" s="60">
        <v>9.7999999999999993E-6</v>
      </c>
      <c r="E224" s="62">
        <v>-63.098375208920743</v>
      </c>
      <c r="F224" s="62">
        <v>3578.1619642101659</v>
      </c>
      <c r="G224" s="62">
        <v>2303.8367693004111</v>
      </c>
      <c r="H224" s="62">
        <v>-1061.2349200000001</v>
      </c>
      <c r="I224" s="62">
        <v>0</v>
      </c>
      <c r="J224" s="62"/>
      <c r="K224" s="62">
        <v>-58.966599999999993</v>
      </c>
      <c r="L224" s="62">
        <v>124.12679999999999</v>
      </c>
      <c r="M224" s="62">
        <v>230.31959999999998</v>
      </c>
      <c r="N224" s="62">
        <v>143.227</v>
      </c>
      <c r="O224" s="62">
        <v>0</v>
      </c>
      <c r="P224" s="62"/>
      <c r="Q224" s="62">
        <v>215.74699999999999</v>
      </c>
      <c r="R224" s="62">
        <v>3579.3519999999999</v>
      </c>
      <c r="S224" s="62">
        <v>1369.6676</v>
      </c>
      <c r="T224" s="62">
        <v>-1529.6232</v>
      </c>
      <c r="U224" s="62">
        <v>0</v>
      </c>
      <c r="V224" s="62"/>
      <c r="W224" s="62">
        <v>639.7145999999999</v>
      </c>
      <c r="X224" s="62">
        <v>639.7145999999999</v>
      </c>
      <c r="Y224" s="62">
        <v>588.05879999999991</v>
      </c>
      <c r="Z224" s="62">
        <v>270.67599999999999</v>
      </c>
      <c r="AA224" s="62">
        <v>0</v>
      </c>
      <c r="AB224" s="62"/>
      <c r="AC224" s="62">
        <v>226.75073267489705</v>
      </c>
      <c r="AD224" s="62">
        <v>125.77073267489703</v>
      </c>
      <c r="AE224" s="62">
        <v>115.79076930041145</v>
      </c>
      <c r="AF224" s="62">
        <v>54.485279999999875</v>
      </c>
      <c r="AG224" s="62">
        <v>0</v>
      </c>
      <c r="AH224" s="62"/>
      <c r="AI224" s="62">
        <v>-1086.3441078838177</v>
      </c>
      <c r="AJ224" s="62">
        <v>-890.80216846473081</v>
      </c>
      <c r="AK224" s="62">
        <v>0</v>
      </c>
      <c r="AL224" s="62">
        <v>0</v>
      </c>
      <c r="AM224" s="62">
        <v>0</v>
      </c>
    </row>
    <row r="225" spans="1:39">
      <c r="A225" s="9">
        <v>92351</v>
      </c>
      <c r="B225" s="10" t="s">
        <v>1605</v>
      </c>
      <c r="C225" s="60">
        <v>1.8600000000000001E-5</v>
      </c>
      <c r="E225" s="62">
        <v>496.37927854105783</v>
      </c>
      <c r="F225" s="62">
        <v>6740.0746048481133</v>
      </c>
      <c r="G225" s="62">
        <v>3208.5071567901223</v>
      </c>
      <c r="H225" s="62">
        <v>-2074.9050000000007</v>
      </c>
      <c r="I225" s="62">
        <v>0</v>
      </c>
      <c r="J225" s="62"/>
      <c r="K225" s="62">
        <v>-111.9162</v>
      </c>
      <c r="L225" s="62">
        <v>235.58760000000001</v>
      </c>
      <c r="M225" s="62">
        <v>437.13720000000001</v>
      </c>
      <c r="N225" s="62">
        <v>271.839</v>
      </c>
      <c r="O225" s="62">
        <v>0</v>
      </c>
      <c r="P225" s="62"/>
      <c r="Q225" s="62">
        <v>409.47900000000004</v>
      </c>
      <c r="R225" s="62">
        <v>6793.4640000000009</v>
      </c>
      <c r="S225" s="62">
        <v>2599.5732000000003</v>
      </c>
      <c r="T225" s="62">
        <v>-2903.1624000000002</v>
      </c>
      <c r="U225" s="62">
        <v>0</v>
      </c>
      <c r="V225" s="62"/>
      <c r="W225" s="62">
        <v>1214.1522</v>
      </c>
      <c r="X225" s="62">
        <v>1214.1522</v>
      </c>
      <c r="Y225" s="62">
        <v>1116.1116000000002</v>
      </c>
      <c r="Z225" s="62">
        <v>513.73200000000008</v>
      </c>
      <c r="AA225" s="62">
        <v>0</v>
      </c>
      <c r="AB225" s="62"/>
      <c r="AC225" s="62">
        <v>617.87639999999988</v>
      </c>
      <c r="AD225" s="62">
        <v>42.686399999999765</v>
      </c>
      <c r="AE225" s="62">
        <v>42.686399999999765</v>
      </c>
      <c r="AF225" s="62">
        <v>42.686399999999765</v>
      </c>
      <c r="AG225" s="62">
        <v>0</v>
      </c>
      <c r="AH225" s="62"/>
      <c r="AI225" s="62">
        <v>-1633.2121214589424</v>
      </c>
      <c r="AJ225" s="62">
        <v>-1545.8155951518884</v>
      </c>
      <c r="AK225" s="62">
        <v>-987.0012432098772</v>
      </c>
      <c r="AL225" s="62">
        <v>0</v>
      </c>
      <c r="AM225" s="62">
        <v>0</v>
      </c>
    </row>
    <row r="226" spans="1:39">
      <c r="A226" s="9">
        <v>92401</v>
      </c>
      <c r="B226" s="10" t="s">
        <v>1606</v>
      </c>
      <c r="C226" s="60">
        <v>2.6890999999999998E-3</v>
      </c>
      <c r="E226" s="62">
        <v>237405.218903631</v>
      </c>
      <c r="F226" s="62">
        <v>1195069.4835978218</v>
      </c>
      <c r="G226" s="62">
        <v>605207.84137012355</v>
      </c>
      <c r="H226" s="62">
        <v>-301628.42421999987</v>
      </c>
      <c r="I226" s="62">
        <v>0</v>
      </c>
      <c r="J226" s="62"/>
      <c r="K226" s="62">
        <v>-16180.314699999999</v>
      </c>
      <c r="L226" s="62">
        <v>34060.140599999999</v>
      </c>
      <c r="M226" s="62">
        <v>63199.228199999998</v>
      </c>
      <c r="N226" s="62">
        <v>39301.196499999998</v>
      </c>
      <c r="O226" s="62">
        <v>0</v>
      </c>
      <c r="P226" s="62"/>
      <c r="Q226" s="62">
        <v>59200.536499999995</v>
      </c>
      <c r="R226" s="62">
        <v>982166.88399999996</v>
      </c>
      <c r="S226" s="62">
        <v>375833.99419999996</v>
      </c>
      <c r="T226" s="62">
        <v>-419725.48439999996</v>
      </c>
      <c r="U226" s="62">
        <v>0</v>
      </c>
      <c r="V226" s="62"/>
      <c r="W226" s="62">
        <v>175536.38069999998</v>
      </c>
      <c r="X226" s="62">
        <v>175536.38069999998</v>
      </c>
      <c r="Y226" s="62">
        <v>161362.13459999999</v>
      </c>
      <c r="Z226" s="62">
        <v>74272.941999999995</v>
      </c>
      <c r="AA226" s="62">
        <v>0</v>
      </c>
      <c r="AB226" s="62"/>
      <c r="AC226" s="62">
        <v>20743.182482469307</v>
      </c>
      <c r="AD226" s="62">
        <v>4859.6224824693027</v>
      </c>
      <c r="AE226" s="62">
        <v>4812.4843701236141</v>
      </c>
      <c r="AF226" s="62">
        <v>4522.9216800000995</v>
      </c>
      <c r="AG226" s="62">
        <v>0</v>
      </c>
      <c r="AH226" s="62"/>
      <c r="AI226" s="62">
        <v>-1894.5660788382793</v>
      </c>
      <c r="AJ226" s="62">
        <v>-1553.5441846473896</v>
      </c>
      <c r="AK226" s="62">
        <v>0</v>
      </c>
      <c r="AL226" s="62">
        <v>0</v>
      </c>
      <c r="AM226" s="62">
        <v>0</v>
      </c>
    </row>
    <row r="227" spans="1:39">
      <c r="A227" s="9">
        <v>92403</v>
      </c>
      <c r="B227" s="10" t="s">
        <v>1607</v>
      </c>
      <c r="C227" s="60">
        <v>1.11E-5</v>
      </c>
      <c r="E227" s="62">
        <v>1036.1706925051662</v>
      </c>
      <c r="F227" s="62">
        <v>4975.0559456171995</v>
      </c>
      <c r="G227" s="62">
        <v>2462.3324274897127</v>
      </c>
      <c r="H227" s="62">
        <v>-886.59853999999871</v>
      </c>
      <c r="I227" s="62">
        <v>0</v>
      </c>
      <c r="J227" s="62"/>
      <c r="K227" s="62">
        <v>-66.788700000000006</v>
      </c>
      <c r="L227" s="62">
        <v>140.5926</v>
      </c>
      <c r="M227" s="62">
        <v>260.87220000000002</v>
      </c>
      <c r="N227" s="62">
        <v>162.22650000000002</v>
      </c>
      <c r="O227" s="62">
        <v>0</v>
      </c>
      <c r="P227" s="62"/>
      <c r="Q227" s="62">
        <v>244.3665</v>
      </c>
      <c r="R227" s="62">
        <v>4054.1640000000002</v>
      </c>
      <c r="S227" s="62">
        <v>1551.3582000000001</v>
      </c>
      <c r="T227" s="62">
        <v>-1732.5324000000001</v>
      </c>
      <c r="U227" s="62">
        <v>0</v>
      </c>
      <c r="V227" s="62"/>
      <c r="W227" s="62">
        <v>724.57470000000001</v>
      </c>
      <c r="X227" s="62">
        <v>724.57470000000001</v>
      </c>
      <c r="Y227" s="62">
        <v>666.06659999999999</v>
      </c>
      <c r="Z227" s="62">
        <v>306.58199999999999</v>
      </c>
      <c r="AA227" s="62">
        <v>0</v>
      </c>
      <c r="AB227" s="62"/>
      <c r="AC227" s="62">
        <v>591.09950937759481</v>
      </c>
      <c r="AD227" s="62">
        <v>512.80596248962797</v>
      </c>
      <c r="AE227" s="62">
        <v>377.12536000000125</v>
      </c>
      <c r="AF227" s="62">
        <v>377.12536000000125</v>
      </c>
      <c r="AG227" s="62">
        <v>0</v>
      </c>
      <c r="AH227" s="62"/>
      <c r="AI227" s="62">
        <v>-457.08131687242854</v>
      </c>
      <c r="AJ227" s="62">
        <v>-457.08131687242854</v>
      </c>
      <c r="AK227" s="62">
        <v>-393.08993251028869</v>
      </c>
      <c r="AL227" s="62">
        <v>0</v>
      </c>
      <c r="AM227" s="62">
        <v>0</v>
      </c>
    </row>
    <row r="228" spans="1:39">
      <c r="A228" s="9">
        <v>92411</v>
      </c>
      <c r="B228" s="10" t="s">
        <v>1608</v>
      </c>
      <c r="C228" s="60">
        <v>5.0469999999999996E-4</v>
      </c>
      <c r="E228" s="62">
        <v>23169.22429834502</v>
      </c>
      <c r="F228" s="62">
        <v>210723.79894373921</v>
      </c>
      <c r="G228" s="62">
        <v>101193.14894230453</v>
      </c>
      <c r="H228" s="62">
        <v>-58963.329340000011</v>
      </c>
      <c r="I228" s="62">
        <v>0</v>
      </c>
      <c r="J228" s="62"/>
      <c r="K228" s="62">
        <v>-3036.7799</v>
      </c>
      <c r="L228" s="62">
        <v>6392.5301999999992</v>
      </c>
      <c r="M228" s="62">
        <v>11861.4594</v>
      </c>
      <c r="N228" s="62">
        <v>7376.1904999999997</v>
      </c>
      <c r="O228" s="62">
        <v>0</v>
      </c>
      <c r="P228" s="62"/>
      <c r="Q228" s="62">
        <v>11110.970499999999</v>
      </c>
      <c r="R228" s="62">
        <v>184336.628</v>
      </c>
      <c r="S228" s="62">
        <v>70537.881399999998</v>
      </c>
      <c r="T228" s="62">
        <v>-78775.594799999992</v>
      </c>
      <c r="U228" s="62">
        <v>0</v>
      </c>
      <c r="V228" s="62"/>
      <c r="W228" s="62">
        <v>32945.301899999999</v>
      </c>
      <c r="X228" s="62">
        <v>32945.301899999999</v>
      </c>
      <c r="Y228" s="62">
        <v>30285.028199999997</v>
      </c>
      <c r="Z228" s="62">
        <v>13939.813999999998</v>
      </c>
      <c r="AA228" s="62">
        <v>0</v>
      </c>
      <c r="AB228" s="62"/>
      <c r="AC228" s="62">
        <v>202.96085892115661</v>
      </c>
      <c r="AD228" s="62">
        <v>166.42790431534848</v>
      </c>
      <c r="AE228" s="62">
        <v>0</v>
      </c>
      <c r="AF228" s="62">
        <v>0</v>
      </c>
      <c r="AG228" s="62">
        <v>0</v>
      </c>
      <c r="AH228" s="62"/>
      <c r="AI228" s="62">
        <v>-18053.229060576137</v>
      </c>
      <c r="AJ228" s="62">
        <v>-13117.089060576134</v>
      </c>
      <c r="AK228" s="62">
        <v>-11491.220057695482</v>
      </c>
      <c r="AL228" s="62">
        <v>-1503.7390400000154</v>
      </c>
      <c r="AM228" s="62">
        <v>0</v>
      </c>
    </row>
    <row r="229" spans="1:39">
      <c r="A229" s="9">
        <v>92414</v>
      </c>
      <c r="B229" s="10" t="s">
        <v>1608</v>
      </c>
      <c r="C229" s="60">
        <v>0</v>
      </c>
      <c r="E229" s="62">
        <v>-2443.1703876167544</v>
      </c>
      <c r="F229" s="62">
        <v>-2086.1661104383311</v>
      </c>
      <c r="G229" s="62">
        <v>-1182.7952312757202</v>
      </c>
      <c r="H229" s="62">
        <v>0</v>
      </c>
      <c r="I229" s="62">
        <v>0</v>
      </c>
      <c r="J229" s="62"/>
      <c r="K229" s="62">
        <v>0</v>
      </c>
      <c r="L229" s="62">
        <v>0</v>
      </c>
      <c r="M229" s="62">
        <v>0</v>
      </c>
      <c r="N229" s="62">
        <v>0</v>
      </c>
      <c r="O229" s="62">
        <v>0</v>
      </c>
      <c r="P229" s="62"/>
      <c r="Q229" s="62">
        <v>0</v>
      </c>
      <c r="R229" s="62">
        <v>0</v>
      </c>
      <c r="S229" s="62">
        <v>0</v>
      </c>
      <c r="T229" s="62">
        <v>0</v>
      </c>
      <c r="U229" s="62">
        <v>0</v>
      </c>
      <c r="V229" s="62"/>
      <c r="W229" s="62">
        <v>0</v>
      </c>
      <c r="X229" s="62">
        <v>0</v>
      </c>
      <c r="Y229" s="62">
        <v>0</v>
      </c>
      <c r="Z229" s="62">
        <v>0</v>
      </c>
      <c r="AA229" s="62">
        <v>0</v>
      </c>
      <c r="AB229" s="62"/>
      <c r="AC229" s="62">
        <v>0</v>
      </c>
      <c r="AD229" s="62">
        <v>0</v>
      </c>
      <c r="AE229" s="62">
        <v>0</v>
      </c>
      <c r="AF229" s="62">
        <v>0</v>
      </c>
      <c r="AG229" s="62">
        <v>0</v>
      </c>
      <c r="AH229" s="62"/>
      <c r="AI229" s="62">
        <v>-2443.1703876167544</v>
      </c>
      <c r="AJ229" s="62">
        <v>-2086.1661104383311</v>
      </c>
      <c r="AK229" s="62">
        <v>-1182.7952312757202</v>
      </c>
      <c r="AL229" s="62">
        <v>0</v>
      </c>
      <c r="AM229" s="62">
        <v>0</v>
      </c>
    </row>
    <row r="230" spans="1:39">
      <c r="A230" s="9">
        <v>92417</v>
      </c>
      <c r="B230" s="10" t="s">
        <v>1609</v>
      </c>
      <c r="C230" s="60">
        <v>1.8300000000000001E-5</v>
      </c>
      <c r="E230" s="62">
        <v>592.67982225671688</v>
      </c>
      <c r="F230" s="62">
        <v>7269.40265130236</v>
      </c>
      <c r="G230" s="62">
        <v>3480.7933877366263</v>
      </c>
      <c r="H230" s="62">
        <v>-2468.6900600000008</v>
      </c>
      <c r="I230" s="62">
        <v>0</v>
      </c>
      <c r="J230" s="62"/>
      <c r="K230" s="62">
        <v>-110.11110000000001</v>
      </c>
      <c r="L230" s="62">
        <v>231.7878</v>
      </c>
      <c r="M230" s="62">
        <v>430.08660000000003</v>
      </c>
      <c r="N230" s="62">
        <v>267.4545</v>
      </c>
      <c r="O230" s="62">
        <v>0</v>
      </c>
      <c r="P230" s="62"/>
      <c r="Q230" s="62">
        <v>402.87450000000001</v>
      </c>
      <c r="R230" s="62">
        <v>6683.8920000000007</v>
      </c>
      <c r="S230" s="62">
        <v>2557.6446000000001</v>
      </c>
      <c r="T230" s="62">
        <v>-2856.3371999999999</v>
      </c>
      <c r="U230" s="62">
        <v>0</v>
      </c>
      <c r="V230" s="62"/>
      <c r="W230" s="62">
        <v>1194.5691000000002</v>
      </c>
      <c r="X230" s="62">
        <v>1194.5691000000002</v>
      </c>
      <c r="Y230" s="62">
        <v>1098.1098</v>
      </c>
      <c r="Z230" s="62">
        <v>505.44600000000003</v>
      </c>
      <c r="AA230" s="62">
        <v>0</v>
      </c>
      <c r="AB230" s="62"/>
      <c r="AC230" s="62">
        <v>0</v>
      </c>
      <c r="AD230" s="62">
        <v>0</v>
      </c>
      <c r="AE230" s="62">
        <v>0</v>
      </c>
      <c r="AF230" s="62">
        <v>0</v>
      </c>
      <c r="AG230" s="62">
        <v>0</v>
      </c>
      <c r="AH230" s="62"/>
      <c r="AI230" s="62">
        <v>-894.65267774328333</v>
      </c>
      <c r="AJ230" s="62">
        <v>-840.84624869764036</v>
      </c>
      <c r="AK230" s="62">
        <v>-605.04761226337405</v>
      </c>
      <c r="AL230" s="62">
        <v>-385.25336000000061</v>
      </c>
      <c r="AM230" s="62">
        <v>0</v>
      </c>
    </row>
    <row r="231" spans="1:39">
      <c r="A231" s="9">
        <v>92421</v>
      </c>
      <c r="B231" s="10" t="s">
        <v>1610</v>
      </c>
      <c r="C231" s="60">
        <v>8.8000000000000004E-6</v>
      </c>
      <c r="E231" s="62">
        <v>1645.933617717672</v>
      </c>
      <c r="F231" s="62">
        <v>4362.3936542321944</v>
      </c>
      <c r="G231" s="62">
        <v>2293.7135399176959</v>
      </c>
      <c r="H231" s="62">
        <v>-327.4024000000004</v>
      </c>
      <c r="I231" s="62">
        <v>0</v>
      </c>
      <c r="J231" s="62"/>
      <c r="K231" s="62">
        <v>-52.949600000000004</v>
      </c>
      <c r="L231" s="62">
        <v>111.46080000000001</v>
      </c>
      <c r="M231" s="62">
        <v>206.8176</v>
      </c>
      <c r="N231" s="62">
        <v>128.61199999999999</v>
      </c>
      <c r="O231" s="62">
        <v>0</v>
      </c>
      <c r="P231" s="62"/>
      <c r="Q231" s="62">
        <v>193.732</v>
      </c>
      <c r="R231" s="62">
        <v>3214.1120000000001</v>
      </c>
      <c r="S231" s="62">
        <v>1229.9056</v>
      </c>
      <c r="T231" s="62">
        <v>-1373.5392000000002</v>
      </c>
      <c r="U231" s="62">
        <v>0</v>
      </c>
      <c r="V231" s="62"/>
      <c r="W231" s="62">
        <v>574.43759999999997</v>
      </c>
      <c r="X231" s="62">
        <v>574.43759999999997</v>
      </c>
      <c r="Y231" s="62">
        <v>528.05280000000005</v>
      </c>
      <c r="Z231" s="62">
        <v>243.05600000000001</v>
      </c>
      <c r="AA231" s="62">
        <v>0</v>
      </c>
      <c r="AB231" s="62"/>
      <c r="AC231" s="62">
        <v>1332.4941526970952</v>
      </c>
      <c r="AD231" s="62">
        <v>864.163789211618</v>
      </c>
      <c r="AE231" s="62">
        <v>674.46879999999965</v>
      </c>
      <c r="AF231" s="62">
        <v>674.46879999999965</v>
      </c>
      <c r="AG231" s="62">
        <v>0</v>
      </c>
      <c r="AH231" s="62"/>
      <c r="AI231" s="62">
        <v>-401.78053497942324</v>
      </c>
      <c r="AJ231" s="62">
        <v>-401.78053497942324</v>
      </c>
      <c r="AK231" s="62">
        <v>-345.53126008230413</v>
      </c>
      <c r="AL231" s="62">
        <v>0</v>
      </c>
      <c r="AM231" s="62">
        <v>0</v>
      </c>
    </row>
    <row r="232" spans="1:39">
      <c r="A232" s="9">
        <v>92427</v>
      </c>
      <c r="B232" s="10" t="s">
        <v>1611</v>
      </c>
      <c r="C232" s="60">
        <v>3.9999999999999998E-7</v>
      </c>
      <c r="E232" s="62">
        <v>871.33267428444583</v>
      </c>
      <c r="F232" s="62">
        <v>748.41314648361583</v>
      </c>
      <c r="G232" s="62">
        <v>472.01186510288073</v>
      </c>
      <c r="H232" s="62">
        <v>159.98863999999998</v>
      </c>
      <c r="I232" s="62">
        <v>0</v>
      </c>
      <c r="J232" s="62"/>
      <c r="K232" s="62">
        <v>-2.4068000000000001</v>
      </c>
      <c r="L232" s="62">
        <v>5.0663999999999998</v>
      </c>
      <c r="M232" s="62">
        <v>9.4008000000000003</v>
      </c>
      <c r="N232" s="62">
        <v>5.8460000000000001</v>
      </c>
      <c r="O232" s="62">
        <v>0</v>
      </c>
      <c r="P232" s="62"/>
      <c r="Q232" s="62">
        <v>8.8059999999999992</v>
      </c>
      <c r="R232" s="62">
        <v>146.096</v>
      </c>
      <c r="S232" s="62">
        <v>55.904799999999994</v>
      </c>
      <c r="T232" s="62">
        <v>-62.433599999999998</v>
      </c>
      <c r="U232" s="62">
        <v>0</v>
      </c>
      <c r="V232" s="62"/>
      <c r="W232" s="62">
        <v>26.110799999999998</v>
      </c>
      <c r="X232" s="62">
        <v>26.110799999999998</v>
      </c>
      <c r="Y232" s="62">
        <v>24.002399999999998</v>
      </c>
      <c r="Z232" s="62">
        <v>11.048</v>
      </c>
      <c r="AA232" s="62">
        <v>0</v>
      </c>
      <c r="AB232" s="62"/>
      <c r="AC232" s="62">
        <v>838.82267428444584</v>
      </c>
      <c r="AD232" s="62">
        <v>571.13994648361586</v>
      </c>
      <c r="AE232" s="62">
        <v>382.70386510288074</v>
      </c>
      <c r="AF232" s="62">
        <v>205.52823999999998</v>
      </c>
      <c r="AG232" s="62">
        <v>0</v>
      </c>
      <c r="AH232" s="62"/>
      <c r="AI232" s="62">
        <v>0</v>
      </c>
      <c r="AJ232" s="62">
        <v>0</v>
      </c>
      <c r="AK232" s="62">
        <v>0</v>
      </c>
      <c r="AL232" s="62">
        <v>0</v>
      </c>
      <c r="AM232" s="62">
        <v>0</v>
      </c>
    </row>
    <row r="233" spans="1:39">
      <c r="A233" s="9">
        <v>92431</v>
      </c>
      <c r="B233" s="10" t="s">
        <v>1612</v>
      </c>
      <c r="C233" s="60">
        <v>3.0800000000000003E-5</v>
      </c>
      <c r="E233" s="62">
        <v>6656.8384143332814</v>
      </c>
      <c r="F233" s="62">
        <v>18053.217286864408</v>
      </c>
      <c r="G233" s="62">
        <v>9661.1756086419773</v>
      </c>
      <c r="H233" s="62">
        <v>218.41400000000067</v>
      </c>
      <c r="I233" s="62">
        <v>0</v>
      </c>
      <c r="J233" s="62"/>
      <c r="K233" s="62">
        <v>-185.32360000000003</v>
      </c>
      <c r="L233" s="62">
        <v>390.11280000000005</v>
      </c>
      <c r="M233" s="62">
        <v>723.86160000000007</v>
      </c>
      <c r="N233" s="62">
        <v>450.14200000000005</v>
      </c>
      <c r="O233" s="62">
        <v>0</v>
      </c>
      <c r="P233" s="62"/>
      <c r="Q233" s="62">
        <v>678.06200000000013</v>
      </c>
      <c r="R233" s="62">
        <v>11249.392000000002</v>
      </c>
      <c r="S233" s="62">
        <v>4304.6696000000002</v>
      </c>
      <c r="T233" s="62">
        <v>-4807.3872000000001</v>
      </c>
      <c r="U233" s="62">
        <v>0</v>
      </c>
      <c r="V233" s="62"/>
      <c r="W233" s="62">
        <v>2010.5316000000003</v>
      </c>
      <c r="X233" s="62">
        <v>2010.5316000000003</v>
      </c>
      <c r="Y233" s="62">
        <v>1848.1848000000002</v>
      </c>
      <c r="Z233" s="62">
        <v>850.69600000000014</v>
      </c>
      <c r="AA233" s="62">
        <v>0</v>
      </c>
      <c r="AB233" s="62"/>
      <c r="AC233" s="62">
        <v>5885.7272414937761</v>
      </c>
      <c r="AD233" s="62">
        <v>5496.7897140248979</v>
      </c>
      <c r="AE233" s="62">
        <v>3724.9632000000011</v>
      </c>
      <c r="AF233" s="62">
        <v>3724.9632000000011</v>
      </c>
      <c r="AG233" s="62">
        <v>0</v>
      </c>
      <c r="AH233" s="62"/>
      <c r="AI233" s="62">
        <v>-1732.1588271604949</v>
      </c>
      <c r="AJ233" s="62">
        <v>-1093.6088271604947</v>
      </c>
      <c r="AK233" s="62">
        <v>-940.5035913580258</v>
      </c>
      <c r="AL233" s="62">
        <v>0</v>
      </c>
      <c r="AM233" s="62">
        <v>0</v>
      </c>
    </row>
    <row r="234" spans="1:39">
      <c r="A234" s="9">
        <v>92441</v>
      </c>
      <c r="B234" s="10" t="s">
        <v>1613</v>
      </c>
      <c r="C234" s="60">
        <v>7.7999999999999999E-5</v>
      </c>
      <c r="E234" s="62">
        <v>-615.56029300616501</v>
      </c>
      <c r="F234" s="62">
        <v>31165.097928238654</v>
      </c>
      <c r="G234" s="62">
        <v>14388.824511028803</v>
      </c>
      <c r="H234" s="62">
        <v>-10801.956639999999</v>
      </c>
      <c r="I234" s="62">
        <v>0</v>
      </c>
      <c r="J234" s="62"/>
      <c r="K234" s="62">
        <v>-469.32599999999996</v>
      </c>
      <c r="L234" s="62">
        <v>987.94799999999998</v>
      </c>
      <c r="M234" s="62">
        <v>1833.1559999999999</v>
      </c>
      <c r="N234" s="62">
        <v>1139.97</v>
      </c>
      <c r="O234" s="62">
        <v>0</v>
      </c>
      <c r="P234" s="62"/>
      <c r="Q234" s="62">
        <v>1717.17</v>
      </c>
      <c r="R234" s="62">
        <v>28488.720000000001</v>
      </c>
      <c r="S234" s="62">
        <v>10901.436</v>
      </c>
      <c r="T234" s="62">
        <v>-12174.552</v>
      </c>
      <c r="U234" s="62">
        <v>0</v>
      </c>
      <c r="V234" s="62"/>
      <c r="W234" s="62">
        <v>5091.6059999999998</v>
      </c>
      <c r="X234" s="62">
        <v>5091.6059999999998</v>
      </c>
      <c r="Y234" s="62">
        <v>4680.4679999999998</v>
      </c>
      <c r="Z234" s="62">
        <v>2154.36</v>
      </c>
      <c r="AA234" s="62">
        <v>0</v>
      </c>
      <c r="AB234" s="62"/>
      <c r="AC234" s="62">
        <v>0</v>
      </c>
      <c r="AD234" s="62">
        <v>0</v>
      </c>
      <c r="AE234" s="62">
        <v>0</v>
      </c>
      <c r="AF234" s="62">
        <v>0</v>
      </c>
      <c r="AG234" s="62">
        <v>0</v>
      </c>
      <c r="AH234" s="62"/>
      <c r="AI234" s="62">
        <v>-6955.0102930061648</v>
      </c>
      <c r="AJ234" s="62">
        <v>-3403.176071761352</v>
      </c>
      <c r="AK234" s="62">
        <v>-3026.2354889711992</v>
      </c>
      <c r="AL234" s="62">
        <v>-1921.7346399999994</v>
      </c>
      <c r="AM234" s="62">
        <v>0</v>
      </c>
    </row>
    <row r="235" spans="1:39">
      <c r="A235" s="9">
        <v>92444</v>
      </c>
      <c r="B235" s="10" t="s">
        <v>1614</v>
      </c>
      <c r="C235" s="60">
        <v>1.7999999999999999E-6</v>
      </c>
      <c r="E235" s="62">
        <v>1336.2596441473288</v>
      </c>
      <c r="F235" s="62">
        <v>1508.7031246452539</v>
      </c>
      <c r="G235" s="62">
        <v>851.25767901234587</v>
      </c>
      <c r="H235" s="62">
        <v>17.942200000000156</v>
      </c>
      <c r="I235" s="62">
        <v>0</v>
      </c>
      <c r="J235" s="62"/>
      <c r="K235" s="62">
        <v>-10.830599999999999</v>
      </c>
      <c r="L235" s="62">
        <v>22.7988</v>
      </c>
      <c r="M235" s="62">
        <v>42.303599999999996</v>
      </c>
      <c r="N235" s="62">
        <v>26.306999999999999</v>
      </c>
      <c r="O235" s="62">
        <v>0</v>
      </c>
      <c r="P235" s="62"/>
      <c r="Q235" s="62">
        <v>39.626999999999995</v>
      </c>
      <c r="R235" s="62">
        <v>657.43200000000002</v>
      </c>
      <c r="S235" s="62">
        <v>251.57159999999999</v>
      </c>
      <c r="T235" s="62">
        <v>-280.95119999999997</v>
      </c>
      <c r="U235" s="62">
        <v>0</v>
      </c>
      <c r="V235" s="62"/>
      <c r="W235" s="62">
        <v>117.4986</v>
      </c>
      <c r="X235" s="62">
        <v>117.4986</v>
      </c>
      <c r="Y235" s="62">
        <v>108.01079999999999</v>
      </c>
      <c r="Z235" s="62">
        <v>49.716000000000001</v>
      </c>
      <c r="AA235" s="62">
        <v>0</v>
      </c>
      <c r="AB235" s="62"/>
      <c r="AC235" s="62">
        <v>1189.9646441473287</v>
      </c>
      <c r="AD235" s="62">
        <v>710.97372464525392</v>
      </c>
      <c r="AE235" s="62">
        <v>449.37167901234591</v>
      </c>
      <c r="AF235" s="62">
        <v>222.87040000000013</v>
      </c>
      <c r="AG235" s="62">
        <v>0</v>
      </c>
      <c r="AH235" s="62"/>
      <c r="AI235" s="62">
        <v>0</v>
      </c>
      <c r="AJ235" s="62">
        <v>0</v>
      </c>
      <c r="AK235" s="62">
        <v>0</v>
      </c>
      <c r="AL235" s="62">
        <v>0</v>
      </c>
      <c r="AM235" s="62">
        <v>0</v>
      </c>
    </row>
    <row r="236" spans="1:39">
      <c r="A236" s="9">
        <v>92451</v>
      </c>
      <c r="B236" s="10" t="s">
        <v>1615</v>
      </c>
      <c r="C236" s="60">
        <v>1.3070000000000001E-4</v>
      </c>
      <c r="E236" s="62">
        <v>22962.292864495663</v>
      </c>
      <c r="F236" s="62">
        <v>67439.050233375339</v>
      </c>
      <c r="G236" s="62">
        <v>35491.649566913577</v>
      </c>
      <c r="H236" s="62">
        <v>-13790.472380000005</v>
      </c>
      <c r="I236" s="62">
        <v>0</v>
      </c>
      <c r="J236" s="62"/>
      <c r="K236" s="62">
        <v>-786.42190000000005</v>
      </c>
      <c r="L236" s="62">
        <v>1655.4462000000001</v>
      </c>
      <c r="M236" s="62">
        <v>3071.7114000000001</v>
      </c>
      <c r="N236" s="62">
        <v>1910.1805000000002</v>
      </c>
      <c r="O236" s="62">
        <v>0</v>
      </c>
      <c r="P236" s="62"/>
      <c r="Q236" s="62">
        <v>2877.3605000000002</v>
      </c>
      <c r="R236" s="62">
        <v>47736.868000000002</v>
      </c>
      <c r="S236" s="62">
        <v>18266.893400000001</v>
      </c>
      <c r="T236" s="62">
        <v>-20400.178800000002</v>
      </c>
      <c r="U236" s="62">
        <v>0</v>
      </c>
      <c r="V236" s="62"/>
      <c r="W236" s="62">
        <v>8531.7039000000004</v>
      </c>
      <c r="X236" s="62">
        <v>8531.7039000000004</v>
      </c>
      <c r="Y236" s="62">
        <v>7842.7842000000001</v>
      </c>
      <c r="Z236" s="62">
        <v>3609.9340000000002</v>
      </c>
      <c r="AA236" s="62">
        <v>0</v>
      </c>
      <c r="AB236" s="62"/>
      <c r="AC236" s="62">
        <v>12339.650364495663</v>
      </c>
      <c r="AD236" s="62">
        <v>9515.0321333753309</v>
      </c>
      <c r="AE236" s="62">
        <v>6310.2605669135755</v>
      </c>
      <c r="AF236" s="62">
        <v>1089.5919199999976</v>
      </c>
      <c r="AG236" s="62">
        <v>0</v>
      </c>
      <c r="AH236" s="62"/>
      <c r="AI236" s="62">
        <v>0</v>
      </c>
      <c r="AJ236" s="62">
        <v>0</v>
      </c>
      <c r="AK236" s="62">
        <v>0</v>
      </c>
      <c r="AL236" s="62">
        <v>0</v>
      </c>
      <c r="AM236" s="62">
        <v>0</v>
      </c>
    </row>
    <row r="237" spans="1:39">
      <c r="A237" s="9">
        <v>92461</v>
      </c>
      <c r="B237" s="10" t="s">
        <v>1616</v>
      </c>
      <c r="C237" s="60">
        <v>7.1099999999999994E-5</v>
      </c>
      <c r="E237" s="62">
        <v>6938.7897351450592</v>
      </c>
      <c r="F237" s="62">
        <v>33405.011944522645</v>
      </c>
      <c r="G237" s="62">
        <v>19508.816739917696</v>
      </c>
      <c r="H237" s="62">
        <v>-6766.9583000000011</v>
      </c>
      <c r="I237" s="62">
        <v>0</v>
      </c>
      <c r="J237" s="62"/>
      <c r="K237" s="62">
        <v>-427.80869999999999</v>
      </c>
      <c r="L237" s="62">
        <v>900.55259999999987</v>
      </c>
      <c r="M237" s="62">
        <v>1670.9921999999999</v>
      </c>
      <c r="N237" s="62">
        <v>1039.1264999999999</v>
      </c>
      <c r="O237" s="62">
        <v>0</v>
      </c>
      <c r="P237" s="62"/>
      <c r="Q237" s="62">
        <v>1565.2665</v>
      </c>
      <c r="R237" s="62">
        <v>25968.563999999998</v>
      </c>
      <c r="S237" s="62">
        <v>9937.0781999999999</v>
      </c>
      <c r="T237" s="62">
        <v>-11097.572399999999</v>
      </c>
      <c r="U237" s="62">
        <v>0</v>
      </c>
      <c r="V237" s="62"/>
      <c r="W237" s="62">
        <v>4641.1947</v>
      </c>
      <c r="X237" s="62">
        <v>4641.1947</v>
      </c>
      <c r="Y237" s="62">
        <v>4266.4265999999998</v>
      </c>
      <c r="Z237" s="62">
        <v>1963.7819999999999</v>
      </c>
      <c r="AA237" s="62">
        <v>0</v>
      </c>
      <c r="AB237" s="62"/>
      <c r="AC237" s="62">
        <v>4009.8150650205757</v>
      </c>
      <c r="AD237" s="62">
        <v>4009.8150650205757</v>
      </c>
      <c r="AE237" s="62">
        <v>3634.3197399176956</v>
      </c>
      <c r="AF237" s="62">
        <v>1327.7055999999975</v>
      </c>
      <c r="AG237" s="62">
        <v>0</v>
      </c>
      <c r="AH237" s="62"/>
      <c r="AI237" s="62">
        <v>-2849.6778298755166</v>
      </c>
      <c r="AJ237" s="62">
        <v>-2115.1144204979246</v>
      </c>
      <c r="AK237" s="62">
        <v>0</v>
      </c>
      <c r="AL237" s="62">
        <v>0</v>
      </c>
      <c r="AM237" s="62">
        <v>0</v>
      </c>
    </row>
    <row r="238" spans="1:39">
      <c r="A238" s="9">
        <v>92501</v>
      </c>
      <c r="B238" s="10" t="s">
        <v>1617</v>
      </c>
      <c r="C238" s="60">
        <v>3.8252E-3</v>
      </c>
      <c r="E238" s="62">
        <v>356072.29038877063</v>
      </c>
      <c r="F238" s="62">
        <v>1723281.4159907622</v>
      </c>
      <c r="G238" s="62">
        <v>885085.73136732529</v>
      </c>
      <c r="H238" s="62">
        <v>-410935.43367999984</v>
      </c>
      <c r="I238" s="62">
        <v>0</v>
      </c>
      <c r="J238" s="62"/>
      <c r="K238" s="62">
        <v>-23016.2284</v>
      </c>
      <c r="L238" s="62">
        <v>48449.983200000002</v>
      </c>
      <c r="M238" s="62">
        <v>89899.850399999996</v>
      </c>
      <c r="N238" s="62">
        <v>55905.298000000003</v>
      </c>
      <c r="O238" s="62">
        <v>0</v>
      </c>
      <c r="P238" s="62"/>
      <c r="Q238" s="62">
        <v>84211.778000000006</v>
      </c>
      <c r="R238" s="62">
        <v>1397116.048</v>
      </c>
      <c r="S238" s="62">
        <v>534617.60239999997</v>
      </c>
      <c r="T238" s="62">
        <v>-597052.51679999998</v>
      </c>
      <c r="U238" s="62">
        <v>0</v>
      </c>
      <c r="V238" s="62"/>
      <c r="W238" s="62">
        <v>249697.58040000001</v>
      </c>
      <c r="X238" s="62">
        <v>249697.58040000001</v>
      </c>
      <c r="Y238" s="62">
        <v>229534.95120000001</v>
      </c>
      <c r="Z238" s="62">
        <v>105652.024</v>
      </c>
      <c r="AA238" s="62">
        <v>0</v>
      </c>
      <c r="AB238" s="62"/>
      <c r="AC238" s="62">
        <v>50141.793733168968</v>
      </c>
      <c r="AD238" s="62">
        <v>32087.163733168964</v>
      </c>
      <c r="AE238" s="62">
        <v>31033.327367325342</v>
      </c>
      <c r="AF238" s="62">
        <v>24559.761120000203</v>
      </c>
      <c r="AG238" s="62">
        <v>0</v>
      </c>
      <c r="AH238" s="62"/>
      <c r="AI238" s="62">
        <v>-4962.633344398364</v>
      </c>
      <c r="AJ238" s="62">
        <v>-4069.3593424066598</v>
      </c>
      <c r="AK238" s="62">
        <v>0</v>
      </c>
      <c r="AL238" s="62">
        <v>0</v>
      </c>
      <c r="AM238" s="62">
        <v>0</v>
      </c>
    </row>
    <row r="239" spans="1:39">
      <c r="A239" s="9">
        <v>92502</v>
      </c>
      <c r="B239" s="10" t="s">
        <v>1618</v>
      </c>
      <c r="C239" s="60">
        <v>2.7500000000000001E-5</v>
      </c>
      <c r="E239" s="62">
        <v>2225.3546029332483</v>
      </c>
      <c r="F239" s="62">
        <v>12727.162270983043</v>
      </c>
      <c r="G239" s="62">
        <v>7306.5444538271604</v>
      </c>
      <c r="H239" s="62">
        <v>-3040.9393400000004</v>
      </c>
      <c r="I239" s="62">
        <v>0</v>
      </c>
      <c r="J239" s="62"/>
      <c r="K239" s="62">
        <v>-165.4675</v>
      </c>
      <c r="L239" s="62">
        <v>348.315</v>
      </c>
      <c r="M239" s="62">
        <v>646.30500000000006</v>
      </c>
      <c r="N239" s="62">
        <v>401.91250000000002</v>
      </c>
      <c r="O239" s="62">
        <v>0</v>
      </c>
      <c r="P239" s="62"/>
      <c r="Q239" s="62">
        <v>605.41250000000002</v>
      </c>
      <c r="R239" s="62">
        <v>10044.1</v>
      </c>
      <c r="S239" s="62">
        <v>3843.4549999999999</v>
      </c>
      <c r="T239" s="62">
        <v>-4292.3100000000004</v>
      </c>
      <c r="U239" s="62">
        <v>0</v>
      </c>
      <c r="V239" s="62"/>
      <c r="W239" s="62">
        <v>1795.1175000000001</v>
      </c>
      <c r="X239" s="62">
        <v>1795.1175000000001</v>
      </c>
      <c r="Y239" s="62">
        <v>1650.165</v>
      </c>
      <c r="Z239" s="62">
        <v>759.55000000000007</v>
      </c>
      <c r="AA239" s="62">
        <v>0</v>
      </c>
      <c r="AB239" s="62"/>
      <c r="AC239" s="62">
        <v>1341.8980365432087</v>
      </c>
      <c r="AD239" s="62">
        <v>1341.8980365432087</v>
      </c>
      <c r="AE239" s="62">
        <v>1166.6194538271598</v>
      </c>
      <c r="AF239" s="62">
        <v>89.908159999999754</v>
      </c>
      <c r="AG239" s="62">
        <v>0</v>
      </c>
      <c r="AH239" s="62"/>
      <c r="AI239" s="62">
        <v>-1351.6059336099604</v>
      </c>
      <c r="AJ239" s="62">
        <v>-802.26826556016772</v>
      </c>
      <c r="AK239" s="62">
        <v>0</v>
      </c>
      <c r="AL239" s="62">
        <v>0</v>
      </c>
      <c r="AM239" s="62">
        <v>0</v>
      </c>
    </row>
    <row r="240" spans="1:39">
      <c r="A240" s="9">
        <v>92504</v>
      </c>
      <c r="B240" s="10" t="s">
        <v>1619</v>
      </c>
      <c r="C240" s="60">
        <v>8.4300000000000003E-5</v>
      </c>
      <c r="E240" s="62">
        <v>16877.694002970817</v>
      </c>
      <c r="F240" s="62">
        <v>46651.789748199037</v>
      </c>
      <c r="G240" s="62">
        <v>24405.84667193416</v>
      </c>
      <c r="H240" s="62">
        <v>-5477.2437399999963</v>
      </c>
      <c r="I240" s="62">
        <v>0</v>
      </c>
      <c r="J240" s="62"/>
      <c r="K240" s="62">
        <v>-507.23310000000004</v>
      </c>
      <c r="L240" s="62">
        <v>1067.7438</v>
      </c>
      <c r="M240" s="62">
        <v>1981.2186000000002</v>
      </c>
      <c r="N240" s="62">
        <v>1232.0445</v>
      </c>
      <c r="O240" s="62">
        <v>0</v>
      </c>
      <c r="P240" s="62"/>
      <c r="Q240" s="62">
        <v>1855.8645000000001</v>
      </c>
      <c r="R240" s="62">
        <v>30789.732</v>
      </c>
      <c r="S240" s="62">
        <v>11781.936600000001</v>
      </c>
      <c r="T240" s="62">
        <v>-13157.8812</v>
      </c>
      <c r="U240" s="62">
        <v>0</v>
      </c>
      <c r="V240" s="62"/>
      <c r="W240" s="62">
        <v>5502.8510999999999</v>
      </c>
      <c r="X240" s="62">
        <v>5502.8510999999999</v>
      </c>
      <c r="Y240" s="62">
        <v>5058.5057999999999</v>
      </c>
      <c r="Z240" s="62">
        <v>2328.366</v>
      </c>
      <c r="AA240" s="62">
        <v>0</v>
      </c>
      <c r="AB240" s="62"/>
      <c r="AC240" s="62">
        <v>10052.941502970814</v>
      </c>
      <c r="AD240" s="62">
        <v>9291.462848199033</v>
      </c>
      <c r="AE240" s="62">
        <v>5584.1856719341595</v>
      </c>
      <c r="AF240" s="62">
        <v>4120.2269600000036</v>
      </c>
      <c r="AG240" s="62">
        <v>0</v>
      </c>
      <c r="AH240" s="62"/>
      <c r="AI240" s="62">
        <v>-26.730000000000004</v>
      </c>
      <c r="AJ240" s="62">
        <v>0</v>
      </c>
      <c r="AK240" s="62">
        <v>0</v>
      </c>
      <c r="AL240" s="62">
        <v>0</v>
      </c>
      <c r="AM240" s="62">
        <v>0</v>
      </c>
    </row>
    <row r="241" spans="1:39">
      <c r="A241" s="9">
        <v>92505</v>
      </c>
      <c r="B241" s="10" t="s">
        <v>1620</v>
      </c>
      <c r="C241" s="60">
        <v>1.9239999999999999E-4</v>
      </c>
      <c r="E241" s="62">
        <v>38913.327896937641</v>
      </c>
      <c r="F241" s="62">
        <v>102922.33760731108</v>
      </c>
      <c r="G241" s="62">
        <v>54084.812503950598</v>
      </c>
      <c r="H241" s="62">
        <v>-14854.590880000005</v>
      </c>
      <c r="I241" s="62">
        <v>0</v>
      </c>
      <c r="J241" s="62"/>
      <c r="K241" s="62">
        <v>-1157.6707999999999</v>
      </c>
      <c r="L241" s="62">
        <v>2436.9384</v>
      </c>
      <c r="M241" s="62">
        <v>4521.7847999999994</v>
      </c>
      <c r="N241" s="62">
        <v>2811.9259999999999</v>
      </c>
      <c r="O241" s="62">
        <v>0</v>
      </c>
      <c r="P241" s="62"/>
      <c r="Q241" s="62">
        <v>4235.6859999999997</v>
      </c>
      <c r="R241" s="62">
        <v>70272.175999999992</v>
      </c>
      <c r="S241" s="62">
        <v>26890.208799999997</v>
      </c>
      <c r="T241" s="62">
        <v>-30030.561599999997</v>
      </c>
      <c r="U241" s="62">
        <v>0</v>
      </c>
      <c r="V241" s="62"/>
      <c r="W241" s="62">
        <v>12559.2948</v>
      </c>
      <c r="X241" s="62">
        <v>12559.2948</v>
      </c>
      <c r="Y241" s="62">
        <v>11545.154399999999</v>
      </c>
      <c r="Z241" s="62">
        <v>5314.0879999999997</v>
      </c>
      <c r="AA241" s="62">
        <v>0</v>
      </c>
      <c r="AB241" s="62"/>
      <c r="AC241" s="62">
        <v>23276.017896937643</v>
      </c>
      <c r="AD241" s="62">
        <v>17653.92840731109</v>
      </c>
      <c r="AE241" s="62">
        <v>11127.664503950606</v>
      </c>
      <c r="AF241" s="62">
        <v>7049.9567199999929</v>
      </c>
      <c r="AG241" s="62">
        <v>0</v>
      </c>
      <c r="AH241" s="62"/>
      <c r="AI241" s="62">
        <v>0</v>
      </c>
      <c r="AJ241" s="62">
        <v>0</v>
      </c>
      <c r="AK241" s="62">
        <v>0</v>
      </c>
      <c r="AL241" s="62">
        <v>0</v>
      </c>
      <c r="AM241" s="62">
        <v>0</v>
      </c>
    </row>
    <row r="242" spans="1:39">
      <c r="A242" s="9">
        <v>92506</v>
      </c>
      <c r="B242" s="10" t="s">
        <v>1621</v>
      </c>
      <c r="C242" s="60">
        <v>4.7500000000000003E-5</v>
      </c>
      <c r="E242" s="62">
        <v>11247.93268880385</v>
      </c>
      <c r="F242" s="62">
        <v>26809.838290463602</v>
      </c>
      <c r="G242" s="62">
        <v>13762.752463456789</v>
      </c>
      <c r="H242" s="62">
        <v>-3818.203660000001</v>
      </c>
      <c r="I242" s="62">
        <v>0</v>
      </c>
      <c r="J242" s="62"/>
      <c r="K242" s="62">
        <v>-285.8075</v>
      </c>
      <c r="L242" s="62">
        <v>601.63499999999999</v>
      </c>
      <c r="M242" s="62">
        <v>1116.345</v>
      </c>
      <c r="N242" s="62">
        <v>694.21250000000009</v>
      </c>
      <c r="O242" s="62">
        <v>0</v>
      </c>
      <c r="P242" s="62"/>
      <c r="Q242" s="62">
        <v>1045.7125000000001</v>
      </c>
      <c r="R242" s="62">
        <v>17348.900000000001</v>
      </c>
      <c r="S242" s="62">
        <v>6638.6950000000006</v>
      </c>
      <c r="T242" s="62">
        <v>-7413.9900000000007</v>
      </c>
      <c r="U242" s="62">
        <v>0</v>
      </c>
      <c r="V242" s="62"/>
      <c r="W242" s="62">
        <v>3100.6575000000003</v>
      </c>
      <c r="X242" s="62">
        <v>3100.6575000000003</v>
      </c>
      <c r="Y242" s="62">
        <v>2850.2850000000003</v>
      </c>
      <c r="Z242" s="62">
        <v>1311.95</v>
      </c>
      <c r="AA242" s="62">
        <v>0</v>
      </c>
      <c r="AB242" s="62"/>
      <c r="AC242" s="62">
        <v>7387.3701888038504</v>
      </c>
      <c r="AD242" s="62">
        <v>5758.6457904636027</v>
      </c>
      <c r="AE242" s="62">
        <v>3157.4274634567892</v>
      </c>
      <c r="AF242" s="62">
        <v>1589.6238399999995</v>
      </c>
      <c r="AG242" s="62">
        <v>0</v>
      </c>
      <c r="AH242" s="62"/>
      <c r="AI242" s="62">
        <v>0</v>
      </c>
      <c r="AJ242" s="62">
        <v>0</v>
      </c>
      <c r="AK242" s="62">
        <v>0</v>
      </c>
      <c r="AL242" s="62">
        <v>0</v>
      </c>
      <c r="AM242" s="62">
        <v>0</v>
      </c>
    </row>
    <row r="243" spans="1:39">
      <c r="A243" s="9">
        <v>92507</v>
      </c>
      <c r="B243" s="10" t="s">
        <v>1622</v>
      </c>
      <c r="C243" s="60">
        <v>9.5699999999999995E-5</v>
      </c>
      <c r="E243" s="62">
        <v>2314.258153260248</v>
      </c>
      <c r="F243" s="62">
        <v>41730.137497658594</v>
      </c>
      <c r="G243" s="62">
        <v>21047.401711440329</v>
      </c>
      <c r="H243" s="62">
        <v>-8364.2655399999931</v>
      </c>
      <c r="I243" s="62">
        <v>0</v>
      </c>
      <c r="J243" s="62"/>
      <c r="K243" s="62">
        <v>-575.82690000000002</v>
      </c>
      <c r="L243" s="62">
        <v>1212.1361999999999</v>
      </c>
      <c r="M243" s="62">
        <v>2249.1414</v>
      </c>
      <c r="N243" s="62">
        <v>1398.6554999999998</v>
      </c>
      <c r="O243" s="62">
        <v>0</v>
      </c>
      <c r="P243" s="62"/>
      <c r="Q243" s="62">
        <v>2106.8354999999997</v>
      </c>
      <c r="R243" s="62">
        <v>34953.468000000001</v>
      </c>
      <c r="S243" s="62">
        <v>13375.223399999999</v>
      </c>
      <c r="T243" s="62">
        <v>-14937.238799999999</v>
      </c>
      <c r="U243" s="62">
        <v>0</v>
      </c>
      <c r="V243" s="62"/>
      <c r="W243" s="62">
        <v>6247.0088999999998</v>
      </c>
      <c r="X243" s="62">
        <v>6247.0088999999998</v>
      </c>
      <c r="Y243" s="62">
        <v>5742.5742</v>
      </c>
      <c r="Z243" s="62">
        <v>2643.2339999999999</v>
      </c>
      <c r="AA243" s="62">
        <v>0</v>
      </c>
      <c r="AB243" s="62"/>
      <c r="AC243" s="62">
        <v>2654.3962911203344</v>
      </c>
      <c r="AD243" s="62">
        <v>2632.2000355186751</v>
      </c>
      <c r="AE243" s="62">
        <v>2531.0837600000041</v>
      </c>
      <c r="AF243" s="62">
        <v>2531.0837600000041</v>
      </c>
      <c r="AG243" s="62">
        <v>0</v>
      </c>
      <c r="AH243" s="62"/>
      <c r="AI243" s="62">
        <v>-8118.1556378600862</v>
      </c>
      <c r="AJ243" s="62">
        <v>-3314.6756378600849</v>
      </c>
      <c r="AK243" s="62">
        <v>-2850.6210485596739</v>
      </c>
      <c r="AL243" s="62">
        <v>0</v>
      </c>
      <c r="AM243" s="62">
        <v>0</v>
      </c>
    </row>
    <row r="244" spans="1:39">
      <c r="A244" s="9">
        <v>92508</v>
      </c>
      <c r="B244" s="10" t="s">
        <v>1623</v>
      </c>
      <c r="C244" s="60">
        <v>3.1E-4</v>
      </c>
      <c r="E244" s="62">
        <v>28581.716011438595</v>
      </c>
      <c r="F244" s="62">
        <v>138136.29716247594</v>
      </c>
      <c r="G244" s="62">
        <v>69172.809653415636</v>
      </c>
      <c r="H244" s="62">
        <v>-34911.134240000021</v>
      </c>
      <c r="I244" s="62">
        <v>0</v>
      </c>
      <c r="J244" s="62"/>
      <c r="K244" s="62">
        <v>-1865.27</v>
      </c>
      <c r="L244" s="62">
        <v>3926.46</v>
      </c>
      <c r="M244" s="62">
        <v>7285.62</v>
      </c>
      <c r="N244" s="62">
        <v>4530.6499999999996</v>
      </c>
      <c r="O244" s="62">
        <v>0</v>
      </c>
      <c r="P244" s="62"/>
      <c r="Q244" s="62">
        <v>6824.65</v>
      </c>
      <c r="R244" s="62">
        <v>113224.4</v>
      </c>
      <c r="S244" s="62">
        <v>43326.22</v>
      </c>
      <c r="T244" s="62">
        <v>-48386.04</v>
      </c>
      <c r="U244" s="62">
        <v>0</v>
      </c>
      <c r="V244" s="62"/>
      <c r="W244" s="62">
        <v>20235.87</v>
      </c>
      <c r="X244" s="62">
        <v>20235.87</v>
      </c>
      <c r="Y244" s="62">
        <v>18601.86</v>
      </c>
      <c r="Z244" s="62">
        <v>8562.2000000000007</v>
      </c>
      <c r="AA244" s="62">
        <v>0</v>
      </c>
      <c r="AB244" s="62"/>
      <c r="AC244" s="62">
        <v>3878.2638097925037</v>
      </c>
      <c r="AD244" s="62">
        <v>1241.3649608298497</v>
      </c>
      <c r="AE244" s="62">
        <v>382.05575999998268</v>
      </c>
      <c r="AF244" s="62">
        <v>382.05575999998268</v>
      </c>
      <c r="AG244" s="62">
        <v>0</v>
      </c>
      <c r="AH244" s="62"/>
      <c r="AI244" s="62">
        <v>-491.7977983539098</v>
      </c>
      <c r="AJ244" s="62">
        <v>-491.7977983539098</v>
      </c>
      <c r="AK244" s="62">
        <v>-422.94610658436261</v>
      </c>
      <c r="AL244" s="62">
        <v>0</v>
      </c>
      <c r="AM244" s="62">
        <v>0</v>
      </c>
    </row>
    <row r="245" spans="1:39">
      <c r="A245" s="9">
        <v>92509</v>
      </c>
      <c r="B245" s="10" t="s">
        <v>1623</v>
      </c>
      <c r="C245" s="60">
        <v>0</v>
      </c>
      <c r="E245" s="62">
        <v>-224458.79484230664</v>
      </c>
      <c r="F245" s="62">
        <v>-295144.50894106179</v>
      </c>
      <c r="G245" s="62">
        <v>-260866.69519176963</v>
      </c>
      <c r="H245" s="62">
        <v>0</v>
      </c>
      <c r="I245" s="62">
        <v>0</v>
      </c>
      <c r="J245" s="62"/>
      <c r="K245" s="62">
        <v>0</v>
      </c>
      <c r="L245" s="62">
        <v>0</v>
      </c>
      <c r="M245" s="62">
        <v>0</v>
      </c>
      <c r="N245" s="62">
        <v>0</v>
      </c>
      <c r="O245" s="62">
        <v>0</v>
      </c>
      <c r="P245" s="62"/>
      <c r="Q245" s="62">
        <v>0</v>
      </c>
      <c r="R245" s="62">
        <v>0</v>
      </c>
      <c r="S245" s="62">
        <v>0</v>
      </c>
      <c r="T245" s="62">
        <v>0</v>
      </c>
      <c r="U245" s="62">
        <v>0</v>
      </c>
      <c r="V245" s="62"/>
      <c r="W245" s="62">
        <v>0</v>
      </c>
      <c r="X245" s="62">
        <v>0</v>
      </c>
      <c r="Y245" s="62">
        <v>0</v>
      </c>
      <c r="Z245" s="62">
        <v>0</v>
      </c>
      <c r="AA245" s="62">
        <v>0</v>
      </c>
      <c r="AB245" s="62"/>
      <c r="AC245" s="62">
        <v>78874.571659750945</v>
      </c>
      <c r="AD245" s="62">
        <v>8188.8575609957688</v>
      </c>
      <c r="AE245" s="62">
        <v>0</v>
      </c>
      <c r="AF245" s="62">
        <v>0</v>
      </c>
      <c r="AG245" s="62">
        <v>0</v>
      </c>
      <c r="AH245" s="62"/>
      <c r="AI245" s="62">
        <v>-303333.36650205759</v>
      </c>
      <c r="AJ245" s="62">
        <v>-303333.36650205759</v>
      </c>
      <c r="AK245" s="62">
        <v>-260866.69519176963</v>
      </c>
      <c r="AL245" s="62">
        <v>0</v>
      </c>
      <c r="AM245" s="62">
        <v>0</v>
      </c>
    </row>
    <row r="246" spans="1:39">
      <c r="A246" s="9">
        <v>92511</v>
      </c>
      <c r="B246" s="10" t="s">
        <v>1624</v>
      </c>
      <c r="C246" s="60">
        <v>3.3240000000000001E-3</v>
      </c>
      <c r="E246" s="62">
        <v>197196.86314951847</v>
      </c>
      <c r="F246" s="62">
        <v>1392146.9403771532</v>
      </c>
      <c r="G246" s="62">
        <v>686403.62978781911</v>
      </c>
      <c r="H246" s="62">
        <v>-394220.29351999983</v>
      </c>
      <c r="I246" s="62">
        <v>0</v>
      </c>
      <c r="J246" s="62"/>
      <c r="K246" s="62">
        <v>-20000.508000000002</v>
      </c>
      <c r="L246" s="62">
        <v>42101.784</v>
      </c>
      <c r="M246" s="62">
        <v>78120.648000000001</v>
      </c>
      <c r="N246" s="62">
        <v>48580.26</v>
      </c>
      <c r="O246" s="62">
        <v>0</v>
      </c>
      <c r="P246" s="62"/>
      <c r="Q246" s="62">
        <v>73177.86</v>
      </c>
      <c r="R246" s="62">
        <v>1214057.76</v>
      </c>
      <c r="S246" s="62">
        <v>464568.88800000004</v>
      </c>
      <c r="T246" s="62">
        <v>-518823.21600000001</v>
      </c>
      <c r="U246" s="62">
        <v>0</v>
      </c>
      <c r="V246" s="62"/>
      <c r="W246" s="62">
        <v>216980.74800000002</v>
      </c>
      <c r="X246" s="62">
        <v>216980.74800000002</v>
      </c>
      <c r="Y246" s="62">
        <v>199459.94400000002</v>
      </c>
      <c r="Z246" s="62">
        <v>91808.88</v>
      </c>
      <c r="AA246" s="62">
        <v>0</v>
      </c>
      <c r="AB246" s="62"/>
      <c r="AC246" s="62">
        <v>12146.310000000003</v>
      </c>
      <c r="AD246" s="62">
        <v>0</v>
      </c>
      <c r="AE246" s="62">
        <v>0</v>
      </c>
      <c r="AF246" s="62">
        <v>0</v>
      </c>
      <c r="AG246" s="62">
        <v>0</v>
      </c>
      <c r="AH246" s="62"/>
      <c r="AI246" s="62">
        <v>-85107.546850481565</v>
      </c>
      <c r="AJ246" s="62">
        <v>-80993.35162284672</v>
      </c>
      <c r="AK246" s="62">
        <v>-55745.85021218098</v>
      </c>
      <c r="AL246" s="62">
        <v>-15786.217519999855</v>
      </c>
      <c r="AM246" s="62">
        <v>0</v>
      </c>
    </row>
    <row r="247" spans="1:39">
      <c r="A247" s="9">
        <v>92513</v>
      </c>
      <c r="B247" s="10" t="s">
        <v>1625</v>
      </c>
      <c r="C247" s="60">
        <v>4.0328999999999999E-3</v>
      </c>
      <c r="E247" s="62">
        <v>819152.73294148152</v>
      </c>
      <c r="F247" s="62">
        <v>2278691.5061414815</v>
      </c>
      <c r="G247" s="62">
        <v>1319281.3855340744</v>
      </c>
      <c r="H247" s="62">
        <v>-485784.15314000001</v>
      </c>
      <c r="I247" s="62">
        <v>0</v>
      </c>
      <c r="J247" s="62"/>
      <c r="K247" s="62">
        <v>-24265.959299999999</v>
      </c>
      <c r="L247" s="62">
        <v>51080.7114</v>
      </c>
      <c r="M247" s="62">
        <v>94781.215799999991</v>
      </c>
      <c r="N247" s="62">
        <v>58940.833500000001</v>
      </c>
      <c r="O247" s="62">
        <v>0</v>
      </c>
      <c r="P247" s="62"/>
      <c r="Q247" s="62">
        <v>88784.2935</v>
      </c>
      <c r="R247" s="62">
        <v>1472976.3959999999</v>
      </c>
      <c r="S247" s="62">
        <v>563646.16980000003</v>
      </c>
      <c r="T247" s="62">
        <v>-629471.16359999997</v>
      </c>
      <c r="U247" s="62">
        <v>0</v>
      </c>
      <c r="V247" s="62"/>
      <c r="W247" s="62">
        <v>263255.61329999997</v>
      </c>
      <c r="X247" s="62">
        <v>263255.61329999997</v>
      </c>
      <c r="Y247" s="62">
        <v>241998.1974</v>
      </c>
      <c r="Z247" s="62">
        <v>111388.69799999999</v>
      </c>
      <c r="AA247" s="62">
        <v>0</v>
      </c>
      <c r="AB247" s="62"/>
      <c r="AC247" s="62">
        <v>518021.30648148159</v>
      </c>
      <c r="AD247" s="62">
        <v>518021.30648148159</v>
      </c>
      <c r="AE247" s="62">
        <v>445498.32357407431</v>
      </c>
      <c r="AF247" s="62">
        <v>0</v>
      </c>
      <c r="AG247" s="62">
        <v>0</v>
      </c>
      <c r="AH247" s="62"/>
      <c r="AI247" s="62">
        <v>-26642.521039999978</v>
      </c>
      <c r="AJ247" s="62">
        <v>-26642.521039999978</v>
      </c>
      <c r="AK247" s="62">
        <v>-26642.521039999978</v>
      </c>
      <c r="AL247" s="62">
        <v>-26642.521039999978</v>
      </c>
      <c r="AM247" s="62">
        <v>0</v>
      </c>
    </row>
    <row r="248" spans="1:39">
      <c r="A248" s="9">
        <v>92521</v>
      </c>
      <c r="B248" s="10" t="s">
        <v>1626</v>
      </c>
      <c r="C248" s="60">
        <v>8.6899999999999998E-5</v>
      </c>
      <c r="E248" s="62">
        <v>4523.343584211525</v>
      </c>
      <c r="F248" s="62">
        <v>37141.873665705309</v>
      </c>
      <c r="G248" s="62">
        <v>16857.536229958841</v>
      </c>
      <c r="H248" s="62">
        <v>-10881.620740000006</v>
      </c>
      <c r="I248" s="62">
        <v>0</v>
      </c>
      <c r="J248" s="62"/>
      <c r="K248" s="62">
        <v>-522.87729999999999</v>
      </c>
      <c r="L248" s="62">
        <v>1100.6754000000001</v>
      </c>
      <c r="M248" s="62">
        <v>2042.3237999999999</v>
      </c>
      <c r="N248" s="62">
        <v>1270.0435</v>
      </c>
      <c r="O248" s="62">
        <v>0</v>
      </c>
      <c r="P248" s="62"/>
      <c r="Q248" s="62">
        <v>1913.1034999999999</v>
      </c>
      <c r="R248" s="62">
        <v>31739.356</v>
      </c>
      <c r="S248" s="62">
        <v>12145.317799999999</v>
      </c>
      <c r="T248" s="62">
        <v>-13563.6996</v>
      </c>
      <c r="U248" s="62">
        <v>0</v>
      </c>
      <c r="V248" s="62"/>
      <c r="W248" s="62">
        <v>5672.5712999999996</v>
      </c>
      <c r="X248" s="62">
        <v>5672.5712999999996</v>
      </c>
      <c r="Y248" s="62">
        <v>5214.5213999999996</v>
      </c>
      <c r="Z248" s="62">
        <v>2400.1779999999999</v>
      </c>
      <c r="AA248" s="62">
        <v>0</v>
      </c>
      <c r="AB248" s="62"/>
      <c r="AC248" s="62">
        <v>1740.5839917012436</v>
      </c>
      <c r="AD248" s="62">
        <v>1427.2788731950202</v>
      </c>
      <c r="AE248" s="62">
        <v>0</v>
      </c>
      <c r="AF248" s="62">
        <v>0</v>
      </c>
      <c r="AG248" s="62">
        <v>0</v>
      </c>
      <c r="AH248" s="62"/>
      <c r="AI248" s="62">
        <v>-4280.0379074897173</v>
      </c>
      <c r="AJ248" s="62">
        <v>-2798.0079074897171</v>
      </c>
      <c r="AK248" s="62">
        <v>-2544.6267700411581</v>
      </c>
      <c r="AL248" s="62">
        <v>-988.14264000000549</v>
      </c>
      <c r="AM248" s="62">
        <v>0</v>
      </c>
    </row>
    <row r="249" spans="1:39">
      <c r="A249" s="9">
        <v>92531</v>
      </c>
      <c r="B249" s="10" t="s">
        <v>1627</v>
      </c>
      <c r="C249" s="60">
        <v>8.6490000000000004E-4</v>
      </c>
      <c r="E249" s="62">
        <v>9094.5430924812827</v>
      </c>
      <c r="F249" s="62">
        <v>344751.73642011615</v>
      </c>
      <c r="G249" s="62">
        <v>171997.80801596708</v>
      </c>
      <c r="H249" s="62">
        <v>-101645.14313999999</v>
      </c>
      <c r="I249" s="62">
        <v>0</v>
      </c>
      <c r="J249" s="62"/>
      <c r="K249" s="62">
        <v>-5204.1033000000007</v>
      </c>
      <c r="L249" s="62">
        <v>10954.823400000001</v>
      </c>
      <c r="M249" s="62">
        <v>20326.879800000002</v>
      </c>
      <c r="N249" s="62">
        <v>12640.513500000001</v>
      </c>
      <c r="O249" s="62">
        <v>0</v>
      </c>
      <c r="P249" s="62"/>
      <c r="Q249" s="62">
        <v>19040.773499999999</v>
      </c>
      <c r="R249" s="62">
        <v>315896.076</v>
      </c>
      <c r="S249" s="62">
        <v>120880.1538</v>
      </c>
      <c r="T249" s="62">
        <v>-134997.05160000001</v>
      </c>
      <c r="U249" s="62">
        <v>0</v>
      </c>
      <c r="V249" s="62"/>
      <c r="W249" s="62">
        <v>56458.077300000004</v>
      </c>
      <c r="X249" s="62">
        <v>56458.077300000004</v>
      </c>
      <c r="Y249" s="62">
        <v>51899.189400000003</v>
      </c>
      <c r="Z249" s="62">
        <v>23888.538</v>
      </c>
      <c r="AA249" s="62">
        <v>0</v>
      </c>
      <c r="AB249" s="62"/>
      <c r="AC249" s="62">
        <v>0</v>
      </c>
      <c r="AD249" s="62">
        <v>0</v>
      </c>
      <c r="AE249" s="62">
        <v>0</v>
      </c>
      <c r="AF249" s="62">
        <v>0</v>
      </c>
      <c r="AG249" s="62">
        <v>0</v>
      </c>
      <c r="AH249" s="62"/>
      <c r="AI249" s="62">
        <v>-61200.204407518715</v>
      </c>
      <c r="AJ249" s="62">
        <v>-38557.240279883874</v>
      </c>
      <c r="AK249" s="62">
        <v>-21108.414984032923</v>
      </c>
      <c r="AL249" s="62">
        <v>-3177.1430399999836</v>
      </c>
      <c r="AM249" s="62">
        <v>0</v>
      </c>
    </row>
    <row r="250" spans="1:39">
      <c r="A250" s="9">
        <v>92541</v>
      </c>
      <c r="B250" s="10" t="s">
        <v>1628</v>
      </c>
      <c r="C250" s="60">
        <v>1.4469999999999999E-4</v>
      </c>
      <c r="E250" s="62">
        <v>13748.105817261752</v>
      </c>
      <c r="F250" s="62">
        <v>63282.264300747214</v>
      </c>
      <c r="G250" s="62">
        <v>32366.046920164605</v>
      </c>
      <c r="H250" s="62">
        <v>-17682.188699999999</v>
      </c>
      <c r="I250" s="62">
        <v>0</v>
      </c>
      <c r="J250" s="62"/>
      <c r="K250" s="62">
        <v>-870.65989999999999</v>
      </c>
      <c r="L250" s="62">
        <v>1832.7701999999999</v>
      </c>
      <c r="M250" s="62">
        <v>3400.7393999999999</v>
      </c>
      <c r="N250" s="62">
        <v>2114.7905000000001</v>
      </c>
      <c r="O250" s="62">
        <v>0</v>
      </c>
      <c r="P250" s="62"/>
      <c r="Q250" s="62">
        <v>3185.5704999999998</v>
      </c>
      <c r="R250" s="62">
        <v>52850.227999999996</v>
      </c>
      <c r="S250" s="62">
        <v>20223.561399999999</v>
      </c>
      <c r="T250" s="62">
        <v>-22585.354799999997</v>
      </c>
      <c r="U250" s="62">
        <v>0</v>
      </c>
      <c r="V250" s="62"/>
      <c r="W250" s="62">
        <v>9445.5818999999992</v>
      </c>
      <c r="X250" s="62">
        <v>9445.5818999999992</v>
      </c>
      <c r="Y250" s="62">
        <v>8682.868199999999</v>
      </c>
      <c r="Z250" s="62">
        <v>3996.614</v>
      </c>
      <c r="AA250" s="62">
        <v>0</v>
      </c>
      <c r="AB250" s="62"/>
      <c r="AC250" s="62">
        <v>4551.3010699588522</v>
      </c>
      <c r="AD250" s="62">
        <v>1473.3910699588519</v>
      </c>
      <c r="AE250" s="62">
        <v>1267.1163201646132</v>
      </c>
      <c r="AF250" s="62">
        <v>0</v>
      </c>
      <c r="AG250" s="62">
        <v>0</v>
      </c>
      <c r="AH250" s="62"/>
      <c r="AI250" s="62">
        <v>-2563.6877526970975</v>
      </c>
      <c r="AJ250" s="62">
        <v>-2319.7068692116204</v>
      </c>
      <c r="AK250" s="62">
        <v>-1208.238400000002</v>
      </c>
      <c r="AL250" s="62">
        <v>-1208.238400000002</v>
      </c>
      <c r="AM250" s="62">
        <v>0</v>
      </c>
    </row>
    <row r="251" spans="1:39">
      <c r="A251" s="9">
        <v>92551</v>
      </c>
      <c r="B251" s="10" t="s">
        <v>1629</v>
      </c>
      <c r="C251" s="60">
        <v>5.3300000000000001E-5</v>
      </c>
      <c r="E251" s="62">
        <v>5258.6491725557125</v>
      </c>
      <c r="F251" s="62">
        <v>21436.998974962353</v>
      </c>
      <c r="G251" s="62">
        <v>11295.547211851857</v>
      </c>
      <c r="H251" s="62">
        <v>-5035.9259399999974</v>
      </c>
      <c r="I251" s="62">
        <v>0</v>
      </c>
      <c r="J251" s="62"/>
      <c r="K251" s="62">
        <v>-320.70609999999999</v>
      </c>
      <c r="L251" s="62">
        <v>675.09780000000001</v>
      </c>
      <c r="M251" s="62">
        <v>1252.6566</v>
      </c>
      <c r="N251" s="62">
        <v>778.97950000000003</v>
      </c>
      <c r="O251" s="62">
        <v>0</v>
      </c>
      <c r="P251" s="62"/>
      <c r="Q251" s="62">
        <v>1173.3995</v>
      </c>
      <c r="R251" s="62">
        <v>19467.292000000001</v>
      </c>
      <c r="S251" s="62">
        <v>7449.3146000000006</v>
      </c>
      <c r="T251" s="62">
        <v>-8319.2772000000004</v>
      </c>
      <c r="U251" s="62">
        <v>0</v>
      </c>
      <c r="V251" s="62"/>
      <c r="W251" s="62">
        <v>3479.2640999999999</v>
      </c>
      <c r="X251" s="62">
        <v>3479.2640999999999</v>
      </c>
      <c r="Y251" s="62">
        <v>3198.3198000000002</v>
      </c>
      <c r="Z251" s="62">
        <v>1472.146</v>
      </c>
      <c r="AA251" s="62">
        <v>0</v>
      </c>
      <c r="AB251" s="62"/>
      <c r="AC251" s="62">
        <v>4431.8857600000028</v>
      </c>
      <c r="AD251" s="62">
        <v>1032.2257600000025</v>
      </c>
      <c r="AE251" s="62">
        <v>1032.2257600000025</v>
      </c>
      <c r="AF251" s="62">
        <v>1032.2257600000025</v>
      </c>
      <c r="AG251" s="62">
        <v>0</v>
      </c>
      <c r="AH251" s="62"/>
      <c r="AI251" s="62">
        <v>-3505.1940874442889</v>
      </c>
      <c r="AJ251" s="62">
        <v>-3216.8806850376504</v>
      </c>
      <c r="AK251" s="62">
        <v>-1636.9695481481474</v>
      </c>
      <c r="AL251" s="62">
        <v>0</v>
      </c>
      <c r="AM251" s="62">
        <v>0</v>
      </c>
    </row>
    <row r="252" spans="1:39">
      <c r="A252" s="9">
        <v>92561</v>
      </c>
      <c r="B252" s="10" t="s">
        <v>1630</v>
      </c>
      <c r="C252" s="60">
        <v>2.2200000000000001E-5</v>
      </c>
      <c r="E252" s="62">
        <v>4434.124417270973</v>
      </c>
      <c r="F252" s="62">
        <v>11460.208925154791</v>
      </c>
      <c r="G252" s="62">
        <v>5886.8905446090539</v>
      </c>
      <c r="H252" s="62">
        <v>-2339.9805199999996</v>
      </c>
      <c r="I252" s="62">
        <v>0</v>
      </c>
      <c r="J252" s="62"/>
      <c r="K252" s="62">
        <v>-133.57740000000001</v>
      </c>
      <c r="L252" s="62">
        <v>281.18520000000001</v>
      </c>
      <c r="M252" s="62">
        <v>521.74440000000004</v>
      </c>
      <c r="N252" s="62">
        <v>324.45300000000003</v>
      </c>
      <c r="O252" s="62">
        <v>0</v>
      </c>
      <c r="P252" s="62"/>
      <c r="Q252" s="62">
        <v>488.733</v>
      </c>
      <c r="R252" s="62">
        <v>8108.3280000000004</v>
      </c>
      <c r="S252" s="62">
        <v>3102.7164000000002</v>
      </c>
      <c r="T252" s="62">
        <v>-3465.0648000000001</v>
      </c>
      <c r="U252" s="62">
        <v>0</v>
      </c>
      <c r="V252" s="62"/>
      <c r="W252" s="62">
        <v>1449.1494</v>
      </c>
      <c r="X252" s="62">
        <v>1449.1494</v>
      </c>
      <c r="Y252" s="62">
        <v>1332.1332</v>
      </c>
      <c r="Z252" s="62">
        <v>613.16399999999999</v>
      </c>
      <c r="AA252" s="62">
        <v>0</v>
      </c>
      <c r="AB252" s="62"/>
      <c r="AC252" s="62">
        <v>2629.8194172709727</v>
      </c>
      <c r="AD252" s="62">
        <v>1621.5463251547899</v>
      </c>
      <c r="AE252" s="62">
        <v>930.2965446090534</v>
      </c>
      <c r="AF252" s="62">
        <v>187.46728000000039</v>
      </c>
      <c r="AG252" s="62">
        <v>0</v>
      </c>
      <c r="AH252" s="62"/>
      <c r="AI252" s="62">
        <v>0</v>
      </c>
      <c r="AJ252" s="62">
        <v>0</v>
      </c>
      <c r="AK252" s="62">
        <v>0</v>
      </c>
      <c r="AL252" s="62">
        <v>0</v>
      </c>
      <c r="AM252" s="62">
        <v>0</v>
      </c>
    </row>
    <row r="253" spans="1:39">
      <c r="A253" s="9">
        <v>92571</v>
      </c>
      <c r="B253" s="10" t="s">
        <v>1631</v>
      </c>
      <c r="C253" s="60">
        <v>1.01E-5</v>
      </c>
      <c r="E253" s="62">
        <v>3508.9020604214274</v>
      </c>
      <c r="F253" s="62">
        <v>7200.8595044048297</v>
      </c>
      <c r="G253" s="62">
        <v>4566.3257031275734</v>
      </c>
      <c r="H253" s="62">
        <v>393.37902000000145</v>
      </c>
      <c r="I253" s="62">
        <v>0</v>
      </c>
      <c r="J253" s="62"/>
      <c r="K253" s="62">
        <v>-60.771699999999996</v>
      </c>
      <c r="L253" s="62">
        <v>127.92659999999999</v>
      </c>
      <c r="M253" s="62">
        <v>237.37019999999998</v>
      </c>
      <c r="N253" s="62">
        <v>147.61150000000001</v>
      </c>
      <c r="O253" s="62">
        <v>0</v>
      </c>
      <c r="P253" s="62"/>
      <c r="Q253" s="62">
        <v>222.35149999999999</v>
      </c>
      <c r="R253" s="62">
        <v>3688.924</v>
      </c>
      <c r="S253" s="62">
        <v>1411.5962</v>
      </c>
      <c r="T253" s="62">
        <v>-1576.4484</v>
      </c>
      <c r="U253" s="62">
        <v>0</v>
      </c>
      <c r="V253" s="62"/>
      <c r="W253" s="62">
        <v>659.29769999999996</v>
      </c>
      <c r="X253" s="62">
        <v>659.29769999999996</v>
      </c>
      <c r="Y253" s="62">
        <v>606.06060000000002</v>
      </c>
      <c r="Z253" s="62">
        <v>278.96199999999999</v>
      </c>
      <c r="AA253" s="62">
        <v>0</v>
      </c>
      <c r="AB253" s="62"/>
      <c r="AC253" s="62">
        <v>2788.0145604214276</v>
      </c>
      <c r="AD253" s="62">
        <v>2724.7112044048299</v>
      </c>
      <c r="AE253" s="62">
        <v>2311.2987031275734</v>
      </c>
      <c r="AF253" s="62">
        <v>1543.2539200000015</v>
      </c>
      <c r="AG253" s="62">
        <v>0</v>
      </c>
      <c r="AH253" s="62"/>
      <c r="AI253" s="62">
        <v>-99.990000000000023</v>
      </c>
      <c r="AJ253" s="62">
        <v>0</v>
      </c>
      <c r="AK253" s="62">
        <v>0</v>
      </c>
      <c r="AL253" s="62">
        <v>0</v>
      </c>
      <c r="AM253" s="62">
        <v>0</v>
      </c>
    </row>
    <row r="254" spans="1:39">
      <c r="A254" s="9">
        <v>92601</v>
      </c>
      <c r="B254" s="10" t="s">
        <v>1632</v>
      </c>
      <c r="C254" s="60">
        <v>1.51874E-2</v>
      </c>
      <c r="E254" s="62">
        <v>1345281.764804835</v>
      </c>
      <c r="F254" s="62">
        <v>6727396.951307076</v>
      </c>
      <c r="G254" s="62">
        <v>3383630.7240308644</v>
      </c>
      <c r="H254" s="62">
        <v>-1740585.4034000007</v>
      </c>
      <c r="I254" s="62">
        <v>0</v>
      </c>
      <c r="J254" s="62"/>
      <c r="K254" s="62">
        <v>-91382.585800000001</v>
      </c>
      <c r="L254" s="62">
        <v>192363.6084</v>
      </c>
      <c r="M254" s="62">
        <v>356934.27480000001</v>
      </c>
      <c r="N254" s="62">
        <v>221963.851</v>
      </c>
      <c r="O254" s="62">
        <v>0</v>
      </c>
      <c r="P254" s="62"/>
      <c r="Q254" s="62">
        <v>334350.61100000003</v>
      </c>
      <c r="R254" s="62">
        <v>5547045.9759999998</v>
      </c>
      <c r="S254" s="62">
        <v>2122621.3988000001</v>
      </c>
      <c r="T254" s="62">
        <v>-2370510.1416000002</v>
      </c>
      <c r="U254" s="62">
        <v>0</v>
      </c>
      <c r="V254" s="62"/>
      <c r="W254" s="62">
        <v>991387.90980000002</v>
      </c>
      <c r="X254" s="62">
        <v>991387.90980000002</v>
      </c>
      <c r="Y254" s="62">
        <v>911335.12439999997</v>
      </c>
      <c r="Z254" s="62">
        <v>419475.98800000001</v>
      </c>
      <c r="AA254" s="62">
        <v>0</v>
      </c>
      <c r="AB254" s="62"/>
      <c r="AC254" s="62">
        <v>122440.93060483494</v>
      </c>
      <c r="AD254" s="62">
        <v>8114.5579070757058</v>
      </c>
      <c r="AE254" s="62">
        <v>4255.0268308640116</v>
      </c>
      <c r="AF254" s="62">
        <v>0</v>
      </c>
      <c r="AG254" s="62">
        <v>0</v>
      </c>
      <c r="AH254" s="62"/>
      <c r="AI254" s="62">
        <v>-11515.100800000131</v>
      </c>
      <c r="AJ254" s="62">
        <v>-11515.100800000131</v>
      </c>
      <c r="AK254" s="62">
        <v>-11515.100800000131</v>
      </c>
      <c r="AL254" s="62">
        <v>-11515.100800000131</v>
      </c>
      <c r="AM254" s="62">
        <v>0</v>
      </c>
    </row>
    <row r="255" spans="1:39">
      <c r="A255" s="9">
        <v>92602</v>
      </c>
      <c r="B255" s="10" t="s">
        <v>1633</v>
      </c>
      <c r="C255" s="60">
        <v>8.3000000000000002E-6</v>
      </c>
      <c r="E255" s="62">
        <v>571.95834695319536</v>
      </c>
      <c r="F255" s="62">
        <v>3293.061322886806</v>
      </c>
      <c r="G255" s="62">
        <v>1791.4095914403288</v>
      </c>
      <c r="H255" s="62">
        <v>-969.36646000000019</v>
      </c>
      <c r="I255" s="62">
        <v>0</v>
      </c>
      <c r="J255" s="62"/>
      <c r="K255" s="62">
        <v>-49.941099999999999</v>
      </c>
      <c r="L255" s="62">
        <v>105.12780000000001</v>
      </c>
      <c r="M255" s="62">
        <v>195.06659999999999</v>
      </c>
      <c r="N255" s="62">
        <v>121.3045</v>
      </c>
      <c r="O255" s="62">
        <v>0</v>
      </c>
      <c r="P255" s="62"/>
      <c r="Q255" s="62">
        <v>182.72450000000001</v>
      </c>
      <c r="R255" s="62">
        <v>3031.4920000000002</v>
      </c>
      <c r="S255" s="62">
        <v>1160.0246</v>
      </c>
      <c r="T255" s="62">
        <v>-1295.4972</v>
      </c>
      <c r="U255" s="62">
        <v>0</v>
      </c>
      <c r="V255" s="62"/>
      <c r="W255" s="62">
        <v>541.79910000000007</v>
      </c>
      <c r="X255" s="62">
        <v>541.79910000000007</v>
      </c>
      <c r="Y255" s="62">
        <v>498.0498</v>
      </c>
      <c r="Z255" s="62">
        <v>229.24600000000001</v>
      </c>
      <c r="AA255" s="62">
        <v>0</v>
      </c>
      <c r="AB255" s="62"/>
      <c r="AC255" s="62">
        <v>352.44000000000005</v>
      </c>
      <c r="AD255" s="62">
        <v>0</v>
      </c>
      <c r="AE255" s="62">
        <v>0</v>
      </c>
      <c r="AF255" s="62">
        <v>0</v>
      </c>
      <c r="AG255" s="62">
        <v>0</v>
      </c>
      <c r="AH255" s="62"/>
      <c r="AI255" s="62">
        <v>-455.06415304680468</v>
      </c>
      <c r="AJ255" s="62">
        <v>-385.35757711319479</v>
      </c>
      <c r="AK255" s="62">
        <v>-61.731408559670967</v>
      </c>
      <c r="AL255" s="62">
        <v>-24.419760000000135</v>
      </c>
      <c r="AM255" s="62">
        <v>0</v>
      </c>
    </row>
    <row r="256" spans="1:39">
      <c r="A256" s="9">
        <v>92604</v>
      </c>
      <c r="B256" s="10" t="s">
        <v>1634</v>
      </c>
      <c r="C256" s="60">
        <v>3.4099999999999999E-4</v>
      </c>
      <c r="E256" s="62">
        <v>51595.676764067386</v>
      </c>
      <c r="F256" s="62">
        <v>165220.74293311301</v>
      </c>
      <c r="G256" s="62">
        <v>86959.69872049379</v>
      </c>
      <c r="H256" s="62">
        <v>-34863.20284000002</v>
      </c>
      <c r="I256" s="62">
        <v>0</v>
      </c>
      <c r="J256" s="62"/>
      <c r="K256" s="62">
        <v>-2051.797</v>
      </c>
      <c r="L256" s="62">
        <v>4319.1059999999998</v>
      </c>
      <c r="M256" s="62">
        <v>8014.1819999999998</v>
      </c>
      <c r="N256" s="62">
        <v>4983.7150000000001</v>
      </c>
      <c r="O256" s="62">
        <v>0</v>
      </c>
      <c r="P256" s="62"/>
      <c r="Q256" s="62">
        <v>7507.1149999999998</v>
      </c>
      <c r="R256" s="62">
        <v>124546.84</v>
      </c>
      <c r="S256" s="62">
        <v>47658.841999999997</v>
      </c>
      <c r="T256" s="62">
        <v>-53224.644</v>
      </c>
      <c r="U256" s="62">
        <v>0</v>
      </c>
      <c r="V256" s="62"/>
      <c r="W256" s="62">
        <v>22259.456999999999</v>
      </c>
      <c r="X256" s="62">
        <v>22259.456999999999</v>
      </c>
      <c r="Y256" s="62">
        <v>20462.045999999998</v>
      </c>
      <c r="Z256" s="62">
        <v>9418.42</v>
      </c>
      <c r="AA256" s="62">
        <v>0</v>
      </c>
      <c r="AB256" s="62"/>
      <c r="AC256" s="62">
        <v>23880.901764067388</v>
      </c>
      <c r="AD256" s="62">
        <v>14095.339933113031</v>
      </c>
      <c r="AE256" s="62">
        <v>10824.628720493805</v>
      </c>
      <c r="AF256" s="62">
        <v>3959.3061599999837</v>
      </c>
      <c r="AG256" s="62">
        <v>0</v>
      </c>
      <c r="AH256" s="62"/>
      <c r="AI256" s="62">
        <v>0</v>
      </c>
      <c r="AJ256" s="62">
        <v>0</v>
      </c>
      <c r="AK256" s="62">
        <v>0</v>
      </c>
      <c r="AL256" s="62">
        <v>0</v>
      </c>
      <c r="AM256" s="62">
        <v>0</v>
      </c>
    </row>
    <row r="257" spans="1:39">
      <c r="A257" s="9">
        <v>92607</v>
      </c>
      <c r="B257" s="10" t="s">
        <v>1635</v>
      </c>
      <c r="C257" s="60">
        <v>6.6400000000000001E-5</v>
      </c>
      <c r="E257" s="62">
        <v>10154.563350317439</v>
      </c>
      <c r="F257" s="62">
        <v>31749.43883247512</v>
      </c>
      <c r="G257" s="62">
        <v>16243.137373004116</v>
      </c>
      <c r="H257" s="62">
        <v>-6641.3743200000008</v>
      </c>
      <c r="I257" s="62">
        <v>0</v>
      </c>
      <c r="J257" s="62"/>
      <c r="K257" s="62">
        <v>-399.52879999999999</v>
      </c>
      <c r="L257" s="62">
        <v>841.02240000000006</v>
      </c>
      <c r="M257" s="62">
        <v>1560.5328</v>
      </c>
      <c r="N257" s="62">
        <v>970.43600000000004</v>
      </c>
      <c r="O257" s="62">
        <v>0</v>
      </c>
      <c r="P257" s="62"/>
      <c r="Q257" s="62">
        <v>1461.796</v>
      </c>
      <c r="R257" s="62">
        <v>24251.936000000002</v>
      </c>
      <c r="S257" s="62">
        <v>9280.1967999999997</v>
      </c>
      <c r="T257" s="62">
        <v>-10363.9776</v>
      </c>
      <c r="U257" s="62">
        <v>0</v>
      </c>
      <c r="V257" s="62"/>
      <c r="W257" s="62">
        <v>4334.3928000000005</v>
      </c>
      <c r="X257" s="62">
        <v>4334.3928000000005</v>
      </c>
      <c r="Y257" s="62">
        <v>3984.3984</v>
      </c>
      <c r="Z257" s="62">
        <v>1833.9680000000001</v>
      </c>
      <c r="AA257" s="62">
        <v>0</v>
      </c>
      <c r="AB257" s="62"/>
      <c r="AC257" s="62">
        <v>4757.9033503174396</v>
      </c>
      <c r="AD257" s="62">
        <v>2322.0876324751152</v>
      </c>
      <c r="AE257" s="62">
        <v>1418.0093730041162</v>
      </c>
      <c r="AF257" s="62">
        <v>918.19928000000004</v>
      </c>
      <c r="AG257" s="62">
        <v>0</v>
      </c>
      <c r="AH257" s="62"/>
      <c r="AI257" s="62">
        <v>0</v>
      </c>
      <c r="AJ257" s="62">
        <v>0</v>
      </c>
      <c r="AK257" s="62">
        <v>0</v>
      </c>
      <c r="AL257" s="62">
        <v>0</v>
      </c>
      <c r="AM257" s="62">
        <v>0</v>
      </c>
    </row>
    <row r="258" spans="1:39">
      <c r="A258" s="9">
        <v>92608</v>
      </c>
      <c r="B258" s="10" t="s">
        <v>1636</v>
      </c>
      <c r="C258" s="60">
        <v>0</v>
      </c>
      <c r="E258" s="62">
        <v>-69181.974149377609</v>
      </c>
      <c r="F258" s="62">
        <v>-753.17340248962682</v>
      </c>
      <c r="G258" s="62">
        <v>0</v>
      </c>
      <c r="H258" s="62">
        <v>0</v>
      </c>
      <c r="I258" s="62">
        <v>0</v>
      </c>
      <c r="J258" s="62"/>
      <c r="K258" s="62">
        <v>0</v>
      </c>
      <c r="L258" s="62">
        <v>0</v>
      </c>
      <c r="M258" s="62">
        <v>0</v>
      </c>
      <c r="N258" s="62">
        <v>0</v>
      </c>
      <c r="O258" s="62">
        <v>0</v>
      </c>
      <c r="P258" s="62"/>
      <c r="Q258" s="62">
        <v>0</v>
      </c>
      <c r="R258" s="62">
        <v>0</v>
      </c>
      <c r="S258" s="62">
        <v>0</v>
      </c>
      <c r="T258" s="62">
        <v>0</v>
      </c>
      <c r="U258" s="62">
        <v>0</v>
      </c>
      <c r="V258" s="62"/>
      <c r="W258" s="62">
        <v>0</v>
      </c>
      <c r="X258" s="62">
        <v>0</v>
      </c>
      <c r="Y258" s="62">
        <v>0</v>
      </c>
      <c r="Z258" s="62">
        <v>0</v>
      </c>
      <c r="AA258" s="62">
        <v>0</v>
      </c>
      <c r="AB258" s="62"/>
      <c r="AC258" s="62">
        <v>0</v>
      </c>
      <c r="AD258" s="62">
        <v>0</v>
      </c>
      <c r="AE258" s="62">
        <v>0</v>
      </c>
      <c r="AF258" s="62">
        <v>0</v>
      </c>
      <c r="AG258" s="62">
        <v>0</v>
      </c>
      <c r="AH258" s="62"/>
      <c r="AI258" s="62">
        <v>-69181.974149377609</v>
      </c>
      <c r="AJ258" s="62">
        <v>-753.17340248962682</v>
      </c>
      <c r="AK258" s="62">
        <v>0</v>
      </c>
      <c r="AL258" s="62">
        <v>0</v>
      </c>
      <c r="AM258" s="62">
        <v>0</v>
      </c>
    </row>
    <row r="259" spans="1:39">
      <c r="A259" s="9">
        <v>92611</v>
      </c>
      <c r="B259" s="10" t="s">
        <v>1637</v>
      </c>
      <c r="C259" s="60">
        <v>1.3080899999999999E-2</v>
      </c>
      <c r="E259" s="62">
        <v>749910.33028579073</v>
      </c>
      <c r="F259" s="62">
        <v>5488294.3305577403</v>
      </c>
      <c r="G259" s="62">
        <v>2694754.6323912763</v>
      </c>
      <c r="H259" s="62">
        <v>-1607735.5775399997</v>
      </c>
      <c r="I259" s="62">
        <v>0</v>
      </c>
      <c r="J259" s="62"/>
      <c r="K259" s="62">
        <v>-78707.775299999994</v>
      </c>
      <c r="L259" s="62">
        <v>165682.67939999999</v>
      </c>
      <c r="M259" s="62">
        <v>307427.31179999997</v>
      </c>
      <c r="N259" s="62">
        <v>191177.3535</v>
      </c>
      <c r="O259" s="62">
        <v>0</v>
      </c>
      <c r="P259" s="62"/>
      <c r="Q259" s="62">
        <v>287976.0135</v>
      </c>
      <c r="R259" s="62">
        <v>4777667.9160000002</v>
      </c>
      <c r="S259" s="62">
        <v>1828212.7457999999</v>
      </c>
      <c r="T259" s="62">
        <v>-2041719.1956</v>
      </c>
      <c r="U259" s="62">
        <v>0</v>
      </c>
      <c r="V259" s="62"/>
      <c r="W259" s="62">
        <v>853881.90929999994</v>
      </c>
      <c r="X259" s="62">
        <v>853881.90929999994</v>
      </c>
      <c r="Y259" s="62">
        <v>784932.48540000001</v>
      </c>
      <c r="Z259" s="62">
        <v>361294.45799999998</v>
      </c>
      <c r="AA259" s="62">
        <v>0</v>
      </c>
      <c r="AB259" s="62"/>
      <c r="AC259" s="62">
        <v>10108.890000000003</v>
      </c>
      <c r="AD259" s="62">
        <v>0</v>
      </c>
      <c r="AE259" s="62">
        <v>0</v>
      </c>
      <c r="AF259" s="62">
        <v>0</v>
      </c>
      <c r="AG259" s="62">
        <v>0</v>
      </c>
      <c r="AH259" s="62"/>
      <c r="AI259" s="62">
        <v>-323348.70721420913</v>
      </c>
      <c r="AJ259" s="62">
        <v>-308938.17414225882</v>
      </c>
      <c r="AK259" s="62">
        <v>-225817.91060872391</v>
      </c>
      <c r="AL259" s="62">
        <v>-118488.19343999978</v>
      </c>
      <c r="AM259" s="62">
        <v>0</v>
      </c>
    </row>
    <row r="260" spans="1:39">
      <c r="A260" s="9">
        <v>92613</v>
      </c>
      <c r="B260" s="10" t="s">
        <v>1638</v>
      </c>
      <c r="C260" s="60">
        <v>2.6439999999999998E-4</v>
      </c>
      <c r="E260" s="62">
        <v>63004.390824472786</v>
      </c>
      <c r="F260" s="62">
        <v>152932.42495725286</v>
      </c>
      <c r="G260" s="62">
        <v>63744.222195884759</v>
      </c>
      <c r="H260" s="62">
        <v>-28536.328400000006</v>
      </c>
      <c r="I260" s="62">
        <v>0</v>
      </c>
      <c r="J260" s="62"/>
      <c r="K260" s="62">
        <v>-1590.8947999999998</v>
      </c>
      <c r="L260" s="62">
        <v>3348.8903999999998</v>
      </c>
      <c r="M260" s="62">
        <v>6213.9287999999997</v>
      </c>
      <c r="N260" s="62">
        <v>3864.2059999999997</v>
      </c>
      <c r="O260" s="62">
        <v>0</v>
      </c>
      <c r="P260" s="62"/>
      <c r="Q260" s="62">
        <v>5820.7659999999996</v>
      </c>
      <c r="R260" s="62">
        <v>96569.455999999991</v>
      </c>
      <c r="S260" s="62">
        <v>36953.072799999994</v>
      </c>
      <c r="T260" s="62">
        <v>-41268.609599999996</v>
      </c>
      <c r="U260" s="62">
        <v>0</v>
      </c>
      <c r="V260" s="62"/>
      <c r="W260" s="62">
        <v>17259.238799999999</v>
      </c>
      <c r="X260" s="62">
        <v>17259.238799999999</v>
      </c>
      <c r="Y260" s="62">
        <v>15865.586399999998</v>
      </c>
      <c r="Z260" s="62">
        <v>7302.7279999999992</v>
      </c>
      <c r="AA260" s="62">
        <v>0</v>
      </c>
      <c r="AB260" s="62"/>
      <c r="AC260" s="62">
        <v>42456.770824472784</v>
      </c>
      <c r="AD260" s="62">
        <v>35754.839757252877</v>
      </c>
      <c r="AE260" s="62">
        <v>4711.6341958847606</v>
      </c>
      <c r="AF260" s="62">
        <v>1565.3471999999924</v>
      </c>
      <c r="AG260" s="62">
        <v>0</v>
      </c>
      <c r="AH260" s="62"/>
      <c r="AI260" s="62">
        <v>-941.49000000000024</v>
      </c>
      <c r="AJ260" s="62">
        <v>0</v>
      </c>
      <c r="AK260" s="62">
        <v>0</v>
      </c>
      <c r="AL260" s="62">
        <v>0</v>
      </c>
      <c r="AM260" s="62">
        <v>0</v>
      </c>
    </row>
    <row r="261" spans="1:39">
      <c r="A261" s="9">
        <v>92614</v>
      </c>
      <c r="B261" s="10" t="s">
        <v>1639</v>
      </c>
      <c r="C261" s="60">
        <v>5.7273000000000003E-3</v>
      </c>
      <c r="E261" s="62">
        <v>1880560.6340960902</v>
      </c>
      <c r="F261" s="62">
        <v>3774767.8425707798</v>
      </c>
      <c r="G261" s="62">
        <v>2089955.6145558842</v>
      </c>
      <c r="H261" s="62">
        <v>-206814.90394000057</v>
      </c>
      <c r="I261" s="62">
        <v>0</v>
      </c>
      <c r="J261" s="62"/>
      <c r="K261" s="62">
        <v>-34461.164100000002</v>
      </c>
      <c r="L261" s="62">
        <v>72541.981800000009</v>
      </c>
      <c r="M261" s="62">
        <v>134603.00460000001</v>
      </c>
      <c r="N261" s="62">
        <v>83704.489500000011</v>
      </c>
      <c r="O261" s="62">
        <v>0</v>
      </c>
      <c r="P261" s="62"/>
      <c r="Q261" s="62">
        <v>126086.5095</v>
      </c>
      <c r="R261" s="62">
        <v>2091839.0520000001</v>
      </c>
      <c r="S261" s="62">
        <v>800458.90260000003</v>
      </c>
      <c r="T261" s="62">
        <v>-893939.89320000005</v>
      </c>
      <c r="U261" s="62">
        <v>0</v>
      </c>
      <c r="V261" s="62"/>
      <c r="W261" s="62">
        <v>373860.9621</v>
      </c>
      <c r="X261" s="62">
        <v>373860.9621</v>
      </c>
      <c r="Y261" s="62">
        <v>343672.36379999999</v>
      </c>
      <c r="Z261" s="62">
        <v>158188.02600000001</v>
      </c>
      <c r="AA261" s="62">
        <v>0</v>
      </c>
      <c r="AB261" s="62"/>
      <c r="AC261" s="62">
        <v>1415074.3265960901</v>
      </c>
      <c r="AD261" s="62">
        <v>1236525.8466707792</v>
      </c>
      <c r="AE261" s="62">
        <v>811221.3435558842</v>
      </c>
      <c r="AF261" s="62">
        <v>445232.4737599995</v>
      </c>
      <c r="AG261" s="62">
        <v>0</v>
      </c>
      <c r="AH261" s="62"/>
      <c r="AI261" s="62">
        <v>0</v>
      </c>
      <c r="AJ261" s="62">
        <v>0</v>
      </c>
      <c r="AK261" s="62">
        <v>0</v>
      </c>
      <c r="AL261" s="62">
        <v>0</v>
      </c>
      <c r="AM261" s="62">
        <v>0</v>
      </c>
    </row>
    <row r="262" spans="1:39">
      <c r="A262" s="9">
        <v>92621</v>
      </c>
      <c r="B262" s="10" t="s">
        <v>1640</v>
      </c>
      <c r="C262" s="60">
        <v>2.72E-5</v>
      </c>
      <c r="E262" s="62">
        <v>232.87390597271042</v>
      </c>
      <c r="F262" s="62">
        <v>10990.439187549477</v>
      </c>
      <c r="G262" s="62">
        <v>4653.699118847735</v>
      </c>
      <c r="H262" s="62">
        <v>-4284.1698400000005</v>
      </c>
      <c r="I262" s="62">
        <v>0</v>
      </c>
      <c r="J262" s="62"/>
      <c r="K262" s="62">
        <v>-163.66239999999999</v>
      </c>
      <c r="L262" s="62">
        <v>344.51519999999999</v>
      </c>
      <c r="M262" s="62">
        <v>639.25440000000003</v>
      </c>
      <c r="N262" s="62">
        <v>397.52800000000002</v>
      </c>
      <c r="O262" s="62">
        <v>0</v>
      </c>
      <c r="P262" s="62"/>
      <c r="Q262" s="62">
        <v>598.80799999999999</v>
      </c>
      <c r="R262" s="62">
        <v>9934.5280000000002</v>
      </c>
      <c r="S262" s="62">
        <v>3801.5264000000002</v>
      </c>
      <c r="T262" s="62">
        <v>-4245.4848000000002</v>
      </c>
      <c r="U262" s="62">
        <v>0</v>
      </c>
      <c r="V262" s="62"/>
      <c r="W262" s="62">
        <v>1775.5344</v>
      </c>
      <c r="X262" s="62">
        <v>1775.5344</v>
      </c>
      <c r="Y262" s="62">
        <v>1632.1632</v>
      </c>
      <c r="Z262" s="62">
        <v>751.26400000000001</v>
      </c>
      <c r="AA262" s="62">
        <v>0</v>
      </c>
      <c r="AB262" s="62"/>
      <c r="AC262" s="62">
        <v>479.068435684647</v>
      </c>
      <c r="AD262" s="62">
        <v>392.83611726141066</v>
      </c>
      <c r="AE262" s="62">
        <v>0</v>
      </c>
      <c r="AF262" s="62">
        <v>0</v>
      </c>
      <c r="AG262" s="62">
        <v>0</v>
      </c>
      <c r="AH262" s="62"/>
      <c r="AI262" s="62">
        <v>-2456.8745297119362</v>
      </c>
      <c r="AJ262" s="62">
        <v>-1456.9745297119362</v>
      </c>
      <c r="AK262" s="62">
        <v>-1419.2448811522652</v>
      </c>
      <c r="AL262" s="62">
        <v>-1187.4770400000009</v>
      </c>
      <c r="AM262" s="62">
        <v>0</v>
      </c>
    </row>
    <row r="263" spans="1:39">
      <c r="A263" s="9">
        <v>92631</v>
      </c>
      <c r="B263" s="10" t="s">
        <v>1641</v>
      </c>
      <c r="C263" s="60">
        <v>9.2710000000000004E-4</v>
      </c>
      <c r="E263" s="62">
        <v>25650.692845762394</v>
      </c>
      <c r="F263" s="62">
        <v>366452.69795514003</v>
      </c>
      <c r="G263" s="62">
        <v>173338.2766974486</v>
      </c>
      <c r="H263" s="62">
        <v>-124606.20814</v>
      </c>
      <c r="I263" s="62">
        <v>0</v>
      </c>
      <c r="J263" s="62"/>
      <c r="K263" s="62">
        <v>-5578.3607000000002</v>
      </c>
      <c r="L263" s="62">
        <v>11742.6486</v>
      </c>
      <c r="M263" s="62">
        <v>21788.7042</v>
      </c>
      <c r="N263" s="62">
        <v>13549.566500000001</v>
      </c>
      <c r="O263" s="62">
        <v>0</v>
      </c>
      <c r="P263" s="62"/>
      <c r="Q263" s="62">
        <v>20410.106500000002</v>
      </c>
      <c r="R263" s="62">
        <v>338614.00400000002</v>
      </c>
      <c r="S263" s="62">
        <v>129573.3502</v>
      </c>
      <c r="T263" s="62">
        <v>-144705.47640000001</v>
      </c>
      <c r="U263" s="62">
        <v>0</v>
      </c>
      <c r="V263" s="62"/>
      <c r="W263" s="62">
        <v>60518.306700000001</v>
      </c>
      <c r="X263" s="62">
        <v>60518.306700000001</v>
      </c>
      <c r="Y263" s="62">
        <v>55631.562600000005</v>
      </c>
      <c r="Z263" s="62">
        <v>25606.502</v>
      </c>
      <c r="AA263" s="62">
        <v>0</v>
      </c>
      <c r="AB263" s="62"/>
      <c r="AC263" s="62">
        <v>0</v>
      </c>
      <c r="AD263" s="62">
        <v>0</v>
      </c>
      <c r="AE263" s="62">
        <v>0</v>
      </c>
      <c r="AF263" s="62">
        <v>0</v>
      </c>
      <c r="AG263" s="62">
        <v>0</v>
      </c>
      <c r="AH263" s="62"/>
      <c r="AI263" s="62">
        <v>-49699.359654237611</v>
      </c>
      <c r="AJ263" s="62">
        <v>-44422.261344860017</v>
      </c>
      <c r="AK263" s="62">
        <v>-33655.340302551398</v>
      </c>
      <c r="AL263" s="62">
        <v>-19056.800239999975</v>
      </c>
      <c r="AM263" s="62">
        <v>0</v>
      </c>
    </row>
    <row r="264" spans="1:39">
      <c r="A264" s="9">
        <v>92641</v>
      </c>
      <c r="B264" s="10" t="s">
        <v>1642</v>
      </c>
      <c r="C264" s="60">
        <v>1.0200000000000001E-5</v>
      </c>
      <c r="E264" s="62">
        <v>1011.1853199200865</v>
      </c>
      <c r="F264" s="62">
        <v>5494.7540684678052</v>
      </c>
      <c r="G264" s="62">
        <v>2541.1803414814822</v>
      </c>
      <c r="H264" s="62">
        <v>-970.52883999999904</v>
      </c>
      <c r="I264" s="62">
        <v>0</v>
      </c>
      <c r="J264" s="62"/>
      <c r="K264" s="62">
        <v>-61.373400000000004</v>
      </c>
      <c r="L264" s="62">
        <v>129.19320000000002</v>
      </c>
      <c r="M264" s="62">
        <v>239.72040000000001</v>
      </c>
      <c r="N264" s="62">
        <v>149.07300000000001</v>
      </c>
      <c r="O264" s="62">
        <v>0</v>
      </c>
      <c r="P264" s="62"/>
      <c r="Q264" s="62">
        <v>224.55300000000003</v>
      </c>
      <c r="R264" s="62">
        <v>3725.4480000000003</v>
      </c>
      <c r="S264" s="62">
        <v>1425.5724</v>
      </c>
      <c r="T264" s="62">
        <v>-1592.0568000000001</v>
      </c>
      <c r="U264" s="62">
        <v>0</v>
      </c>
      <c r="V264" s="62"/>
      <c r="W264" s="62">
        <v>665.82540000000006</v>
      </c>
      <c r="X264" s="62">
        <v>665.82540000000006</v>
      </c>
      <c r="Y264" s="62">
        <v>612.06119999999999</v>
      </c>
      <c r="Z264" s="62">
        <v>281.72399999999999</v>
      </c>
      <c r="AA264" s="62">
        <v>0</v>
      </c>
      <c r="AB264" s="62"/>
      <c r="AC264" s="62">
        <v>1127.6303199200865</v>
      </c>
      <c r="AD264" s="62">
        <v>974.28746846780484</v>
      </c>
      <c r="AE264" s="62">
        <v>263.82634148148236</v>
      </c>
      <c r="AF264" s="62">
        <v>190.73096000000098</v>
      </c>
      <c r="AG264" s="62">
        <v>0</v>
      </c>
      <c r="AH264" s="62"/>
      <c r="AI264" s="62">
        <v>-945.45000000000016</v>
      </c>
      <c r="AJ264" s="62">
        <v>0</v>
      </c>
      <c r="AK264" s="62">
        <v>0</v>
      </c>
      <c r="AL264" s="62">
        <v>0</v>
      </c>
      <c r="AM264" s="62">
        <v>0</v>
      </c>
    </row>
    <row r="265" spans="1:39">
      <c r="A265" s="9">
        <v>92651</v>
      </c>
      <c r="B265" s="10" t="s">
        <v>1643</v>
      </c>
      <c r="C265" s="60">
        <v>2.6000000000000001E-6</v>
      </c>
      <c r="E265" s="62">
        <v>1553.1494320502704</v>
      </c>
      <c r="F265" s="62">
        <v>2145.2013615108517</v>
      </c>
      <c r="G265" s="62">
        <v>1285.8561282304527</v>
      </c>
      <c r="H265" s="62">
        <v>95.46091999999993</v>
      </c>
      <c r="I265" s="62">
        <v>0</v>
      </c>
      <c r="J265" s="62"/>
      <c r="K265" s="62">
        <v>-15.644200000000001</v>
      </c>
      <c r="L265" s="62">
        <v>32.931600000000003</v>
      </c>
      <c r="M265" s="62">
        <v>61.105200000000004</v>
      </c>
      <c r="N265" s="62">
        <v>37.999000000000002</v>
      </c>
      <c r="O265" s="62">
        <v>0</v>
      </c>
      <c r="P265" s="62"/>
      <c r="Q265" s="62">
        <v>57.239000000000004</v>
      </c>
      <c r="R265" s="62">
        <v>949.62400000000002</v>
      </c>
      <c r="S265" s="62">
        <v>363.38120000000004</v>
      </c>
      <c r="T265" s="62">
        <v>-405.8184</v>
      </c>
      <c r="U265" s="62">
        <v>0</v>
      </c>
      <c r="V265" s="62"/>
      <c r="W265" s="62">
        <v>169.72020000000001</v>
      </c>
      <c r="X265" s="62">
        <v>169.72020000000001</v>
      </c>
      <c r="Y265" s="62">
        <v>156.01560000000001</v>
      </c>
      <c r="Z265" s="62">
        <v>71.811999999999998</v>
      </c>
      <c r="AA265" s="62">
        <v>0</v>
      </c>
      <c r="AB265" s="62"/>
      <c r="AC265" s="62">
        <v>1341.8344320502704</v>
      </c>
      <c r="AD265" s="62">
        <v>992.92556151085148</v>
      </c>
      <c r="AE265" s="62">
        <v>705.35412823045272</v>
      </c>
      <c r="AF265" s="62">
        <v>391.46831999999989</v>
      </c>
      <c r="AG265" s="62">
        <v>0</v>
      </c>
      <c r="AH265" s="62"/>
      <c r="AI265" s="62">
        <v>0</v>
      </c>
      <c r="AJ265" s="62">
        <v>0</v>
      </c>
      <c r="AK265" s="62">
        <v>0</v>
      </c>
      <c r="AL265" s="62">
        <v>0</v>
      </c>
      <c r="AM265" s="62">
        <v>0</v>
      </c>
    </row>
    <row r="266" spans="1:39">
      <c r="A266" s="9">
        <v>92661</v>
      </c>
      <c r="B266" s="10" t="s">
        <v>1644</v>
      </c>
      <c r="C266" s="60">
        <v>6.9999999999999999E-4</v>
      </c>
      <c r="E266" s="62">
        <v>187350.3302380137</v>
      </c>
      <c r="F266" s="62">
        <v>450099.14408465277</v>
      </c>
      <c r="G266" s="62">
        <v>255761.29332263372</v>
      </c>
      <c r="H266" s="62">
        <v>-19531.374400000008</v>
      </c>
      <c r="I266" s="62">
        <v>0</v>
      </c>
      <c r="J266" s="62"/>
      <c r="K266" s="62">
        <v>-4211.8999999999996</v>
      </c>
      <c r="L266" s="62">
        <v>8866.2000000000007</v>
      </c>
      <c r="M266" s="62">
        <v>16451.400000000001</v>
      </c>
      <c r="N266" s="62">
        <v>10230.5</v>
      </c>
      <c r="O266" s="62">
        <v>0</v>
      </c>
      <c r="P266" s="62"/>
      <c r="Q266" s="62">
        <v>15410.5</v>
      </c>
      <c r="R266" s="62">
        <v>255668</v>
      </c>
      <c r="S266" s="62">
        <v>97833.4</v>
      </c>
      <c r="T266" s="62">
        <v>-109258.8</v>
      </c>
      <c r="U266" s="62">
        <v>0</v>
      </c>
      <c r="V266" s="62"/>
      <c r="W266" s="62">
        <v>45693.9</v>
      </c>
      <c r="X266" s="62">
        <v>45693.9</v>
      </c>
      <c r="Y266" s="62">
        <v>42004.2</v>
      </c>
      <c r="Z266" s="62">
        <v>19334</v>
      </c>
      <c r="AA266" s="62">
        <v>0</v>
      </c>
      <c r="AB266" s="62"/>
      <c r="AC266" s="62">
        <v>147334.3602380137</v>
      </c>
      <c r="AD266" s="62">
        <v>139871.04408465273</v>
      </c>
      <c r="AE266" s="62">
        <v>99472.293322633719</v>
      </c>
      <c r="AF266" s="62">
        <v>60162.925599999995</v>
      </c>
      <c r="AG266" s="62">
        <v>0</v>
      </c>
      <c r="AH266" s="62"/>
      <c r="AI266" s="62">
        <v>-16876.530000000002</v>
      </c>
      <c r="AJ266" s="62">
        <v>0</v>
      </c>
      <c r="AK266" s="62">
        <v>0</v>
      </c>
      <c r="AL266" s="62">
        <v>0</v>
      </c>
      <c r="AM266" s="62">
        <v>0</v>
      </c>
    </row>
    <row r="267" spans="1:39">
      <c r="A267" s="9">
        <v>92671</v>
      </c>
      <c r="B267" s="10" t="s">
        <v>1645</v>
      </c>
      <c r="C267" s="60">
        <v>2.6000000000000001E-6</v>
      </c>
      <c r="E267" s="62">
        <v>2414.3545789088671</v>
      </c>
      <c r="F267" s="62">
        <v>3091.674091771938</v>
      </c>
      <c r="G267" s="62">
        <v>1908.5058540740738</v>
      </c>
      <c r="H267" s="62">
        <v>470.71187999999961</v>
      </c>
      <c r="I267" s="62">
        <v>0</v>
      </c>
      <c r="J267" s="62"/>
      <c r="K267" s="62">
        <v>-15.644200000000001</v>
      </c>
      <c r="L267" s="62">
        <v>32.931600000000003</v>
      </c>
      <c r="M267" s="62">
        <v>61.105200000000004</v>
      </c>
      <c r="N267" s="62">
        <v>37.999000000000002</v>
      </c>
      <c r="O267" s="62">
        <v>0</v>
      </c>
      <c r="P267" s="62"/>
      <c r="Q267" s="62">
        <v>57.239000000000004</v>
      </c>
      <c r="R267" s="62">
        <v>949.62400000000002</v>
      </c>
      <c r="S267" s="62">
        <v>363.38120000000004</v>
      </c>
      <c r="T267" s="62">
        <v>-405.8184</v>
      </c>
      <c r="U267" s="62">
        <v>0</v>
      </c>
      <c r="V267" s="62"/>
      <c r="W267" s="62">
        <v>169.72020000000001</v>
      </c>
      <c r="X267" s="62">
        <v>169.72020000000001</v>
      </c>
      <c r="Y267" s="62">
        <v>156.01560000000001</v>
      </c>
      <c r="Z267" s="62">
        <v>71.811999999999998</v>
      </c>
      <c r="AA267" s="62">
        <v>0</v>
      </c>
      <c r="AB267" s="62"/>
      <c r="AC267" s="62">
        <v>2203.039578908867</v>
      </c>
      <c r="AD267" s="62">
        <v>1939.3982917719377</v>
      </c>
      <c r="AE267" s="62">
        <v>1328.0038540740738</v>
      </c>
      <c r="AF267" s="62">
        <v>766.71927999999957</v>
      </c>
      <c r="AG267" s="62">
        <v>0</v>
      </c>
      <c r="AH267" s="62"/>
      <c r="AI267" s="62">
        <v>0</v>
      </c>
      <c r="AJ267" s="62">
        <v>0</v>
      </c>
      <c r="AK267" s="62">
        <v>0</v>
      </c>
      <c r="AL267" s="62">
        <v>0</v>
      </c>
      <c r="AM267" s="62">
        <v>0</v>
      </c>
    </row>
    <row r="268" spans="1:39">
      <c r="A268" s="9">
        <v>92681</v>
      </c>
      <c r="B268" s="10" t="s">
        <v>1646</v>
      </c>
      <c r="C268" s="60">
        <v>1.17E-5</v>
      </c>
      <c r="E268" s="62">
        <v>5904.6974365667738</v>
      </c>
      <c r="F268" s="62">
        <v>9302.3880722514223</v>
      </c>
      <c r="G268" s="62">
        <v>5654.0628051851854</v>
      </c>
      <c r="H268" s="62">
        <v>176.29701999999997</v>
      </c>
      <c r="I268" s="62">
        <v>0</v>
      </c>
      <c r="J268" s="62"/>
      <c r="K268" s="62">
        <v>-70.398899999999998</v>
      </c>
      <c r="L268" s="62">
        <v>148.19219999999999</v>
      </c>
      <c r="M268" s="62">
        <v>274.97339999999997</v>
      </c>
      <c r="N268" s="62">
        <v>170.99549999999999</v>
      </c>
      <c r="O268" s="62">
        <v>0</v>
      </c>
      <c r="P268" s="62"/>
      <c r="Q268" s="62">
        <v>257.57549999999998</v>
      </c>
      <c r="R268" s="62">
        <v>4273.308</v>
      </c>
      <c r="S268" s="62">
        <v>1635.2154</v>
      </c>
      <c r="T268" s="62">
        <v>-1826.1828</v>
      </c>
      <c r="U268" s="62">
        <v>0</v>
      </c>
      <c r="V268" s="62"/>
      <c r="W268" s="62">
        <v>763.74090000000001</v>
      </c>
      <c r="X268" s="62">
        <v>763.74090000000001</v>
      </c>
      <c r="Y268" s="62">
        <v>702.0702</v>
      </c>
      <c r="Z268" s="62">
        <v>323.154</v>
      </c>
      <c r="AA268" s="62">
        <v>0</v>
      </c>
      <c r="AB268" s="62"/>
      <c r="AC268" s="62">
        <v>4953.7799365667743</v>
      </c>
      <c r="AD268" s="62">
        <v>4117.1469722514212</v>
      </c>
      <c r="AE268" s="62">
        <v>3041.8038051851854</v>
      </c>
      <c r="AF268" s="62">
        <v>1508.33032</v>
      </c>
      <c r="AG268" s="62">
        <v>0</v>
      </c>
      <c r="AH268" s="62"/>
      <c r="AI268" s="62">
        <v>0</v>
      </c>
      <c r="AJ268" s="62">
        <v>0</v>
      </c>
      <c r="AK268" s="62">
        <v>0</v>
      </c>
      <c r="AL268" s="62">
        <v>0</v>
      </c>
      <c r="AM268" s="62">
        <v>0</v>
      </c>
    </row>
    <row r="269" spans="1:39">
      <c r="A269" s="9">
        <v>92701</v>
      </c>
      <c r="B269" s="10" t="s">
        <v>1647</v>
      </c>
      <c r="C269" s="60">
        <v>3.0777000000000001E-3</v>
      </c>
      <c r="E269" s="62">
        <v>225332.01628344838</v>
      </c>
      <c r="F269" s="62">
        <v>1372901.4611386352</v>
      </c>
      <c r="G269" s="62">
        <v>700051.26766205777</v>
      </c>
      <c r="H269" s="62">
        <v>-341329.85713999992</v>
      </c>
      <c r="I269" s="62">
        <v>0</v>
      </c>
      <c r="J269" s="62"/>
      <c r="K269" s="62">
        <v>-18518.5209</v>
      </c>
      <c r="L269" s="62">
        <v>38982.148200000003</v>
      </c>
      <c r="M269" s="62">
        <v>72332.1054</v>
      </c>
      <c r="N269" s="62">
        <v>44980.585500000001</v>
      </c>
      <c r="O269" s="62">
        <v>0</v>
      </c>
      <c r="P269" s="62"/>
      <c r="Q269" s="62">
        <v>67755.565499999997</v>
      </c>
      <c r="R269" s="62">
        <v>1124099.148</v>
      </c>
      <c r="S269" s="62">
        <v>430145.5074</v>
      </c>
      <c r="T269" s="62">
        <v>-480379.7268</v>
      </c>
      <c r="U269" s="62">
        <v>0</v>
      </c>
      <c r="V269" s="62"/>
      <c r="W269" s="62">
        <v>200903.02290000001</v>
      </c>
      <c r="X269" s="62">
        <v>200903.02290000001</v>
      </c>
      <c r="Y269" s="62">
        <v>184680.4662</v>
      </c>
      <c r="Z269" s="62">
        <v>85006.074000000008</v>
      </c>
      <c r="AA269" s="62">
        <v>0</v>
      </c>
      <c r="AB269" s="62"/>
      <c r="AC269" s="62">
        <v>13516.673534485693</v>
      </c>
      <c r="AD269" s="62">
        <v>13516.673534485693</v>
      </c>
      <c r="AE269" s="62">
        <v>12893.188662057706</v>
      </c>
      <c r="AF269" s="62">
        <v>9063.2101600000624</v>
      </c>
      <c r="AG269" s="62">
        <v>0</v>
      </c>
      <c r="AH269" s="62"/>
      <c r="AI269" s="62">
        <v>-38324.724751037327</v>
      </c>
      <c r="AJ269" s="62">
        <v>-4599.5314958506015</v>
      </c>
      <c r="AK269" s="62">
        <v>0</v>
      </c>
      <c r="AL269" s="62">
        <v>0</v>
      </c>
      <c r="AM269" s="62">
        <v>0</v>
      </c>
    </row>
    <row r="270" spans="1:39">
      <c r="A270" s="9">
        <v>92704</v>
      </c>
      <c r="B270" s="10" t="s">
        <v>1648</v>
      </c>
      <c r="C270" s="60">
        <v>4.1600000000000002E-5</v>
      </c>
      <c r="E270" s="62">
        <v>2674.6020331492559</v>
      </c>
      <c r="F270" s="62">
        <v>17581.583594974985</v>
      </c>
      <c r="G270" s="62">
        <v>7799.4016379423865</v>
      </c>
      <c r="H270" s="62">
        <v>-5799.2737600000019</v>
      </c>
      <c r="I270" s="62">
        <v>0</v>
      </c>
      <c r="J270" s="62"/>
      <c r="K270" s="62">
        <v>-250.30720000000002</v>
      </c>
      <c r="L270" s="62">
        <v>526.90560000000005</v>
      </c>
      <c r="M270" s="62">
        <v>977.68320000000006</v>
      </c>
      <c r="N270" s="62">
        <v>607.98400000000004</v>
      </c>
      <c r="O270" s="62">
        <v>0</v>
      </c>
      <c r="P270" s="62"/>
      <c r="Q270" s="62">
        <v>915.82400000000007</v>
      </c>
      <c r="R270" s="62">
        <v>15193.984</v>
      </c>
      <c r="S270" s="62">
        <v>5814.0992000000006</v>
      </c>
      <c r="T270" s="62">
        <v>-6493.0944</v>
      </c>
      <c r="U270" s="62">
        <v>0</v>
      </c>
      <c r="V270" s="62"/>
      <c r="W270" s="62">
        <v>2715.5232000000001</v>
      </c>
      <c r="X270" s="62">
        <v>2715.5232000000001</v>
      </c>
      <c r="Y270" s="62">
        <v>2496.2496000000001</v>
      </c>
      <c r="Z270" s="62">
        <v>1148.992</v>
      </c>
      <c r="AA270" s="62">
        <v>0</v>
      </c>
      <c r="AB270" s="62"/>
      <c r="AC270" s="62">
        <v>857.395767634854</v>
      </c>
      <c r="AD270" s="62">
        <v>703.0645294605805</v>
      </c>
      <c r="AE270" s="62">
        <v>0</v>
      </c>
      <c r="AF270" s="62">
        <v>0</v>
      </c>
      <c r="AG270" s="62">
        <v>0</v>
      </c>
      <c r="AH270" s="62"/>
      <c r="AI270" s="62">
        <v>-1563.8337344855977</v>
      </c>
      <c r="AJ270" s="62">
        <v>-1557.8937344855976</v>
      </c>
      <c r="AK270" s="62">
        <v>-1488.6303620576143</v>
      </c>
      <c r="AL270" s="62">
        <v>-1063.155360000002</v>
      </c>
      <c r="AM270" s="62">
        <v>0</v>
      </c>
    </row>
    <row r="271" spans="1:39">
      <c r="A271" s="9">
        <v>92801</v>
      </c>
      <c r="B271" s="10" t="s">
        <v>1649</v>
      </c>
      <c r="C271" s="60">
        <v>5.0951E-3</v>
      </c>
      <c r="E271" s="62">
        <v>495398.41946224822</v>
      </c>
      <c r="F271" s="62">
        <v>2314541.2479162733</v>
      </c>
      <c r="G271" s="62">
        <v>1149698.9729837857</v>
      </c>
      <c r="H271" s="62">
        <v>-577055.01558000024</v>
      </c>
      <c r="I271" s="62">
        <v>0</v>
      </c>
      <c r="J271" s="62"/>
      <c r="K271" s="62">
        <v>-30657.216700000001</v>
      </c>
      <c r="L271" s="62">
        <v>64534.536599999999</v>
      </c>
      <c r="M271" s="62">
        <v>119745.0402</v>
      </c>
      <c r="N271" s="62">
        <v>74464.886499999993</v>
      </c>
      <c r="O271" s="62">
        <v>0</v>
      </c>
      <c r="P271" s="62"/>
      <c r="Q271" s="62">
        <v>112168.6265</v>
      </c>
      <c r="R271" s="62">
        <v>1860934.324</v>
      </c>
      <c r="S271" s="62">
        <v>712101.36620000005</v>
      </c>
      <c r="T271" s="62">
        <v>-795263.58840000001</v>
      </c>
      <c r="U271" s="62">
        <v>0</v>
      </c>
      <c r="V271" s="62"/>
      <c r="W271" s="62">
        <v>332592.84269999998</v>
      </c>
      <c r="X271" s="62">
        <v>332592.84269999998</v>
      </c>
      <c r="Y271" s="62">
        <v>305736.57059999998</v>
      </c>
      <c r="Z271" s="62">
        <v>140726.66200000001</v>
      </c>
      <c r="AA271" s="62">
        <v>0</v>
      </c>
      <c r="AB271" s="62"/>
      <c r="AC271" s="62">
        <v>81294.166962248288</v>
      </c>
      <c r="AD271" s="62">
        <v>56479.544616273182</v>
      </c>
      <c r="AE271" s="62">
        <v>12115.995983785744</v>
      </c>
      <c r="AF271" s="62">
        <v>3017.0243199997585</v>
      </c>
      <c r="AG271" s="62">
        <v>0</v>
      </c>
      <c r="AH271" s="62"/>
      <c r="AI271" s="62">
        <v>0</v>
      </c>
      <c r="AJ271" s="62">
        <v>0</v>
      </c>
      <c r="AK271" s="62">
        <v>0</v>
      </c>
      <c r="AL271" s="62">
        <v>0</v>
      </c>
      <c r="AM271" s="62">
        <v>0</v>
      </c>
    </row>
    <row r="272" spans="1:39">
      <c r="A272" s="9">
        <v>92802</v>
      </c>
      <c r="B272" s="10" t="s">
        <v>1650</v>
      </c>
      <c r="C272" s="60">
        <v>1.2970000000000001E-4</v>
      </c>
      <c r="E272" s="62">
        <v>3615.1370850205849</v>
      </c>
      <c r="F272" s="62">
        <v>52043.006685020591</v>
      </c>
      <c r="G272" s="62">
        <v>25286.118959917705</v>
      </c>
      <c r="H272" s="62">
        <v>-16246.810179999995</v>
      </c>
      <c r="I272" s="62">
        <v>0</v>
      </c>
      <c r="J272" s="62"/>
      <c r="K272" s="62">
        <v>-780.4049</v>
      </c>
      <c r="L272" s="62">
        <v>1642.7802000000001</v>
      </c>
      <c r="M272" s="62">
        <v>3048.2094000000002</v>
      </c>
      <c r="N272" s="62">
        <v>1895.5655000000002</v>
      </c>
      <c r="O272" s="62">
        <v>0</v>
      </c>
      <c r="P272" s="62"/>
      <c r="Q272" s="62">
        <v>2855.3455000000004</v>
      </c>
      <c r="R272" s="62">
        <v>47371.628000000004</v>
      </c>
      <c r="S272" s="62">
        <v>18127.131400000002</v>
      </c>
      <c r="T272" s="62">
        <v>-20244.094800000003</v>
      </c>
      <c r="U272" s="62">
        <v>0</v>
      </c>
      <c r="V272" s="62"/>
      <c r="W272" s="62">
        <v>8466.4269000000004</v>
      </c>
      <c r="X272" s="62">
        <v>8466.4269000000004</v>
      </c>
      <c r="Y272" s="62">
        <v>7782.7782000000007</v>
      </c>
      <c r="Z272" s="62">
        <v>3582.3140000000003</v>
      </c>
      <c r="AA272" s="62">
        <v>0</v>
      </c>
      <c r="AB272" s="62"/>
      <c r="AC272" s="62">
        <v>0</v>
      </c>
      <c r="AD272" s="62">
        <v>0</v>
      </c>
      <c r="AE272" s="62">
        <v>0</v>
      </c>
      <c r="AF272" s="62">
        <v>0</v>
      </c>
      <c r="AG272" s="62">
        <v>0</v>
      </c>
      <c r="AH272" s="62"/>
      <c r="AI272" s="62">
        <v>-6926.2304149794154</v>
      </c>
      <c r="AJ272" s="62">
        <v>-5437.8284149794154</v>
      </c>
      <c r="AK272" s="62">
        <v>-3672.0000400822964</v>
      </c>
      <c r="AL272" s="62">
        <v>-1480.5948799999926</v>
      </c>
      <c r="AM272" s="62">
        <v>0</v>
      </c>
    </row>
    <row r="273" spans="1:39">
      <c r="A273" s="9">
        <v>92804</v>
      </c>
      <c r="B273" s="10" t="s">
        <v>1651</v>
      </c>
      <c r="C273" s="60">
        <v>1.36E-4</v>
      </c>
      <c r="E273" s="62">
        <v>10895.107440861979</v>
      </c>
      <c r="F273" s="62">
        <v>60999.005557210519</v>
      </c>
      <c r="G273" s="62">
        <v>28875.960495473246</v>
      </c>
      <c r="H273" s="62">
        <v>-18259.007600000001</v>
      </c>
      <c r="I273" s="62">
        <v>0</v>
      </c>
      <c r="J273" s="62"/>
      <c r="K273" s="62">
        <v>-818.31200000000001</v>
      </c>
      <c r="L273" s="62">
        <v>1722.576</v>
      </c>
      <c r="M273" s="62">
        <v>3196.2719999999999</v>
      </c>
      <c r="N273" s="62">
        <v>1987.6399999999999</v>
      </c>
      <c r="O273" s="62">
        <v>0</v>
      </c>
      <c r="P273" s="62"/>
      <c r="Q273" s="62">
        <v>2994.04</v>
      </c>
      <c r="R273" s="62">
        <v>49672.639999999999</v>
      </c>
      <c r="S273" s="62">
        <v>19007.632000000001</v>
      </c>
      <c r="T273" s="62">
        <v>-21227.423999999999</v>
      </c>
      <c r="U273" s="62">
        <v>0</v>
      </c>
      <c r="V273" s="62"/>
      <c r="W273" s="62">
        <v>8877.6720000000005</v>
      </c>
      <c r="X273" s="62">
        <v>8877.6720000000005</v>
      </c>
      <c r="Y273" s="62">
        <v>8160.8159999999998</v>
      </c>
      <c r="Z273" s="62">
        <v>3756.32</v>
      </c>
      <c r="AA273" s="62">
        <v>0</v>
      </c>
      <c r="AB273" s="62"/>
      <c r="AC273" s="62">
        <v>3941.8710408619786</v>
      </c>
      <c r="AD273" s="62">
        <v>3501.6611572105257</v>
      </c>
      <c r="AE273" s="62">
        <v>1286.7840954732471</v>
      </c>
      <c r="AF273" s="62">
        <v>0</v>
      </c>
      <c r="AG273" s="62">
        <v>0</v>
      </c>
      <c r="AH273" s="62"/>
      <c r="AI273" s="62">
        <v>-4100.1636000000017</v>
      </c>
      <c r="AJ273" s="62">
        <v>-2775.5436000000018</v>
      </c>
      <c r="AK273" s="62">
        <v>-2775.5436000000018</v>
      </c>
      <c r="AL273" s="62">
        <v>-2775.5436000000018</v>
      </c>
      <c r="AM273" s="62">
        <v>0</v>
      </c>
    </row>
    <row r="274" spans="1:39">
      <c r="A274" s="9">
        <v>92811</v>
      </c>
      <c r="B274" s="10" t="s">
        <v>1652</v>
      </c>
      <c r="C274" s="60">
        <v>1.0036000000000001E-3</v>
      </c>
      <c r="E274" s="62">
        <v>45002.532522294248</v>
      </c>
      <c r="F274" s="62">
        <v>418542.25216851832</v>
      </c>
      <c r="G274" s="62">
        <v>202223.53080584365</v>
      </c>
      <c r="H274" s="62">
        <v>-114878.88215999998</v>
      </c>
      <c r="I274" s="62">
        <v>0</v>
      </c>
      <c r="J274" s="62"/>
      <c r="K274" s="62">
        <v>-6038.6612000000005</v>
      </c>
      <c r="L274" s="62">
        <v>12711.597600000001</v>
      </c>
      <c r="M274" s="62">
        <v>23586.607200000002</v>
      </c>
      <c r="N274" s="62">
        <v>14667.614000000001</v>
      </c>
      <c r="O274" s="62">
        <v>0</v>
      </c>
      <c r="P274" s="62"/>
      <c r="Q274" s="62">
        <v>22094.254000000001</v>
      </c>
      <c r="R274" s="62">
        <v>366554.86400000006</v>
      </c>
      <c r="S274" s="62">
        <v>140265.14320000002</v>
      </c>
      <c r="T274" s="62">
        <v>-156645.90240000002</v>
      </c>
      <c r="U274" s="62">
        <v>0</v>
      </c>
      <c r="V274" s="62"/>
      <c r="W274" s="62">
        <v>65511.997200000005</v>
      </c>
      <c r="X274" s="62">
        <v>65511.997200000005</v>
      </c>
      <c r="Y274" s="62">
        <v>60222.021600000007</v>
      </c>
      <c r="Z274" s="62">
        <v>27719.432000000004</v>
      </c>
      <c r="AA274" s="62">
        <v>0</v>
      </c>
      <c r="AB274" s="62"/>
      <c r="AC274" s="62">
        <v>0</v>
      </c>
      <c r="AD274" s="62">
        <v>0</v>
      </c>
      <c r="AE274" s="62">
        <v>0</v>
      </c>
      <c r="AF274" s="62">
        <v>0</v>
      </c>
      <c r="AG274" s="62">
        <v>0</v>
      </c>
      <c r="AH274" s="62"/>
      <c r="AI274" s="62">
        <v>-36565.057477705763</v>
      </c>
      <c r="AJ274" s="62">
        <v>-26236.206631481688</v>
      </c>
      <c r="AK274" s="62">
        <v>-21850.241194156377</v>
      </c>
      <c r="AL274" s="62">
        <v>-620.02575999996589</v>
      </c>
      <c r="AM274" s="62">
        <v>0</v>
      </c>
    </row>
    <row r="275" spans="1:39">
      <c r="A275" s="9">
        <v>92821</v>
      </c>
      <c r="B275" s="10" t="s">
        <v>1653</v>
      </c>
      <c r="C275" s="60">
        <v>9.9400000000000009E-4</v>
      </c>
      <c r="E275" s="62">
        <v>91263.928968775581</v>
      </c>
      <c r="F275" s="62">
        <v>448545.01159765531</v>
      </c>
      <c r="G275" s="62">
        <v>226711.50834979428</v>
      </c>
      <c r="H275" s="62">
        <v>-111574.2972</v>
      </c>
      <c r="I275" s="62">
        <v>0</v>
      </c>
      <c r="J275" s="62"/>
      <c r="K275" s="62">
        <v>-5980.8980000000001</v>
      </c>
      <c r="L275" s="62">
        <v>12590.004000000001</v>
      </c>
      <c r="M275" s="62">
        <v>23360.988000000001</v>
      </c>
      <c r="N275" s="62">
        <v>14527.310000000001</v>
      </c>
      <c r="O275" s="62">
        <v>0</v>
      </c>
      <c r="P275" s="62"/>
      <c r="Q275" s="62">
        <v>21882.910000000003</v>
      </c>
      <c r="R275" s="62">
        <v>363048.56000000006</v>
      </c>
      <c r="S275" s="62">
        <v>138923.42800000001</v>
      </c>
      <c r="T275" s="62">
        <v>-155147.49600000001</v>
      </c>
      <c r="U275" s="62">
        <v>0</v>
      </c>
      <c r="V275" s="62"/>
      <c r="W275" s="62">
        <v>64885.338000000003</v>
      </c>
      <c r="X275" s="62">
        <v>64885.338000000003</v>
      </c>
      <c r="Y275" s="62">
        <v>59645.964000000007</v>
      </c>
      <c r="Z275" s="62">
        <v>27454.280000000002</v>
      </c>
      <c r="AA275" s="62">
        <v>0</v>
      </c>
      <c r="AB275" s="62"/>
      <c r="AC275" s="62">
        <v>10476.578968775571</v>
      </c>
      <c r="AD275" s="62">
        <v>8021.1095976552297</v>
      </c>
      <c r="AE275" s="62">
        <v>4781.1283497942532</v>
      </c>
      <c r="AF275" s="62">
        <v>1591.6088000000218</v>
      </c>
      <c r="AG275" s="62">
        <v>0</v>
      </c>
      <c r="AH275" s="62"/>
      <c r="AI275" s="62">
        <v>0</v>
      </c>
      <c r="AJ275" s="62">
        <v>0</v>
      </c>
      <c r="AK275" s="62">
        <v>0</v>
      </c>
      <c r="AL275" s="62">
        <v>0</v>
      </c>
      <c r="AM275" s="62">
        <v>0</v>
      </c>
    </row>
    <row r="276" spans="1:39">
      <c r="A276" s="9">
        <v>92831</v>
      </c>
      <c r="B276" s="10" t="s">
        <v>1654</v>
      </c>
      <c r="C276" s="60">
        <v>2.1829999999999999E-4</v>
      </c>
      <c r="E276" s="62">
        <v>27204.3884768311</v>
      </c>
      <c r="F276" s="62">
        <v>101806.40227193483</v>
      </c>
      <c r="G276" s="62">
        <v>51755.064912592599</v>
      </c>
      <c r="H276" s="62">
        <v>-25392.910379999998</v>
      </c>
      <c r="I276" s="62">
        <v>0</v>
      </c>
      <c r="J276" s="62"/>
      <c r="K276" s="62">
        <v>-1313.5110999999999</v>
      </c>
      <c r="L276" s="62">
        <v>2764.9877999999999</v>
      </c>
      <c r="M276" s="62">
        <v>5130.4866000000002</v>
      </c>
      <c r="N276" s="62">
        <v>3190.4544999999998</v>
      </c>
      <c r="O276" s="62">
        <v>0</v>
      </c>
      <c r="P276" s="62"/>
      <c r="Q276" s="62">
        <v>4805.8744999999999</v>
      </c>
      <c r="R276" s="62">
        <v>79731.891999999993</v>
      </c>
      <c r="S276" s="62">
        <v>30510.044599999997</v>
      </c>
      <c r="T276" s="62">
        <v>-34073.137199999997</v>
      </c>
      <c r="U276" s="62">
        <v>0</v>
      </c>
      <c r="V276" s="62"/>
      <c r="W276" s="62">
        <v>14249.9691</v>
      </c>
      <c r="X276" s="62">
        <v>14249.9691</v>
      </c>
      <c r="Y276" s="62">
        <v>13099.309799999999</v>
      </c>
      <c r="Z276" s="62">
        <v>6029.4459999999999</v>
      </c>
      <c r="AA276" s="62">
        <v>0</v>
      </c>
      <c r="AB276" s="62"/>
      <c r="AC276" s="62">
        <v>10001.729656831099</v>
      </c>
      <c r="AD276" s="62">
        <v>5599.2270519348367</v>
      </c>
      <c r="AE276" s="62">
        <v>3554.8975925925974</v>
      </c>
      <c r="AF276" s="62">
        <v>0</v>
      </c>
      <c r="AG276" s="62">
        <v>0</v>
      </c>
      <c r="AH276" s="62"/>
      <c r="AI276" s="62">
        <v>-539.67368000000079</v>
      </c>
      <c r="AJ276" s="62">
        <v>-539.67368000000079</v>
      </c>
      <c r="AK276" s="62">
        <v>-539.67368000000079</v>
      </c>
      <c r="AL276" s="62">
        <v>-539.67368000000079</v>
      </c>
      <c r="AM276" s="62">
        <v>0</v>
      </c>
    </row>
    <row r="277" spans="1:39">
      <c r="A277" s="9">
        <v>92841</v>
      </c>
      <c r="B277" s="10" t="s">
        <v>1655</v>
      </c>
      <c r="C277" s="60">
        <v>2.7809999999999998E-4</v>
      </c>
      <c r="E277" s="62">
        <v>24832.158668255772</v>
      </c>
      <c r="F277" s="62">
        <v>119697.13047290307</v>
      </c>
      <c r="G277" s="62">
        <v>58810.196779259291</v>
      </c>
      <c r="H277" s="62">
        <v>-34385.639779999969</v>
      </c>
      <c r="I277" s="62">
        <v>0</v>
      </c>
      <c r="J277" s="62"/>
      <c r="K277" s="62">
        <v>-1673.3276999999998</v>
      </c>
      <c r="L277" s="62">
        <v>3522.4145999999996</v>
      </c>
      <c r="M277" s="62">
        <v>6535.9061999999994</v>
      </c>
      <c r="N277" s="62">
        <v>4064.4314999999997</v>
      </c>
      <c r="O277" s="62">
        <v>0</v>
      </c>
      <c r="P277" s="62"/>
      <c r="Q277" s="62">
        <v>6122.3714999999993</v>
      </c>
      <c r="R277" s="62">
        <v>101573.24399999999</v>
      </c>
      <c r="S277" s="62">
        <v>38867.8122</v>
      </c>
      <c r="T277" s="62">
        <v>-43406.960399999996</v>
      </c>
      <c r="U277" s="62">
        <v>0</v>
      </c>
      <c r="V277" s="62"/>
      <c r="W277" s="62">
        <v>18153.5337</v>
      </c>
      <c r="X277" s="62">
        <v>18153.5337</v>
      </c>
      <c r="Y277" s="62">
        <v>16687.668599999997</v>
      </c>
      <c r="Z277" s="62">
        <v>7681.1219999999994</v>
      </c>
      <c r="AA277" s="62">
        <v>0</v>
      </c>
      <c r="AB277" s="62"/>
      <c r="AC277" s="62">
        <v>5821.2000000000016</v>
      </c>
      <c r="AD277" s="62">
        <v>0</v>
      </c>
      <c r="AE277" s="62">
        <v>0</v>
      </c>
      <c r="AF277" s="62">
        <v>0</v>
      </c>
      <c r="AG277" s="62">
        <v>0</v>
      </c>
      <c r="AH277" s="62"/>
      <c r="AI277" s="62">
        <v>-3591.6188317442284</v>
      </c>
      <c r="AJ277" s="62">
        <v>-3552.0618270969276</v>
      </c>
      <c r="AK277" s="62">
        <v>-3281.1902207407065</v>
      </c>
      <c r="AL277" s="62">
        <v>-2724.2328799999696</v>
      </c>
      <c r="AM277" s="62">
        <v>0</v>
      </c>
    </row>
    <row r="278" spans="1:39">
      <c r="A278" s="9">
        <v>92851</v>
      </c>
      <c r="B278" s="10" t="s">
        <v>1656</v>
      </c>
      <c r="C278" s="60">
        <v>4.6079999999999998E-4</v>
      </c>
      <c r="E278" s="62">
        <v>2085.1654086976705</v>
      </c>
      <c r="F278" s="62">
        <v>186821.83308488026</v>
      </c>
      <c r="G278" s="62">
        <v>94221.294572263403</v>
      </c>
      <c r="H278" s="62">
        <v>-53700.64807999997</v>
      </c>
      <c r="I278" s="62">
        <v>0</v>
      </c>
      <c r="J278" s="62"/>
      <c r="K278" s="62">
        <v>-2772.6335999999997</v>
      </c>
      <c r="L278" s="62">
        <v>5836.4928</v>
      </c>
      <c r="M278" s="62">
        <v>10829.721599999999</v>
      </c>
      <c r="N278" s="62">
        <v>6734.5919999999996</v>
      </c>
      <c r="O278" s="62">
        <v>0</v>
      </c>
      <c r="P278" s="62"/>
      <c r="Q278" s="62">
        <v>10144.511999999999</v>
      </c>
      <c r="R278" s="62">
        <v>168302.592</v>
      </c>
      <c r="S278" s="62">
        <v>64402.329599999997</v>
      </c>
      <c r="T278" s="62">
        <v>-71923.507199999993</v>
      </c>
      <c r="U278" s="62">
        <v>0</v>
      </c>
      <c r="V278" s="62"/>
      <c r="W278" s="62">
        <v>30079.641599999999</v>
      </c>
      <c r="X278" s="62">
        <v>30079.641599999999</v>
      </c>
      <c r="Y278" s="62">
        <v>27650.764799999997</v>
      </c>
      <c r="Z278" s="62">
        <v>12727.296</v>
      </c>
      <c r="AA278" s="62">
        <v>0</v>
      </c>
      <c r="AB278" s="62"/>
      <c r="AC278" s="62">
        <v>0</v>
      </c>
      <c r="AD278" s="62">
        <v>0</v>
      </c>
      <c r="AE278" s="62">
        <v>0</v>
      </c>
      <c r="AF278" s="62">
        <v>0</v>
      </c>
      <c r="AG278" s="62">
        <v>0</v>
      </c>
      <c r="AH278" s="62"/>
      <c r="AI278" s="62">
        <v>-35366.354591302326</v>
      </c>
      <c r="AJ278" s="62">
        <v>-17396.893315119753</v>
      </c>
      <c r="AK278" s="62">
        <v>-8661.5214277365958</v>
      </c>
      <c r="AL278" s="62">
        <v>-1239.0288799999748</v>
      </c>
      <c r="AM278" s="62">
        <v>0</v>
      </c>
    </row>
    <row r="279" spans="1:39">
      <c r="A279" s="9">
        <v>92861</v>
      </c>
      <c r="B279" s="10" t="s">
        <v>1657</v>
      </c>
      <c r="C279" s="60">
        <v>3.6010000000000003E-4</v>
      </c>
      <c r="E279" s="62">
        <v>-7542.4430273111284</v>
      </c>
      <c r="F279" s="62">
        <v>134123.57869418268</v>
      </c>
      <c r="G279" s="62">
        <v>64267.523376049357</v>
      </c>
      <c r="H279" s="62">
        <v>-45680.69074000002</v>
      </c>
      <c r="I279" s="62">
        <v>0</v>
      </c>
      <c r="J279" s="62"/>
      <c r="K279" s="62">
        <v>-2166.7217000000001</v>
      </c>
      <c r="L279" s="62">
        <v>4561.0266000000001</v>
      </c>
      <c r="M279" s="62">
        <v>8463.0702000000001</v>
      </c>
      <c r="N279" s="62">
        <v>5262.8615</v>
      </c>
      <c r="O279" s="62">
        <v>0</v>
      </c>
      <c r="P279" s="62"/>
      <c r="Q279" s="62">
        <v>7927.6015000000007</v>
      </c>
      <c r="R279" s="62">
        <v>131522.924</v>
      </c>
      <c r="S279" s="62">
        <v>50328.296200000004</v>
      </c>
      <c r="T279" s="62">
        <v>-56205.848400000003</v>
      </c>
      <c r="U279" s="62">
        <v>0</v>
      </c>
      <c r="V279" s="62"/>
      <c r="W279" s="62">
        <v>23506.2477</v>
      </c>
      <c r="X279" s="62">
        <v>23506.2477</v>
      </c>
      <c r="Y279" s="62">
        <v>21608.160600000003</v>
      </c>
      <c r="Z279" s="62">
        <v>9945.9620000000014</v>
      </c>
      <c r="AA279" s="62">
        <v>0</v>
      </c>
      <c r="AB279" s="62"/>
      <c r="AC279" s="62">
        <v>0</v>
      </c>
      <c r="AD279" s="62">
        <v>0</v>
      </c>
      <c r="AE279" s="62">
        <v>0</v>
      </c>
      <c r="AF279" s="62">
        <v>0</v>
      </c>
      <c r="AG279" s="62">
        <v>0</v>
      </c>
      <c r="AH279" s="62"/>
      <c r="AI279" s="62">
        <v>-36809.570527311131</v>
      </c>
      <c r="AJ279" s="62">
        <v>-25466.619605817352</v>
      </c>
      <c r="AK279" s="62">
        <v>-16132.003623950641</v>
      </c>
      <c r="AL279" s="62">
        <v>-4683.6658400000188</v>
      </c>
      <c r="AM279" s="62">
        <v>0</v>
      </c>
    </row>
    <row r="280" spans="1:39">
      <c r="A280" s="9">
        <v>92901</v>
      </c>
      <c r="B280" s="10" t="s">
        <v>1658</v>
      </c>
      <c r="C280" s="60">
        <v>5.5082999999999998E-3</v>
      </c>
      <c r="E280" s="62">
        <v>454061.14348524623</v>
      </c>
      <c r="F280" s="62">
        <v>2427826.4204083164</v>
      </c>
      <c r="G280" s="62">
        <v>1196004.2716685599</v>
      </c>
      <c r="H280" s="62">
        <v>-645547.92677999998</v>
      </c>
      <c r="I280" s="62">
        <v>0</v>
      </c>
      <c r="J280" s="62"/>
      <c r="K280" s="62">
        <v>-33143.441099999996</v>
      </c>
      <c r="L280" s="62">
        <v>69768.127800000002</v>
      </c>
      <c r="M280" s="62">
        <v>129456.06659999999</v>
      </c>
      <c r="N280" s="62">
        <v>80503.804499999998</v>
      </c>
      <c r="O280" s="62">
        <v>0</v>
      </c>
      <c r="P280" s="62"/>
      <c r="Q280" s="62">
        <v>121265.2245</v>
      </c>
      <c r="R280" s="62">
        <v>2011851.4919999999</v>
      </c>
      <c r="S280" s="62">
        <v>769851.0246</v>
      </c>
      <c r="T280" s="62">
        <v>-859757.49719999998</v>
      </c>
      <c r="U280" s="62">
        <v>0</v>
      </c>
      <c r="V280" s="62"/>
      <c r="W280" s="62">
        <v>359565.2991</v>
      </c>
      <c r="X280" s="62">
        <v>359565.2991</v>
      </c>
      <c r="Y280" s="62">
        <v>330531.04979999998</v>
      </c>
      <c r="Z280" s="62">
        <v>152139.24599999998</v>
      </c>
      <c r="AA280" s="62">
        <v>0</v>
      </c>
      <c r="AB280" s="62"/>
      <c r="AC280" s="62">
        <v>42714.970427385837</v>
      </c>
      <c r="AD280" s="62">
        <v>22982.410950456393</v>
      </c>
      <c r="AE280" s="62">
        <v>0</v>
      </c>
      <c r="AF280" s="62">
        <v>0</v>
      </c>
      <c r="AG280" s="62">
        <v>0</v>
      </c>
      <c r="AH280" s="62"/>
      <c r="AI280" s="62">
        <v>-36340.909442139629</v>
      </c>
      <c r="AJ280" s="62">
        <v>-36340.909442139629</v>
      </c>
      <c r="AK280" s="62">
        <v>-33833.869331440095</v>
      </c>
      <c r="AL280" s="62">
        <v>-18433.48008000003</v>
      </c>
      <c r="AM280" s="62">
        <v>0</v>
      </c>
    </row>
    <row r="281" spans="1:39">
      <c r="A281" s="9">
        <v>92911</v>
      </c>
      <c r="B281" s="10" t="s">
        <v>1659</v>
      </c>
      <c r="C281" s="60">
        <v>1.9548999999999999E-3</v>
      </c>
      <c r="E281" s="62">
        <v>104022.52911386674</v>
      </c>
      <c r="F281" s="62">
        <v>834538.28602980031</v>
      </c>
      <c r="G281" s="62">
        <v>430978.83582378604</v>
      </c>
      <c r="H281" s="62">
        <v>-215452.90633999996</v>
      </c>
      <c r="I281" s="62">
        <v>0</v>
      </c>
      <c r="J281" s="62"/>
      <c r="K281" s="62">
        <v>-11762.6333</v>
      </c>
      <c r="L281" s="62">
        <v>24760.7634</v>
      </c>
      <c r="M281" s="62">
        <v>45944.059799999995</v>
      </c>
      <c r="N281" s="62">
        <v>28570.863499999999</v>
      </c>
      <c r="O281" s="62">
        <v>0</v>
      </c>
      <c r="P281" s="62"/>
      <c r="Q281" s="62">
        <v>43037.123499999994</v>
      </c>
      <c r="R281" s="62">
        <v>714007.67599999998</v>
      </c>
      <c r="S281" s="62">
        <v>273220.73379999999</v>
      </c>
      <c r="T281" s="62">
        <v>-305128.6116</v>
      </c>
      <c r="U281" s="62">
        <v>0</v>
      </c>
      <c r="V281" s="62"/>
      <c r="W281" s="62">
        <v>127610.0073</v>
      </c>
      <c r="X281" s="62">
        <v>127610.0073</v>
      </c>
      <c r="Y281" s="62">
        <v>117305.7294</v>
      </c>
      <c r="Z281" s="62">
        <v>53994.337999999996</v>
      </c>
      <c r="AA281" s="62">
        <v>0</v>
      </c>
      <c r="AB281" s="62"/>
      <c r="AC281" s="62">
        <v>7110.5037600000851</v>
      </c>
      <c r="AD281" s="62">
        <v>7110.5037600000851</v>
      </c>
      <c r="AE281" s="62">
        <v>7110.5037600000851</v>
      </c>
      <c r="AF281" s="62">
        <v>7110.5037600000851</v>
      </c>
      <c r="AG281" s="62">
        <v>0</v>
      </c>
      <c r="AH281" s="62"/>
      <c r="AI281" s="62">
        <v>-61972.472146133339</v>
      </c>
      <c r="AJ281" s="62">
        <v>-38950.664430199722</v>
      </c>
      <c r="AK281" s="62">
        <v>-12602.190936214052</v>
      </c>
      <c r="AL281" s="62">
        <v>0</v>
      </c>
      <c r="AM281" s="62">
        <v>0</v>
      </c>
    </row>
    <row r="282" spans="1:39">
      <c r="A282" s="9">
        <v>92913</v>
      </c>
      <c r="B282" s="10" t="s">
        <v>1660</v>
      </c>
      <c r="C282" s="60">
        <v>2.1999999999999999E-5</v>
      </c>
      <c r="E282" s="62">
        <v>27322.086764047606</v>
      </c>
      <c r="F282" s="62">
        <v>35603.686105126442</v>
      </c>
      <c r="G282" s="62">
        <v>21671.934130946509</v>
      </c>
      <c r="H282" s="62">
        <v>6742.3078400000013</v>
      </c>
      <c r="I282" s="62">
        <v>0</v>
      </c>
      <c r="J282" s="62"/>
      <c r="K282" s="62">
        <v>-132.374</v>
      </c>
      <c r="L282" s="62">
        <v>278.65199999999999</v>
      </c>
      <c r="M282" s="62">
        <v>517.04399999999998</v>
      </c>
      <c r="N282" s="62">
        <v>321.52999999999997</v>
      </c>
      <c r="O282" s="62">
        <v>0</v>
      </c>
      <c r="P282" s="62"/>
      <c r="Q282" s="62">
        <v>484.33</v>
      </c>
      <c r="R282" s="62">
        <v>8035.28</v>
      </c>
      <c r="S282" s="62">
        <v>3074.7640000000001</v>
      </c>
      <c r="T282" s="62">
        <v>-3433.848</v>
      </c>
      <c r="U282" s="62">
        <v>0</v>
      </c>
      <c r="V282" s="62"/>
      <c r="W282" s="62">
        <v>1436.0940000000001</v>
      </c>
      <c r="X282" s="62">
        <v>1436.0940000000001</v>
      </c>
      <c r="Y282" s="62">
        <v>1320.1320000000001</v>
      </c>
      <c r="Z282" s="62">
        <v>607.64</v>
      </c>
      <c r="AA282" s="62">
        <v>0</v>
      </c>
      <c r="AB282" s="62"/>
      <c r="AC282" s="62">
        <v>27581.356764047607</v>
      </c>
      <c r="AD282" s="62">
        <v>25853.660105126448</v>
      </c>
      <c r="AE282" s="62">
        <v>16759.994130946507</v>
      </c>
      <c r="AF282" s="62">
        <v>9246.9858400000012</v>
      </c>
      <c r="AG282" s="62">
        <v>0</v>
      </c>
      <c r="AH282" s="62"/>
      <c r="AI282" s="62">
        <v>-2047.3200000000004</v>
      </c>
      <c r="AJ282" s="62">
        <v>0</v>
      </c>
      <c r="AK282" s="62">
        <v>0</v>
      </c>
      <c r="AL282" s="62">
        <v>0</v>
      </c>
      <c r="AM282" s="62">
        <v>0</v>
      </c>
    </row>
    <row r="283" spans="1:39">
      <c r="A283" s="9">
        <v>92914</v>
      </c>
      <c r="B283" s="10" t="s">
        <v>1661</v>
      </c>
      <c r="C283" s="60">
        <v>2.8900000000000001E-5</v>
      </c>
      <c r="E283" s="62">
        <v>6642.1215000000057</v>
      </c>
      <c r="F283" s="62">
        <v>17101.262700000007</v>
      </c>
      <c r="G283" s="62">
        <v>10745.777000000006</v>
      </c>
      <c r="H283" s="62">
        <v>1003.0379000000057</v>
      </c>
      <c r="I283" s="62">
        <v>0</v>
      </c>
      <c r="J283" s="62"/>
      <c r="K283" s="62">
        <v>-173.8913</v>
      </c>
      <c r="L283" s="62">
        <v>366.04740000000004</v>
      </c>
      <c r="M283" s="62">
        <v>679.20780000000002</v>
      </c>
      <c r="N283" s="62">
        <v>422.37350000000004</v>
      </c>
      <c r="O283" s="62">
        <v>0</v>
      </c>
      <c r="P283" s="62"/>
      <c r="Q283" s="62">
        <v>636.23350000000005</v>
      </c>
      <c r="R283" s="62">
        <v>10555.436</v>
      </c>
      <c r="S283" s="62">
        <v>4039.1218000000003</v>
      </c>
      <c r="T283" s="62">
        <v>-4510.8276000000005</v>
      </c>
      <c r="U283" s="62">
        <v>0</v>
      </c>
      <c r="V283" s="62"/>
      <c r="W283" s="62">
        <v>1886.5053</v>
      </c>
      <c r="X283" s="62">
        <v>1886.5053</v>
      </c>
      <c r="Y283" s="62">
        <v>1734.1734000000001</v>
      </c>
      <c r="Z283" s="62">
        <v>798.21800000000007</v>
      </c>
      <c r="AA283" s="62">
        <v>0</v>
      </c>
      <c r="AB283" s="62"/>
      <c r="AC283" s="62">
        <v>4293.2740000000058</v>
      </c>
      <c r="AD283" s="62">
        <v>4293.2740000000058</v>
      </c>
      <c r="AE283" s="62">
        <v>4293.2740000000058</v>
      </c>
      <c r="AF283" s="62">
        <v>4293.2740000000058</v>
      </c>
      <c r="AG283" s="62">
        <v>0</v>
      </c>
      <c r="AH283" s="62"/>
      <c r="AI283" s="62">
        <v>0</v>
      </c>
      <c r="AJ283" s="62">
        <v>0</v>
      </c>
      <c r="AK283" s="62">
        <v>0</v>
      </c>
      <c r="AL283" s="62">
        <v>0</v>
      </c>
      <c r="AM283" s="62">
        <v>0</v>
      </c>
    </row>
    <row r="284" spans="1:39">
      <c r="A284" s="9">
        <v>92917</v>
      </c>
      <c r="B284" s="10" t="s">
        <v>1662</v>
      </c>
      <c r="C284" s="60">
        <v>1.4800000000000001E-5</v>
      </c>
      <c r="E284" s="62">
        <v>7528.5895678841589</v>
      </c>
      <c r="F284" s="62">
        <v>10106.347878257604</v>
      </c>
      <c r="G284" s="62">
        <v>5668.6629201646101</v>
      </c>
      <c r="H284" s="62">
        <v>-699.10720000000049</v>
      </c>
      <c r="I284" s="62">
        <v>0</v>
      </c>
      <c r="J284" s="62"/>
      <c r="K284" s="62">
        <v>-89.051600000000008</v>
      </c>
      <c r="L284" s="62">
        <v>187.45680000000002</v>
      </c>
      <c r="M284" s="62">
        <v>347.82960000000003</v>
      </c>
      <c r="N284" s="62">
        <v>216.30200000000002</v>
      </c>
      <c r="O284" s="62">
        <v>0</v>
      </c>
      <c r="P284" s="62"/>
      <c r="Q284" s="62">
        <v>325.822</v>
      </c>
      <c r="R284" s="62">
        <v>5405.5520000000006</v>
      </c>
      <c r="S284" s="62">
        <v>2068.4776000000002</v>
      </c>
      <c r="T284" s="62">
        <v>-2310.0432000000001</v>
      </c>
      <c r="U284" s="62">
        <v>0</v>
      </c>
      <c r="V284" s="62"/>
      <c r="W284" s="62">
        <v>966.09960000000001</v>
      </c>
      <c r="X284" s="62">
        <v>966.09960000000001</v>
      </c>
      <c r="Y284" s="62">
        <v>888.08879999999999</v>
      </c>
      <c r="Z284" s="62">
        <v>408.77600000000001</v>
      </c>
      <c r="AA284" s="62">
        <v>0</v>
      </c>
      <c r="AB284" s="62"/>
      <c r="AC284" s="62">
        <v>6325.719567884159</v>
      </c>
      <c r="AD284" s="62">
        <v>3547.239478257603</v>
      </c>
      <c r="AE284" s="62">
        <v>2364.2669201646099</v>
      </c>
      <c r="AF284" s="62">
        <v>985.85799999999938</v>
      </c>
      <c r="AG284" s="62">
        <v>0</v>
      </c>
      <c r="AH284" s="62"/>
      <c r="AI284" s="62">
        <v>0</v>
      </c>
      <c r="AJ284" s="62">
        <v>0</v>
      </c>
      <c r="AK284" s="62">
        <v>0</v>
      </c>
      <c r="AL284" s="62">
        <v>0</v>
      </c>
      <c r="AM284" s="62">
        <v>0</v>
      </c>
    </row>
    <row r="285" spans="1:39">
      <c r="A285" s="9">
        <v>92921</v>
      </c>
      <c r="B285" s="10" t="s">
        <v>1663</v>
      </c>
      <c r="C285" s="60">
        <v>7.4400000000000006E-5</v>
      </c>
      <c r="E285" s="62">
        <v>3185.8091921800515</v>
      </c>
      <c r="F285" s="62">
        <v>35389.528402802462</v>
      </c>
      <c r="G285" s="62">
        <v>19157.359450781896</v>
      </c>
      <c r="H285" s="62">
        <v>-5159.4403199999979</v>
      </c>
      <c r="I285" s="62">
        <v>0</v>
      </c>
      <c r="J285" s="62"/>
      <c r="K285" s="62">
        <v>-447.66480000000001</v>
      </c>
      <c r="L285" s="62">
        <v>942.35040000000004</v>
      </c>
      <c r="M285" s="62">
        <v>1748.5488</v>
      </c>
      <c r="N285" s="62">
        <v>1087.356</v>
      </c>
      <c r="O285" s="62">
        <v>0</v>
      </c>
      <c r="P285" s="62"/>
      <c r="Q285" s="62">
        <v>1637.9160000000002</v>
      </c>
      <c r="R285" s="62">
        <v>27173.856000000003</v>
      </c>
      <c r="S285" s="62">
        <v>10398.292800000001</v>
      </c>
      <c r="T285" s="62">
        <v>-11612.649600000001</v>
      </c>
      <c r="U285" s="62">
        <v>0</v>
      </c>
      <c r="V285" s="62"/>
      <c r="W285" s="62">
        <v>4856.6088</v>
      </c>
      <c r="X285" s="62">
        <v>4856.6088</v>
      </c>
      <c r="Y285" s="62">
        <v>4464.4464000000007</v>
      </c>
      <c r="Z285" s="62">
        <v>2054.9280000000003</v>
      </c>
      <c r="AA285" s="62">
        <v>0</v>
      </c>
      <c r="AB285" s="62"/>
      <c r="AC285" s="62">
        <v>3310.9252800000031</v>
      </c>
      <c r="AD285" s="62">
        <v>3310.9252800000031</v>
      </c>
      <c r="AE285" s="62">
        <v>3310.9252800000031</v>
      </c>
      <c r="AF285" s="62">
        <v>3310.9252800000031</v>
      </c>
      <c r="AG285" s="62">
        <v>0</v>
      </c>
      <c r="AH285" s="62"/>
      <c r="AI285" s="62">
        <v>-6171.9760878199522</v>
      </c>
      <c r="AJ285" s="62">
        <v>-894.212077197545</v>
      </c>
      <c r="AK285" s="62">
        <v>-764.8538292181064</v>
      </c>
      <c r="AL285" s="62">
        <v>0</v>
      </c>
      <c r="AM285" s="62">
        <v>0</v>
      </c>
    </row>
    <row r="286" spans="1:39">
      <c r="A286" s="9">
        <v>92931</v>
      </c>
      <c r="B286" s="10" t="s">
        <v>1664</v>
      </c>
      <c r="C286" s="60">
        <v>2.3996E-3</v>
      </c>
      <c r="E286" s="62">
        <v>153673.35882100742</v>
      </c>
      <c r="F286" s="62">
        <v>1016263.0469387667</v>
      </c>
      <c r="G286" s="62">
        <v>500265.74416576105</v>
      </c>
      <c r="H286" s="62">
        <v>-289282.67504000029</v>
      </c>
      <c r="I286" s="62">
        <v>0</v>
      </c>
      <c r="J286" s="62"/>
      <c r="K286" s="62">
        <v>-14438.3932</v>
      </c>
      <c r="L286" s="62">
        <v>30393.333600000002</v>
      </c>
      <c r="M286" s="62">
        <v>56395.3992</v>
      </c>
      <c r="N286" s="62">
        <v>35070.154000000002</v>
      </c>
      <c r="O286" s="62">
        <v>0</v>
      </c>
      <c r="P286" s="62"/>
      <c r="Q286" s="62">
        <v>52827.194000000003</v>
      </c>
      <c r="R286" s="62">
        <v>876429.90399999998</v>
      </c>
      <c r="S286" s="62">
        <v>335372.89520000003</v>
      </c>
      <c r="T286" s="62">
        <v>-374539.16639999999</v>
      </c>
      <c r="U286" s="62">
        <v>0</v>
      </c>
      <c r="V286" s="62"/>
      <c r="W286" s="62">
        <v>156638.68919999999</v>
      </c>
      <c r="X286" s="62">
        <v>156638.68919999999</v>
      </c>
      <c r="Y286" s="62">
        <v>143990.3976</v>
      </c>
      <c r="Z286" s="62">
        <v>66276.952000000005</v>
      </c>
      <c r="AA286" s="62">
        <v>0</v>
      </c>
      <c r="AB286" s="62"/>
      <c r="AC286" s="62">
        <v>7721.010000000002</v>
      </c>
      <c r="AD286" s="62">
        <v>0</v>
      </c>
      <c r="AE286" s="62">
        <v>0</v>
      </c>
      <c r="AF286" s="62">
        <v>0</v>
      </c>
      <c r="AG286" s="62">
        <v>0</v>
      </c>
      <c r="AH286" s="62"/>
      <c r="AI286" s="62">
        <v>-49075.14117899257</v>
      </c>
      <c r="AJ286" s="62">
        <v>-47198.879861233232</v>
      </c>
      <c r="AK286" s="62">
        <v>-35492.947834239014</v>
      </c>
      <c r="AL286" s="62">
        <v>-16090.614640000276</v>
      </c>
      <c r="AM286" s="62">
        <v>0</v>
      </c>
    </row>
    <row r="287" spans="1:39">
      <c r="A287" s="9">
        <v>92941</v>
      </c>
      <c r="B287" s="10" t="s">
        <v>292</v>
      </c>
      <c r="C287" s="60">
        <v>1.2300000000000001E-5</v>
      </c>
      <c r="E287" s="62">
        <v>4159.1540373433727</v>
      </c>
      <c r="F287" s="62">
        <v>7795.4291012437889</v>
      </c>
      <c r="G287" s="62">
        <v>2526.6747195061716</v>
      </c>
      <c r="H287" s="62">
        <v>-1842.8498200000015</v>
      </c>
      <c r="I287" s="62">
        <v>0</v>
      </c>
      <c r="J287" s="62"/>
      <c r="K287" s="62">
        <v>-74.009100000000004</v>
      </c>
      <c r="L287" s="62">
        <v>155.79180000000002</v>
      </c>
      <c r="M287" s="62">
        <v>289.07460000000003</v>
      </c>
      <c r="N287" s="62">
        <v>179.7645</v>
      </c>
      <c r="O287" s="62">
        <v>0</v>
      </c>
      <c r="P287" s="62"/>
      <c r="Q287" s="62">
        <v>270.78450000000004</v>
      </c>
      <c r="R287" s="62">
        <v>4492.4520000000002</v>
      </c>
      <c r="S287" s="62">
        <v>1719.0726000000002</v>
      </c>
      <c r="T287" s="62">
        <v>-1919.8332</v>
      </c>
      <c r="U287" s="62">
        <v>0</v>
      </c>
      <c r="V287" s="62"/>
      <c r="W287" s="62">
        <v>802.90710000000001</v>
      </c>
      <c r="X287" s="62">
        <v>802.90710000000001</v>
      </c>
      <c r="Y287" s="62">
        <v>738.07380000000001</v>
      </c>
      <c r="Z287" s="62">
        <v>339.726</v>
      </c>
      <c r="AA287" s="62">
        <v>0</v>
      </c>
      <c r="AB287" s="62"/>
      <c r="AC287" s="62">
        <v>3601.9786573433735</v>
      </c>
      <c r="AD287" s="62">
        <v>2786.7853212437894</v>
      </c>
      <c r="AE287" s="62">
        <v>222.96083950617296</v>
      </c>
      <c r="AF287" s="62">
        <v>0</v>
      </c>
      <c r="AG287" s="62">
        <v>0</v>
      </c>
      <c r="AH287" s="62"/>
      <c r="AI287" s="62">
        <v>-442.50712000000135</v>
      </c>
      <c r="AJ287" s="62">
        <v>-442.50712000000135</v>
      </c>
      <c r="AK287" s="62">
        <v>-442.50712000000135</v>
      </c>
      <c r="AL287" s="62">
        <v>-442.50712000000135</v>
      </c>
      <c r="AM287" s="62">
        <v>0</v>
      </c>
    </row>
    <row r="288" spans="1:39">
      <c r="A288" s="9">
        <v>93001</v>
      </c>
      <c r="B288" s="10" t="s">
        <v>1665</v>
      </c>
      <c r="C288" s="60">
        <v>2.2227000000000002E-3</v>
      </c>
      <c r="E288" s="62">
        <v>123681.59303363459</v>
      </c>
      <c r="F288" s="62">
        <v>965766.5775506472</v>
      </c>
      <c r="G288" s="62">
        <v>473980.73943185201</v>
      </c>
      <c r="H288" s="62">
        <v>-269502.14981999993</v>
      </c>
      <c r="I288" s="62">
        <v>0</v>
      </c>
      <c r="J288" s="62"/>
      <c r="K288" s="62">
        <v>-13373.985900000001</v>
      </c>
      <c r="L288" s="62">
        <v>28152.718200000003</v>
      </c>
      <c r="M288" s="62">
        <v>52237.895400000001</v>
      </c>
      <c r="N288" s="62">
        <v>32484.760500000004</v>
      </c>
      <c r="O288" s="62">
        <v>0</v>
      </c>
      <c r="P288" s="62"/>
      <c r="Q288" s="62">
        <v>48932.740500000007</v>
      </c>
      <c r="R288" s="62">
        <v>811818.94800000009</v>
      </c>
      <c r="S288" s="62">
        <v>310648.99740000005</v>
      </c>
      <c r="T288" s="62">
        <v>-346927.90680000006</v>
      </c>
      <c r="U288" s="62">
        <v>0</v>
      </c>
      <c r="V288" s="62"/>
      <c r="W288" s="62">
        <v>145091.18790000002</v>
      </c>
      <c r="X288" s="62">
        <v>145091.18790000002</v>
      </c>
      <c r="Y288" s="62">
        <v>133375.33620000002</v>
      </c>
      <c r="Z288" s="62">
        <v>61390.974000000002</v>
      </c>
      <c r="AA288" s="62">
        <v>0</v>
      </c>
      <c r="AB288" s="62"/>
      <c r="AC288" s="62">
        <v>4798.2060165974381</v>
      </c>
      <c r="AD288" s="62">
        <v>3934.5289336099004</v>
      </c>
      <c r="AE288" s="62">
        <v>0</v>
      </c>
      <c r="AF288" s="62">
        <v>0</v>
      </c>
      <c r="AG288" s="62">
        <v>0</v>
      </c>
      <c r="AH288" s="62"/>
      <c r="AI288" s="62">
        <v>-61766.555482962867</v>
      </c>
      <c r="AJ288" s="62">
        <v>-23230.805482962864</v>
      </c>
      <c r="AK288" s="62">
        <v>-22281.489568148052</v>
      </c>
      <c r="AL288" s="62">
        <v>-16449.977519999909</v>
      </c>
      <c r="AM288" s="62">
        <v>0</v>
      </c>
    </row>
    <row r="289" spans="1:39">
      <c r="A289" s="9">
        <v>93009</v>
      </c>
      <c r="B289" s="10" t="s">
        <v>1666</v>
      </c>
      <c r="C289" s="60">
        <v>1.47E-5</v>
      </c>
      <c r="E289" s="62">
        <v>-717.24863647456436</v>
      </c>
      <c r="F289" s="62">
        <v>5322.6307718241906</v>
      </c>
      <c r="G289" s="62">
        <v>2504.0873392592603</v>
      </c>
      <c r="H289" s="62">
        <v>-2071.1110200000003</v>
      </c>
      <c r="I289" s="62">
        <v>0</v>
      </c>
      <c r="J289" s="62"/>
      <c r="K289" s="62">
        <v>-88.4499</v>
      </c>
      <c r="L289" s="62">
        <v>186.1902</v>
      </c>
      <c r="M289" s="62">
        <v>345.4794</v>
      </c>
      <c r="N289" s="62">
        <v>214.84049999999999</v>
      </c>
      <c r="O289" s="62">
        <v>0</v>
      </c>
      <c r="P289" s="62"/>
      <c r="Q289" s="62">
        <v>323.62049999999999</v>
      </c>
      <c r="R289" s="62">
        <v>5369.0280000000002</v>
      </c>
      <c r="S289" s="62">
        <v>2054.5014000000001</v>
      </c>
      <c r="T289" s="62">
        <v>-2294.4348</v>
      </c>
      <c r="U289" s="62">
        <v>0</v>
      </c>
      <c r="V289" s="62"/>
      <c r="W289" s="62">
        <v>959.57190000000003</v>
      </c>
      <c r="X289" s="62">
        <v>959.57190000000003</v>
      </c>
      <c r="Y289" s="62">
        <v>882.08820000000003</v>
      </c>
      <c r="Z289" s="62">
        <v>406.01400000000001</v>
      </c>
      <c r="AA289" s="62">
        <v>0</v>
      </c>
      <c r="AB289" s="62"/>
      <c r="AC289" s="62">
        <v>0</v>
      </c>
      <c r="AD289" s="62">
        <v>0</v>
      </c>
      <c r="AE289" s="62">
        <v>0</v>
      </c>
      <c r="AF289" s="62">
        <v>0</v>
      </c>
      <c r="AG289" s="62">
        <v>0</v>
      </c>
      <c r="AH289" s="62"/>
      <c r="AI289" s="62">
        <v>-1911.9911364745644</v>
      </c>
      <c r="AJ289" s="62">
        <v>-1192.1593281758096</v>
      </c>
      <c r="AK289" s="62">
        <v>-777.98166074074038</v>
      </c>
      <c r="AL289" s="62">
        <v>-397.53072000000009</v>
      </c>
      <c r="AM289" s="62">
        <v>0</v>
      </c>
    </row>
    <row r="290" spans="1:39">
      <c r="A290" s="9">
        <v>93011</v>
      </c>
      <c r="B290" s="10" t="s">
        <v>1667</v>
      </c>
      <c r="C290" s="60">
        <v>2.2699999999999999E-4</v>
      </c>
      <c r="E290" s="62">
        <v>14596.129828126297</v>
      </c>
      <c r="F290" s="62">
        <v>97550.076621404311</v>
      </c>
      <c r="G290" s="62">
        <v>47048.336036872439</v>
      </c>
      <c r="H290" s="62">
        <v>-28781.007880000001</v>
      </c>
      <c r="I290" s="62">
        <v>0</v>
      </c>
      <c r="J290" s="62"/>
      <c r="K290" s="62">
        <v>-1365.8589999999999</v>
      </c>
      <c r="L290" s="62">
        <v>2875.1819999999998</v>
      </c>
      <c r="M290" s="62">
        <v>5334.9539999999997</v>
      </c>
      <c r="N290" s="62">
        <v>3317.605</v>
      </c>
      <c r="O290" s="62">
        <v>0</v>
      </c>
      <c r="P290" s="62"/>
      <c r="Q290" s="62">
        <v>4997.4049999999997</v>
      </c>
      <c r="R290" s="62">
        <v>82909.48</v>
      </c>
      <c r="S290" s="62">
        <v>31725.973999999998</v>
      </c>
      <c r="T290" s="62">
        <v>-35431.067999999999</v>
      </c>
      <c r="U290" s="62">
        <v>0</v>
      </c>
      <c r="V290" s="62"/>
      <c r="W290" s="62">
        <v>14817.878999999999</v>
      </c>
      <c r="X290" s="62">
        <v>14817.878999999999</v>
      </c>
      <c r="Y290" s="62">
        <v>13621.361999999999</v>
      </c>
      <c r="Z290" s="62">
        <v>6269.74</v>
      </c>
      <c r="AA290" s="62">
        <v>0</v>
      </c>
      <c r="AB290" s="62"/>
      <c r="AC290" s="62">
        <v>847.44003734439843</v>
      </c>
      <c r="AD290" s="62">
        <v>694.90083062240694</v>
      </c>
      <c r="AE290" s="62">
        <v>0</v>
      </c>
      <c r="AF290" s="62">
        <v>0</v>
      </c>
      <c r="AG290" s="62">
        <v>0</v>
      </c>
      <c r="AH290" s="62"/>
      <c r="AI290" s="62">
        <v>-4700.7352092180981</v>
      </c>
      <c r="AJ290" s="62">
        <v>-3747.3652092180982</v>
      </c>
      <c r="AK290" s="62">
        <v>-3633.9539631275652</v>
      </c>
      <c r="AL290" s="62">
        <v>-2937.2848800000038</v>
      </c>
      <c r="AM290" s="62">
        <v>0</v>
      </c>
    </row>
    <row r="291" spans="1:39">
      <c r="A291" s="9">
        <v>93021</v>
      </c>
      <c r="B291" s="10" t="s">
        <v>1668</v>
      </c>
      <c r="C291" s="60">
        <v>3.4199999999999998E-5</v>
      </c>
      <c r="E291" s="62">
        <v>3032.5400052975438</v>
      </c>
      <c r="F291" s="62">
        <v>14516.723187040283</v>
      </c>
      <c r="G291" s="62">
        <v>6485.8115734156363</v>
      </c>
      <c r="H291" s="62">
        <v>-3546.6753200000007</v>
      </c>
      <c r="I291" s="62">
        <v>0</v>
      </c>
      <c r="J291" s="62"/>
      <c r="K291" s="62">
        <v>-205.78139999999999</v>
      </c>
      <c r="L291" s="62">
        <v>433.17719999999997</v>
      </c>
      <c r="M291" s="62">
        <v>803.76839999999993</v>
      </c>
      <c r="N291" s="62">
        <v>499.83299999999997</v>
      </c>
      <c r="O291" s="62">
        <v>0</v>
      </c>
      <c r="P291" s="62"/>
      <c r="Q291" s="62">
        <v>752.9129999999999</v>
      </c>
      <c r="R291" s="62">
        <v>12491.207999999999</v>
      </c>
      <c r="S291" s="62">
        <v>4779.8603999999996</v>
      </c>
      <c r="T291" s="62">
        <v>-5338.0727999999999</v>
      </c>
      <c r="U291" s="62">
        <v>0</v>
      </c>
      <c r="V291" s="62"/>
      <c r="W291" s="62">
        <v>2232.4733999999999</v>
      </c>
      <c r="X291" s="62">
        <v>2232.4733999999999</v>
      </c>
      <c r="Y291" s="62">
        <v>2052.2051999999999</v>
      </c>
      <c r="Z291" s="62">
        <v>944.60399999999993</v>
      </c>
      <c r="AA291" s="62">
        <v>0</v>
      </c>
      <c r="AB291" s="62"/>
      <c r="AC291" s="62">
        <v>1993.6128036514533</v>
      </c>
      <c r="AD291" s="62">
        <v>1100.542385394192</v>
      </c>
      <c r="AE291" s="62">
        <v>346.96047999999973</v>
      </c>
      <c r="AF291" s="62">
        <v>346.96047999999973</v>
      </c>
      <c r="AG291" s="62">
        <v>0</v>
      </c>
      <c r="AH291" s="62"/>
      <c r="AI291" s="62">
        <v>-1740.6777983539084</v>
      </c>
      <c r="AJ291" s="62">
        <v>-1740.6777983539084</v>
      </c>
      <c r="AK291" s="62">
        <v>-1496.9829065843619</v>
      </c>
      <c r="AL291" s="62">
        <v>0</v>
      </c>
      <c r="AM291" s="62">
        <v>0</v>
      </c>
    </row>
    <row r="292" spans="1:39">
      <c r="A292" s="9">
        <v>93027</v>
      </c>
      <c r="B292" s="10" t="s">
        <v>1669</v>
      </c>
      <c r="C292" s="60">
        <v>1.6699999999999999E-5</v>
      </c>
      <c r="E292" s="62">
        <v>1053.8434842685642</v>
      </c>
      <c r="F292" s="62">
        <v>7579.8426411150376</v>
      </c>
      <c r="G292" s="62">
        <v>4050.465077448559</v>
      </c>
      <c r="H292" s="62">
        <v>-1780.5748600000002</v>
      </c>
      <c r="I292" s="62">
        <v>0</v>
      </c>
      <c r="J292" s="62"/>
      <c r="K292" s="62">
        <v>-100.48389999999999</v>
      </c>
      <c r="L292" s="62">
        <v>211.5222</v>
      </c>
      <c r="M292" s="62">
        <v>392.48339999999996</v>
      </c>
      <c r="N292" s="62">
        <v>244.07049999999998</v>
      </c>
      <c r="O292" s="62">
        <v>0</v>
      </c>
      <c r="P292" s="62"/>
      <c r="Q292" s="62">
        <v>367.65049999999997</v>
      </c>
      <c r="R292" s="62">
        <v>6099.5079999999998</v>
      </c>
      <c r="S292" s="62">
        <v>2334.0254</v>
      </c>
      <c r="T292" s="62">
        <v>-2606.6028000000001</v>
      </c>
      <c r="U292" s="62">
        <v>0</v>
      </c>
      <c r="V292" s="62"/>
      <c r="W292" s="62">
        <v>1090.1259</v>
      </c>
      <c r="X292" s="62">
        <v>1090.1259</v>
      </c>
      <c r="Y292" s="62">
        <v>1002.1002</v>
      </c>
      <c r="Z292" s="62">
        <v>461.25399999999996</v>
      </c>
      <c r="AA292" s="62">
        <v>0</v>
      </c>
      <c r="AB292" s="62"/>
      <c r="AC292" s="62">
        <v>354.6018556378595</v>
      </c>
      <c r="AD292" s="62">
        <v>354.6018556378595</v>
      </c>
      <c r="AE292" s="62">
        <v>321.85607744855929</v>
      </c>
      <c r="AF292" s="62">
        <v>120.70344000000023</v>
      </c>
      <c r="AG292" s="62">
        <v>0</v>
      </c>
      <c r="AH292" s="62"/>
      <c r="AI292" s="62">
        <v>-658.05087136929512</v>
      </c>
      <c r="AJ292" s="62">
        <v>-175.91531452282197</v>
      </c>
      <c r="AK292" s="62">
        <v>0</v>
      </c>
      <c r="AL292" s="62">
        <v>0</v>
      </c>
      <c r="AM292" s="62">
        <v>0</v>
      </c>
    </row>
    <row r="293" spans="1:39">
      <c r="A293" s="9">
        <v>93031</v>
      </c>
      <c r="B293" s="10" t="s">
        <v>1670</v>
      </c>
      <c r="C293" s="60">
        <v>2.1699999999999999E-5</v>
      </c>
      <c r="E293" s="62">
        <v>7646.1303934794996</v>
      </c>
      <c r="F293" s="62">
        <v>15583.414364682818</v>
      </c>
      <c r="G293" s="62">
        <v>9715.4583771193429</v>
      </c>
      <c r="H293" s="62">
        <v>-500.89961999999969</v>
      </c>
      <c r="I293" s="62">
        <v>0</v>
      </c>
      <c r="J293" s="62"/>
      <c r="K293" s="62">
        <v>-130.56889999999999</v>
      </c>
      <c r="L293" s="62">
        <v>274.85219999999998</v>
      </c>
      <c r="M293" s="62">
        <v>509.99339999999995</v>
      </c>
      <c r="N293" s="62">
        <v>317.14549999999997</v>
      </c>
      <c r="O293" s="62">
        <v>0</v>
      </c>
      <c r="P293" s="62"/>
      <c r="Q293" s="62">
        <v>477.72549999999995</v>
      </c>
      <c r="R293" s="62">
        <v>7925.7079999999996</v>
      </c>
      <c r="S293" s="62">
        <v>3032.8353999999999</v>
      </c>
      <c r="T293" s="62">
        <v>-3387.0227999999997</v>
      </c>
      <c r="U293" s="62">
        <v>0</v>
      </c>
      <c r="V293" s="62"/>
      <c r="W293" s="62">
        <v>1416.5109</v>
      </c>
      <c r="X293" s="62">
        <v>1416.5109</v>
      </c>
      <c r="Y293" s="62">
        <v>1302.1301999999998</v>
      </c>
      <c r="Z293" s="62">
        <v>599.35399999999993</v>
      </c>
      <c r="AA293" s="62">
        <v>0</v>
      </c>
      <c r="AB293" s="62"/>
      <c r="AC293" s="62">
        <v>6103.2328934794996</v>
      </c>
      <c r="AD293" s="62">
        <v>5966.3432646828187</v>
      </c>
      <c r="AE293" s="62">
        <v>4870.4993771193422</v>
      </c>
      <c r="AF293" s="62">
        <v>1969.6236800000001</v>
      </c>
      <c r="AG293" s="62">
        <v>0</v>
      </c>
      <c r="AH293" s="62"/>
      <c r="AI293" s="62">
        <v>-220.77000000000004</v>
      </c>
      <c r="AJ293" s="62">
        <v>0</v>
      </c>
      <c r="AK293" s="62">
        <v>0</v>
      </c>
      <c r="AL293" s="62">
        <v>0</v>
      </c>
      <c r="AM293" s="62">
        <v>0</v>
      </c>
    </row>
    <row r="294" spans="1:39">
      <c r="A294" s="9">
        <v>93101</v>
      </c>
      <c r="B294" s="10" t="s">
        <v>1671</v>
      </c>
      <c r="C294" s="60">
        <v>3.5159000000000002E-3</v>
      </c>
      <c r="E294" s="62">
        <v>324829.23482457973</v>
      </c>
      <c r="F294" s="62">
        <v>1556405.2835424221</v>
      </c>
      <c r="G294" s="62">
        <v>765459.17802740738</v>
      </c>
      <c r="H294" s="62">
        <v>-429115.20037999999</v>
      </c>
      <c r="I294" s="62">
        <v>0</v>
      </c>
      <c r="J294" s="62"/>
      <c r="K294" s="62">
        <v>-21155.170300000002</v>
      </c>
      <c r="L294" s="62">
        <v>44532.3894</v>
      </c>
      <c r="M294" s="62">
        <v>82630.681800000006</v>
      </c>
      <c r="N294" s="62">
        <v>51384.878500000006</v>
      </c>
      <c r="O294" s="62">
        <v>0</v>
      </c>
      <c r="P294" s="62"/>
      <c r="Q294" s="62">
        <v>77402.53850000001</v>
      </c>
      <c r="R294" s="62">
        <v>1284147.3160000001</v>
      </c>
      <c r="S294" s="62">
        <v>491389.21580000001</v>
      </c>
      <c r="T294" s="62">
        <v>-548775.73560000001</v>
      </c>
      <c r="U294" s="62">
        <v>0</v>
      </c>
      <c r="V294" s="62"/>
      <c r="W294" s="62">
        <v>229507.40430000002</v>
      </c>
      <c r="X294" s="62">
        <v>229507.40430000002</v>
      </c>
      <c r="Y294" s="62">
        <v>210975.09540000002</v>
      </c>
      <c r="Z294" s="62">
        <v>97109.15800000001</v>
      </c>
      <c r="AA294" s="62">
        <v>0</v>
      </c>
      <c r="AB294" s="62"/>
      <c r="AC294" s="62">
        <v>67907.96360457968</v>
      </c>
      <c r="AD294" s="62">
        <v>27051.675122421999</v>
      </c>
      <c r="AE294" s="62">
        <v>9297.6863074073663</v>
      </c>
      <c r="AF294" s="62">
        <v>0</v>
      </c>
      <c r="AG294" s="62">
        <v>0</v>
      </c>
      <c r="AH294" s="62"/>
      <c r="AI294" s="62">
        <v>-28833.501279999968</v>
      </c>
      <c r="AJ294" s="62">
        <v>-28833.501279999968</v>
      </c>
      <c r="AK294" s="62">
        <v>-28833.501279999968</v>
      </c>
      <c r="AL294" s="62">
        <v>-28833.501279999968</v>
      </c>
      <c r="AM294" s="62">
        <v>0</v>
      </c>
    </row>
    <row r="295" spans="1:39">
      <c r="A295" s="9">
        <v>93103</v>
      </c>
      <c r="B295" s="10" t="s">
        <v>924</v>
      </c>
      <c r="C295" s="60">
        <v>1.7099999999999999E-5</v>
      </c>
      <c r="E295" s="62">
        <v>3474.9463305332692</v>
      </c>
      <c r="F295" s="62">
        <v>9571.6528815706133</v>
      </c>
      <c r="G295" s="62">
        <v>5109.0270770370344</v>
      </c>
      <c r="H295" s="62">
        <v>-2396.3828600000029</v>
      </c>
      <c r="I295" s="62">
        <v>0</v>
      </c>
      <c r="J295" s="62"/>
      <c r="K295" s="62">
        <v>-102.8907</v>
      </c>
      <c r="L295" s="62">
        <v>216.58859999999999</v>
      </c>
      <c r="M295" s="62">
        <v>401.88419999999996</v>
      </c>
      <c r="N295" s="62">
        <v>249.91649999999998</v>
      </c>
      <c r="O295" s="62">
        <v>0</v>
      </c>
      <c r="P295" s="62"/>
      <c r="Q295" s="62">
        <v>376.45649999999995</v>
      </c>
      <c r="R295" s="62">
        <v>6245.6039999999994</v>
      </c>
      <c r="S295" s="62">
        <v>2389.9301999999998</v>
      </c>
      <c r="T295" s="62">
        <v>-2669.0364</v>
      </c>
      <c r="U295" s="62">
        <v>0</v>
      </c>
      <c r="V295" s="62"/>
      <c r="W295" s="62">
        <v>1116.2366999999999</v>
      </c>
      <c r="X295" s="62">
        <v>1116.2366999999999</v>
      </c>
      <c r="Y295" s="62">
        <v>1026.1025999999999</v>
      </c>
      <c r="Z295" s="62">
        <v>472.30199999999996</v>
      </c>
      <c r="AA295" s="62">
        <v>0</v>
      </c>
      <c r="AB295" s="62"/>
      <c r="AC295" s="62">
        <v>2534.7087905332719</v>
      </c>
      <c r="AD295" s="62">
        <v>2442.7885415706164</v>
      </c>
      <c r="AE295" s="62">
        <v>1740.6750370370378</v>
      </c>
      <c r="AF295" s="62">
        <v>0</v>
      </c>
      <c r="AG295" s="62">
        <v>0</v>
      </c>
      <c r="AH295" s="62"/>
      <c r="AI295" s="62">
        <v>-449.5649600000026</v>
      </c>
      <c r="AJ295" s="62">
        <v>-449.5649600000026</v>
      </c>
      <c r="AK295" s="62">
        <v>-449.5649600000026</v>
      </c>
      <c r="AL295" s="62">
        <v>-449.5649600000026</v>
      </c>
      <c r="AM295" s="62">
        <v>0</v>
      </c>
    </row>
    <row r="296" spans="1:39">
      <c r="A296" s="9">
        <v>93108</v>
      </c>
      <c r="B296" s="10" t="s">
        <v>1672</v>
      </c>
      <c r="C296" s="60">
        <v>2.6624999999999999E-3</v>
      </c>
      <c r="E296" s="62">
        <v>404859.01013087481</v>
      </c>
      <c r="F296" s="62">
        <v>1232873.2250744433</v>
      </c>
      <c r="G296" s="62">
        <v>618436.00124164624</v>
      </c>
      <c r="H296" s="62">
        <v>-293604.34865999984</v>
      </c>
      <c r="I296" s="62">
        <v>0</v>
      </c>
      <c r="J296" s="62"/>
      <c r="K296" s="62">
        <v>-16020.262499999999</v>
      </c>
      <c r="L296" s="62">
        <v>33723.224999999999</v>
      </c>
      <c r="M296" s="62">
        <v>62574.074999999997</v>
      </c>
      <c r="N296" s="62">
        <v>38912.4375</v>
      </c>
      <c r="O296" s="62">
        <v>0</v>
      </c>
      <c r="P296" s="62"/>
      <c r="Q296" s="62">
        <v>58614.9375</v>
      </c>
      <c r="R296" s="62">
        <v>972451.5</v>
      </c>
      <c r="S296" s="62">
        <v>372116.32500000001</v>
      </c>
      <c r="T296" s="62">
        <v>-415573.64999999997</v>
      </c>
      <c r="U296" s="62">
        <v>0</v>
      </c>
      <c r="V296" s="62"/>
      <c r="W296" s="62">
        <v>173800.01249999998</v>
      </c>
      <c r="X296" s="62">
        <v>173800.01249999998</v>
      </c>
      <c r="Y296" s="62">
        <v>159765.97500000001</v>
      </c>
      <c r="Z296" s="62">
        <v>73538.25</v>
      </c>
      <c r="AA296" s="62">
        <v>0</v>
      </c>
      <c r="AB296" s="62"/>
      <c r="AC296" s="62">
        <v>188464.32263087481</v>
      </c>
      <c r="AD296" s="62">
        <v>52898.487574443265</v>
      </c>
      <c r="AE296" s="62">
        <v>23979.626241646205</v>
      </c>
      <c r="AF296" s="62">
        <v>9518.6138400001455</v>
      </c>
      <c r="AG296" s="62">
        <v>0</v>
      </c>
      <c r="AH296" s="62"/>
      <c r="AI296" s="62">
        <v>0</v>
      </c>
      <c r="AJ296" s="62">
        <v>0</v>
      </c>
      <c r="AK296" s="62">
        <v>0</v>
      </c>
      <c r="AL296" s="62">
        <v>0</v>
      </c>
      <c r="AM296" s="62">
        <v>0</v>
      </c>
    </row>
    <row r="297" spans="1:39">
      <c r="A297" s="9">
        <v>93111</v>
      </c>
      <c r="B297" s="10" t="s">
        <v>1673</v>
      </c>
      <c r="C297" s="60">
        <v>5.8499999999999999E-5</v>
      </c>
      <c r="E297" s="62">
        <v>-781.56642776532135</v>
      </c>
      <c r="F297" s="62">
        <v>21145.083129662064</v>
      </c>
      <c r="G297" s="62">
        <v>9920.3818571193333</v>
      </c>
      <c r="H297" s="62">
        <v>-8664.521940000006</v>
      </c>
      <c r="I297" s="62">
        <v>0</v>
      </c>
      <c r="J297" s="62"/>
      <c r="K297" s="62">
        <v>-351.99450000000002</v>
      </c>
      <c r="L297" s="62">
        <v>740.96100000000001</v>
      </c>
      <c r="M297" s="62">
        <v>1374.867</v>
      </c>
      <c r="N297" s="62">
        <v>854.97749999999996</v>
      </c>
      <c r="O297" s="62">
        <v>0</v>
      </c>
      <c r="P297" s="62"/>
      <c r="Q297" s="62">
        <v>1287.8775000000001</v>
      </c>
      <c r="R297" s="62">
        <v>21366.54</v>
      </c>
      <c r="S297" s="62">
        <v>8176.0770000000002</v>
      </c>
      <c r="T297" s="62">
        <v>-9130.9140000000007</v>
      </c>
      <c r="U297" s="62">
        <v>0</v>
      </c>
      <c r="V297" s="62"/>
      <c r="W297" s="62">
        <v>3818.7044999999998</v>
      </c>
      <c r="X297" s="62">
        <v>3818.7044999999998</v>
      </c>
      <c r="Y297" s="62">
        <v>3510.3510000000001</v>
      </c>
      <c r="Z297" s="62">
        <v>1615.77</v>
      </c>
      <c r="AA297" s="62">
        <v>0</v>
      </c>
      <c r="AB297" s="62"/>
      <c r="AC297" s="62">
        <v>0</v>
      </c>
      <c r="AD297" s="62">
        <v>0</v>
      </c>
      <c r="AE297" s="62">
        <v>0</v>
      </c>
      <c r="AF297" s="62">
        <v>0</v>
      </c>
      <c r="AG297" s="62">
        <v>0</v>
      </c>
      <c r="AH297" s="62"/>
      <c r="AI297" s="62">
        <v>-5536.153927765321</v>
      </c>
      <c r="AJ297" s="62">
        <v>-4781.1223703379355</v>
      </c>
      <c r="AK297" s="62">
        <v>-3140.9131428806659</v>
      </c>
      <c r="AL297" s="62">
        <v>-2004.355440000006</v>
      </c>
      <c r="AM297" s="62">
        <v>0</v>
      </c>
    </row>
    <row r="298" spans="1:39">
      <c r="A298" s="9">
        <v>93121</v>
      </c>
      <c r="B298" s="10" t="s">
        <v>1674</v>
      </c>
      <c r="C298" s="60">
        <v>6.2299999999999996E-5</v>
      </c>
      <c r="E298" s="62">
        <v>1524.6317331888713</v>
      </c>
      <c r="F298" s="62">
        <v>25415.771630948202</v>
      </c>
      <c r="G298" s="62">
        <v>12116.635817037035</v>
      </c>
      <c r="H298" s="62">
        <v>-6581.9342200000001</v>
      </c>
      <c r="I298" s="62">
        <v>0</v>
      </c>
      <c r="J298" s="62"/>
      <c r="K298" s="62">
        <v>-374.85909999999996</v>
      </c>
      <c r="L298" s="62">
        <v>789.09179999999992</v>
      </c>
      <c r="M298" s="62">
        <v>1464.1745999999998</v>
      </c>
      <c r="N298" s="62">
        <v>910.5145</v>
      </c>
      <c r="O298" s="62">
        <v>0</v>
      </c>
      <c r="P298" s="62"/>
      <c r="Q298" s="62">
        <v>1371.5345</v>
      </c>
      <c r="R298" s="62">
        <v>22754.451999999997</v>
      </c>
      <c r="S298" s="62">
        <v>8707.1725999999999</v>
      </c>
      <c r="T298" s="62">
        <v>-9724.0331999999999</v>
      </c>
      <c r="U298" s="62">
        <v>0</v>
      </c>
      <c r="V298" s="62"/>
      <c r="W298" s="62">
        <v>4066.7570999999998</v>
      </c>
      <c r="X298" s="62">
        <v>4066.7570999999998</v>
      </c>
      <c r="Y298" s="62">
        <v>3738.3737999999998</v>
      </c>
      <c r="Z298" s="62">
        <v>1720.7259999999999</v>
      </c>
      <c r="AA298" s="62">
        <v>0</v>
      </c>
      <c r="AB298" s="62"/>
      <c r="AC298" s="62">
        <v>510.85848000000038</v>
      </c>
      <c r="AD298" s="62">
        <v>510.85848000000038</v>
      </c>
      <c r="AE298" s="62">
        <v>510.85848000000038</v>
      </c>
      <c r="AF298" s="62">
        <v>510.85848000000038</v>
      </c>
      <c r="AG298" s="62">
        <v>0</v>
      </c>
      <c r="AH298" s="62"/>
      <c r="AI298" s="62">
        <v>-4049.6592468111294</v>
      </c>
      <c r="AJ298" s="62">
        <v>-2705.387749051793</v>
      </c>
      <c r="AK298" s="62">
        <v>-2303.9436629629654</v>
      </c>
      <c r="AL298" s="62">
        <v>0</v>
      </c>
      <c r="AM298" s="62">
        <v>0</v>
      </c>
    </row>
    <row r="299" spans="1:39">
      <c r="A299" s="9">
        <v>93127</v>
      </c>
      <c r="B299" s="10" t="s">
        <v>1675</v>
      </c>
      <c r="C299" s="60">
        <v>6.9E-6</v>
      </c>
      <c r="E299" s="62">
        <v>193.14467082253304</v>
      </c>
      <c r="F299" s="62">
        <v>2873.8791961337365</v>
      </c>
      <c r="G299" s="62">
        <v>1454.1743764609055</v>
      </c>
      <c r="H299" s="62">
        <v>-754.52834000000018</v>
      </c>
      <c r="I299" s="62">
        <v>0</v>
      </c>
      <c r="J299" s="62"/>
      <c r="K299" s="62">
        <v>-41.517299999999999</v>
      </c>
      <c r="L299" s="62">
        <v>87.395399999999995</v>
      </c>
      <c r="M299" s="62">
        <v>162.16380000000001</v>
      </c>
      <c r="N299" s="62">
        <v>100.84350000000001</v>
      </c>
      <c r="O299" s="62">
        <v>0</v>
      </c>
      <c r="P299" s="62"/>
      <c r="Q299" s="62">
        <v>151.90350000000001</v>
      </c>
      <c r="R299" s="62">
        <v>2520.1559999999999</v>
      </c>
      <c r="S299" s="62">
        <v>964.3578</v>
      </c>
      <c r="T299" s="62">
        <v>-1076.9795999999999</v>
      </c>
      <c r="U299" s="62">
        <v>0</v>
      </c>
      <c r="V299" s="62"/>
      <c r="W299" s="62">
        <v>450.41129999999998</v>
      </c>
      <c r="X299" s="62">
        <v>450.41129999999998</v>
      </c>
      <c r="Y299" s="62">
        <v>414.04140000000001</v>
      </c>
      <c r="Z299" s="62">
        <v>190.578</v>
      </c>
      <c r="AA299" s="62">
        <v>0</v>
      </c>
      <c r="AB299" s="62"/>
      <c r="AC299" s="62">
        <v>31.029759999999804</v>
      </c>
      <c r="AD299" s="62">
        <v>31.029759999999804</v>
      </c>
      <c r="AE299" s="62">
        <v>31.029759999999804</v>
      </c>
      <c r="AF299" s="62">
        <v>31.029759999999804</v>
      </c>
      <c r="AG299" s="62">
        <v>0</v>
      </c>
      <c r="AH299" s="62"/>
      <c r="AI299" s="62">
        <v>-398.68258917746675</v>
      </c>
      <c r="AJ299" s="62">
        <v>-215.11326386626348</v>
      </c>
      <c r="AK299" s="62">
        <v>-117.41838353909462</v>
      </c>
      <c r="AL299" s="62">
        <v>0</v>
      </c>
      <c r="AM299" s="62">
        <v>0</v>
      </c>
    </row>
    <row r="300" spans="1:39">
      <c r="A300" s="9">
        <v>93131</v>
      </c>
      <c r="B300" s="10" t="s">
        <v>1676</v>
      </c>
      <c r="C300" s="60">
        <v>2.218E-4</v>
      </c>
      <c r="E300" s="62">
        <v>17473.084090774726</v>
      </c>
      <c r="F300" s="62">
        <v>94846.325685131567</v>
      </c>
      <c r="G300" s="62">
        <v>43805.567873415632</v>
      </c>
      <c r="H300" s="62">
        <v>-29548.484120000005</v>
      </c>
      <c r="I300" s="62">
        <v>0</v>
      </c>
      <c r="J300" s="62"/>
      <c r="K300" s="62">
        <v>-1334.5706</v>
      </c>
      <c r="L300" s="62">
        <v>2809.3188</v>
      </c>
      <c r="M300" s="62">
        <v>5212.7435999999998</v>
      </c>
      <c r="N300" s="62">
        <v>3241.607</v>
      </c>
      <c r="O300" s="62">
        <v>0</v>
      </c>
      <c r="P300" s="62"/>
      <c r="Q300" s="62">
        <v>4882.9269999999997</v>
      </c>
      <c r="R300" s="62">
        <v>81010.232000000004</v>
      </c>
      <c r="S300" s="62">
        <v>30999.211599999999</v>
      </c>
      <c r="T300" s="62">
        <v>-34619.431199999999</v>
      </c>
      <c r="U300" s="62">
        <v>0</v>
      </c>
      <c r="V300" s="62"/>
      <c r="W300" s="62">
        <v>14478.438599999999</v>
      </c>
      <c r="X300" s="62">
        <v>14478.438599999999</v>
      </c>
      <c r="Y300" s="62">
        <v>13309.3308</v>
      </c>
      <c r="Z300" s="62">
        <v>6126.116</v>
      </c>
      <c r="AA300" s="62">
        <v>0</v>
      </c>
      <c r="AB300" s="62"/>
      <c r="AC300" s="62">
        <v>5392.9978091286357</v>
      </c>
      <c r="AD300" s="62">
        <v>2495.0450034854816</v>
      </c>
      <c r="AE300" s="62">
        <v>0</v>
      </c>
      <c r="AF300" s="62">
        <v>0</v>
      </c>
      <c r="AG300" s="62">
        <v>0</v>
      </c>
      <c r="AH300" s="62"/>
      <c r="AI300" s="62">
        <v>-5946.708718353907</v>
      </c>
      <c r="AJ300" s="62">
        <v>-5946.708718353907</v>
      </c>
      <c r="AK300" s="62">
        <v>-5715.718126584361</v>
      </c>
      <c r="AL300" s="62">
        <v>-4296.7759200000037</v>
      </c>
      <c r="AM300" s="62">
        <v>0</v>
      </c>
    </row>
    <row r="301" spans="1:39">
      <c r="A301" s="9">
        <v>93137</v>
      </c>
      <c r="B301" s="10" t="s">
        <v>1677</v>
      </c>
      <c r="C301" s="60">
        <v>3.3000000000000002E-6</v>
      </c>
      <c r="E301" s="62">
        <v>1106.8019213930297</v>
      </c>
      <c r="F301" s="62">
        <v>2268.5336251274698</v>
      </c>
      <c r="G301" s="62">
        <v>1363.6803314403292</v>
      </c>
      <c r="H301" s="62">
        <v>62.048380000000009</v>
      </c>
      <c r="I301" s="62">
        <v>0</v>
      </c>
      <c r="J301" s="62"/>
      <c r="K301" s="62">
        <v>-19.856100000000001</v>
      </c>
      <c r="L301" s="62">
        <v>41.797800000000002</v>
      </c>
      <c r="M301" s="62">
        <v>77.556600000000003</v>
      </c>
      <c r="N301" s="62">
        <v>48.229500000000002</v>
      </c>
      <c r="O301" s="62">
        <v>0</v>
      </c>
      <c r="P301" s="62"/>
      <c r="Q301" s="62">
        <v>72.649500000000003</v>
      </c>
      <c r="R301" s="62">
        <v>1205.2920000000001</v>
      </c>
      <c r="S301" s="62">
        <v>461.21460000000002</v>
      </c>
      <c r="T301" s="62">
        <v>-515.07720000000006</v>
      </c>
      <c r="U301" s="62">
        <v>0</v>
      </c>
      <c r="V301" s="62"/>
      <c r="W301" s="62">
        <v>215.41410000000002</v>
      </c>
      <c r="X301" s="62">
        <v>215.41410000000002</v>
      </c>
      <c r="Y301" s="62">
        <v>198.0198</v>
      </c>
      <c r="Z301" s="62">
        <v>91.146000000000001</v>
      </c>
      <c r="AA301" s="62">
        <v>0</v>
      </c>
      <c r="AB301" s="62"/>
      <c r="AC301" s="62">
        <v>838.59442139302973</v>
      </c>
      <c r="AD301" s="62">
        <v>806.02972512746965</v>
      </c>
      <c r="AE301" s="62">
        <v>626.88933144032922</v>
      </c>
      <c r="AF301" s="62">
        <v>437.75008000000003</v>
      </c>
      <c r="AG301" s="62">
        <v>0</v>
      </c>
      <c r="AH301" s="62"/>
      <c r="AI301" s="62">
        <v>0</v>
      </c>
      <c r="AJ301" s="62">
        <v>0</v>
      </c>
      <c r="AK301" s="62">
        <v>0</v>
      </c>
      <c r="AL301" s="62">
        <v>0</v>
      </c>
      <c r="AM301" s="62">
        <v>0</v>
      </c>
    </row>
    <row r="302" spans="1:39">
      <c r="A302" s="9">
        <v>93141</v>
      </c>
      <c r="B302" s="10" t="s">
        <v>1678</v>
      </c>
      <c r="C302" s="60">
        <v>4.1100000000000003E-5</v>
      </c>
      <c r="E302" s="62">
        <v>2968.3245011577283</v>
      </c>
      <c r="F302" s="62">
        <v>15943.787897838225</v>
      </c>
      <c r="G302" s="62">
        <v>7766.1912580246908</v>
      </c>
      <c r="H302" s="62">
        <v>-5950.6663000000035</v>
      </c>
      <c r="I302" s="62">
        <v>0</v>
      </c>
      <c r="J302" s="62"/>
      <c r="K302" s="62">
        <v>-247.29870000000003</v>
      </c>
      <c r="L302" s="62">
        <v>520.57260000000008</v>
      </c>
      <c r="M302" s="62">
        <v>965.93220000000008</v>
      </c>
      <c r="N302" s="62">
        <v>600.67650000000003</v>
      </c>
      <c r="O302" s="62">
        <v>0</v>
      </c>
      <c r="P302" s="62"/>
      <c r="Q302" s="62">
        <v>904.81650000000002</v>
      </c>
      <c r="R302" s="62">
        <v>15011.364000000001</v>
      </c>
      <c r="S302" s="62">
        <v>5744.2182000000003</v>
      </c>
      <c r="T302" s="62">
        <v>-6415.0524000000005</v>
      </c>
      <c r="U302" s="62">
        <v>0</v>
      </c>
      <c r="V302" s="62"/>
      <c r="W302" s="62">
        <v>2682.8847000000001</v>
      </c>
      <c r="X302" s="62">
        <v>2682.8847000000001</v>
      </c>
      <c r="Y302" s="62">
        <v>2466.2466000000004</v>
      </c>
      <c r="Z302" s="62">
        <v>1135.182</v>
      </c>
      <c r="AA302" s="62">
        <v>0</v>
      </c>
      <c r="AB302" s="62"/>
      <c r="AC302" s="62">
        <v>2082.9600000000005</v>
      </c>
      <c r="AD302" s="62">
        <v>0</v>
      </c>
      <c r="AE302" s="62">
        <v>0</v>
      </c>
      <c r="AF302" s="62">
        <v>0</v>
      </c>
      <c r="AG302" s="62">
        <v>0</v>
      </c>
      <c r="AH302" s="62"/>
      <c r="AI302" s="62">
        <v>-2455.0379988422728</v>
      </c>
      <c r="AJ302" s="62">
        <v>-2271.033402161775</v>
      </c>
      <c r="AK302" s="62">
        <v>-1410.20574197531</v>
      </c>
      <c r="AL302" s="62">
        <v>-1271.4724000000024</v>
      </c>
      <c r="AM302" s="62">
        <v>0</v>
      </c>
    </row>
    <row r="303" spans="1:39">
      <c r="A303" s="9">
        <v>93151</v>
      </c>
      <c r="B303" s="10" t="s">
        <v>1679</v>
      </c>
      <c r="C303" s="60">
        <v>3.4279999999999998E-4</v>
      </c>
      <c r="E303" s="62">
        <v>23521.911977624775</v>
      </c>
      <c r="F303" s="62">
        <v>148808.44449057084</v>
      </c>
      <c r="G303" s="62">
        <v>71823.99933514405</v>
      </c>
      <c r="H303" s="62">
        <v>-43053.931920000003</v>
      </c>
      <c r="I303" s="62">
        <v>0</v>
      </c>
      <c r="J303" s="62"/>
      <c r="K303" s="62">
        <v>-2062.6275999999998</v>
      </c>
      <c r="L303" s="62">
        <v>4341.9048000000003</v>
      </c>
      <c r="M303" s="62">
        <v>8056.4856</v>
      </c>
      <c r="N303" s="62">
        <v>5010.0219999999999</v>
      </c>
      <c r="O303" s="62">
        <v>0</v>
      </c>
      <c r="P303" s="62"/>
      <c r="Q303" s="62">
        <v>7546.7419999999993</v>
      </c>
      <c r="R303" s="62">
        <v>125204.272</v>
      </c>
      <c r="S303" s="62">
        <v>47910.4136</v>
      </c>
      <c r="T303" s="62">
        <v>-53505.595199999996</v>
      </c>
      <c r="U303" s="62">
        <v>0</v>
      </c>
      <c r="V303" s="62"/>
      <c r="W303" s="62">
        <v>22376.955599999998</v>
      </c>
      <c r="X303" s="62">
        <v>22376.955599999998</v>
      </c>
      <c r="Y303" s="62">
        <v>20570.056799999998</v>
      </c>
      <c r="Z303" s="62">
        <v>9468.1360000000004</v>
      </c>
      <c r="AA303" s="62">
        <v>0</v>
      </c>
      <c r="AB303" s="62"/>
      <c r="AC303" s="62">
        <v>2085.3882614107806</v>
      </c>
      <c r="AD303" s="62">
        <v>1710.0183743568407</v>
      </c>
      <c r="AE303" s="62">
        <v>0</v>
      </c>
      <c r="AF303" s="62">
        <v>0</v>
      </c>
      <c r="AG303" s="62">
        <v>0</v>
      </c>
      <c r="AH303" s="62"/>
      <c r="AI303" s="62">
        <v>-6424.5462837860023</v>
      </c>
      <c r="AJ303" s="62">
        <v>-4824.7062837860021</v>
      </c>
      <c r="AK303" s="62">
        <v>-4712.9566648559621</v>
      </c>
      <c r="AL303" s="62">
        <v>-4026.4947199999997</v>
      </c>
      <c r="AM303" s="62">
        <v>0</v>
      </c>
    </row>
    <row r="304" spans="1:39">
      <c r="A304" s="9">
        <v>93157</v>
      </c>
      <c r="B304" s="10" t="s">
        <v>1680</v>
      </c>
      <c r="C304" s="60">
        <v>3.5999999999999998E-6</v>
      </c>
      <c r="E304" s="62">
        <v>3062.224964706043</v>
      </c>
      <c r="F304" s="62">
        <v>3061.2035057848807</v>
      </c>
      <c r="G304" s="62">
        <v>2314.2398283127573</v>
      </c>
      <c r="H304" s="62">
        <v>435.07975999999979</v>
      </c>
      <c r="I304" s="62">
        <v>0</v>
      </c>
      <c r="J304" s="62"/>
      <c r="K304" s="62">
        <v>-21.661199999999997</v>
      </c>
      <c r="L304" s="62">
        <v>45.5976</v>
      </c>
      <c r="M304" s="62">
        <v>84.607199999999992</v>
      </c>
      <c r="N304" s="62">
        <v>52.613999999999997</v>
      </c>
      <c r="O304" s="62">
        <v>0</v>
      </c>
      <c r="P304" s="62"/>
      <c r="Q304" s="62">
        <v>79.253999999999991</v>
      </c>
      <c r="R304" s="62">
        <v>1314.864</v>
      </c>
      <c r="S304" s="62">
        <v>503.14319999999998</v>
      </c>
      <c r="T304" s="62">
        <v>-561.90239999999994</v>
      </c>
      <c r="U304" s="62">
        <v>0</v>
      </c>
      <c r="V304" s="62"/>
      <c r="W304" s="62">
        <v>234.99719999999999</v>
      </c>
      <c r="X304" s="62">
        <v>234.99719999999999</v>
      </c>
      <c r="Y304" s="62">
        <v>216.02159999999998</v>
      </c>
      <c r="Z304" s="62">
        <v>99.432000000000002</v>
      </c>
      <c r="AA304" s="62">
        <v>0</v>
      </c>
      <c r="AB304" s="62"/>
      <c r="AC304" s="62">
        <v>2956.3001929218108</v>
      </c>
      <c r="AD304" s="62">
        <v>1618.8101929218105</v>
      </c>
      <c r="AE304" s="62">
        <v>1510.4678283127573</v>
      </c>
      <c r="AF304" s="62">
        <v>844.93615999999975</v>
      </c>
      <c r="AG304" s="62">
        <v>0</v>
      </c>
      <c r="AH304" s="62"/>
      <c r="AI304" s="62">
        <v>-186.6652282157678</v>
      </c>
      <c r="AJ304" s="62">
        <v>-153.06548713692965</v>
      </c>
      <c r="AK304" s="62">
        <v>0</v>
      </c>
      <c r="AL304" s="62">
        <v>0</v>
      </c>
      <c r="AM304" s="62">
        <v>0</v>
      </c>
    </row>
    <row r="305" spans="1:39">
      <c r="A305" s="9">
        <v>93161</v>
      </c>
      <c r="B305" s="10" t="s">
        <v>1681</v>
      </c>
      <c r="C305" s="60">
        <v>1.038E-4</v>
      </c>
      <c r="E305" s="62">
        <v>21391.854717364215</v>
      </c>
      <c r="F305" s="62">
        <v>54359.855038609021</v>
      </c>
      <c r="G305" s="62">
        <v>30869.260069547327</v>
      </c>
      <c r="H305" s="62">
        <v>-4834.3162000000002</v>
      </c>
      <c r="I305" s="62">
        <v>0</v>
      </c>
      <c r="J305" s="62"/>
      <c r="K305" s="62">
        <v>-624.56460000000004</v>
      </c>
      <c r="L305" s="62">
        <v>1314.7308</v>
      </c>
      <c r="M305" s="62">
        <v>2439.5075999999999</v>
      </c>
      <c r="N305" s="62">
        <v>1517.037</v>
      </c>
      <c r="O305" s="62">
        <v>0</v>
      </c>
      <c r="P305" s="62"/>
      <c r="Q305" s="62">
        <v>2285.1570000000002</v>
      </c>
      <c r="R305" s="62">
        <v>37911.912000000004</v>
      </c>
      <c r="S305" s="62">
        <v>14507.295599999999</v>
      </c>
      <c r="T305" s="62">
        <v>-16201.519200000001</v>
      </c>
      <c r="U305" s="62">
        <v>0</v>
      </c>
      <c r="V305" s="62"/>
      <c r="W305" s="62">
        <v>6775.7525999999998</v>
      </c>
      <c r="X305" s="62">
        <v>6775.7525999999998</v>
      </c>
      <c r="Y305" s="62">
        <v>6228.6228000000001</v>
      </c>
      <c r="Z305" s="62">
        <v>2866.9560000000001</v>
      </c>
      <c r="AA305" s="62">
        <v>0</v>
      </c>
      <c r="AB305" s="62"/>
      <c r="AC305" s="62">
        <v>12955.509717364213</v>
      </c>
      <c r="AD305" s="62">
        <v>8357.4596386090234</v>
      </c>
      <c r="AE305" s="62">
        <v>7693.8340695473271</v>
      </c>
      <c r="AF305" s="62">
        <v>6983.21</v>
      </c>
      <c r="AG305" s="62">
        <v>0</v>
      </c>
      <c r="AH305" s="62"/>
      <c r="AI305" s="62">
        <v>0</v>
      </c>
      <c r="AJ305" s="62">
        <v>0</v>
      </c>
      <c r="AK305" s="62">
        <v>0</v>
      </c>
      <c r="AL305" s="62">
        <v>0</v>
      </c>
      <c r="AM305" s="62">
        <v>0</v>
      </c>
    </row>
    <row r="306" spans="1:39">
      <c r="A306" s="9">
        <v>93171</v>
      </c>
      <c r="B306" s="10" t="s">
        <v>1682</v>
      </c>
      <c r="C306" s="60">
        <v>5.2000000000000002E-6</v>
      </c>
      <c r="E306" s="62">
        <v>1211.4031457964925</v>
      </c>
      <c r="F306" s="62">
        <v>2869.7488744271977</v>
      </c>
      <c r="G306" s="62">
        <v>1567.0843139094648</v>
      </c>
      <c r="H306" s="62">
        <v>-392.24024000000037</v>
      </c>
      <c r="I306" s="62">
        <v>0</v>
      </c>
      <c r="J306" s="62"/>
      <c r="K306" s="62">
        <v>-31.288400000000003</v>
      </c>
      <c r="L306" s="62">
        <v>65.863200000000006</v>
      </c>
      <c r="M306" s="62">
        <v>122.21040000000001</v>
      </c>
      <c r="N306" s="62">
        <v>75.998000000000005</v>
      </c>
      <c r="O306" s="62">
        <v>0</v>
      </c>
      <c r="P306" s="62"/>
      <c r="Q306" s="62">
        <v>114.47800000000001</v>
      </c>
      <c r="R306" s="62">
        <v>1899.248</v>
      </c>
      <c r="S306" s="62">
        <v>726.76240000000007</v>
      </c>
      <c r="T306" s="62">
        <v>-811.63679999999999</v>
      </c>
      <c r="U306" s="62">
        <v>0</v>
      </c>
      <c r="V306" s="62"/>
      <c r="W306" s="62">
        <v>339.44040000000001</v>
      </c>
      <c r="X306" s="62">
        <v>339.44040000000001</v>
      </c>
      <c r="Y306" s="62">
        <v>312.03120000000001</v>
      </c>
      <c r="Z306" s="62">
        <v>143.624</v>
      </c>
      <c r="AA306" s="62">
        <v>0</v>
      </c>
      <c r="AB306" s="62"/>
      <c r="AC306" s="62">
        <v>788.77314579649237</v>
      </c>
      <c r="AD306" s="62">
        <v>565.19727442719773</v>
      </c>
      <c r="AE306" s="62">
        <v>406.08031390946456</v>
      </c>
      <c r="AF306" s="62">
        <v>199.77455999999955</v>
      </c>
      <c r="AG306" s="62">
        <v>0</v>
      </c>
      <c r="AH306" s="62"/>
      <c r="AI306" s="62">
        <v>0</v>
      </c>
      <c r="AJ306" s="62">
        <v>0</v>
      </c>
      <c r="AK306" s="62">
        <v>0</v>
      </c>
      <c r="AL306" s="62">
        <v>0</v>
      </c>
      <c r="AM306" s="62">
        <v>0</v>
      </c>
    </row>
    <row r="307" spans="1:39">
      <c r="A307" s="9">
        <v>93181</v>
      </c>
      <c r="B307" s="10" t="s">
        <v>1683</v>
      </c>
      <c r="C307" s="60">
        <v>1.13E-5</v>
      </c>
      <c r="E307" s="62">
        <v>1327.7261868432283</v>
      </c>
      <c r="F307" s="62">
        <v>5126.0459295818182</v>
      </c>
      <c r="G307" s="62">
        <v>2648.2228584362138</v>
      </c>
      <c r="H307" s="62">
        <v>-1195.0885000000005</v>
      </c>
      <c r="I307" s="62">
        <v>0</v>
      </c>
      <c r="J307" s="62"/>
      <c r="K307" s="62">
        <v>-67.992100000000008</v>
      </c>
      <c r="L307" s="62">
        <v>143.1258</v>
      </c>
      <c r="M307" s="62">
        <v>265.57260000000002</v>
      </c>
      <c r="N307" s="62">
        <v>165.14950000000002</v>
      </c>
      <c r="O307" s="62">
        <v>0</v>
      </c>
      <c r="P307" s="62"/>
      <c r="Q307" s="62">
        <v>248.76949999999999</v>
      </c>
      <c r="R307" s="62">
        <v>4127.2120000000004</v>
      </c>
      <c r="S307" s="62">
        <v>1579.3106</v>
      </c>
      <c r="T307" s="62">
        <v>-1763.7492</v>
      </c>
      <c r="U307" s="62">
        <v>0</v>
      </c>
      <c r="V307" s="62"/>
      <c r="W307" s="62">
        <v>737.63009999999997</v>
      </c>
      <c r="X307" s="62">
        <v>737.63009999999997</v>
      </c>
      <c r="Y307" s="62">
        <v>678.06780000000003</v>
      </c>
      <c r="Z307" s="62">
        <v>312.10599999999999</v>
      </c>
      <c r="AA307" s="62">
        <v>0</v>
      </c>
      <c r="AB307" s="62"/>
      <c r="AC307" s="62">
        <v>424.81503539094626</v>
      </c>
      <c r="AD307" s="62">
        <v>130.78503539094618</v>
      </c>
      <c r="AE307" s="62">
        <v>125.27185843621365</v>
      </c>
      <c r="AF307" s="62">
        <v>91.405199999999411</v>
      </c>
      <c r="AG307" s="62">
        <v>0</v>
      </c>
      <c r="AH307" s="62"/>
      <c r="AI307" s="62">
        <v>-15.496348547717815</v>
      </c>
      <c r="AJ307" s="62">
        <v>-12.707005809128614</v>
      </c>
      <c r="AK307" s="62">
        <v>0</v>
      </c>
      <c r="AL307" s="62">
        <v>0</v>
      </c>
      <c r="AM307" s="62">
        <v>0</v>
      </c>
    </row>
    <row r="308" spans="1:39">
      <c r="A308" s="9">
        <v>93191</v>
      </c>
      <c r="B308" s="10" t="s">
        <v>1684</v>
      </c>
      <c r="C308" s="60">
        <v>2.4600000000000002E-5</v>
      </c>
      <c r="E308" s="62">
        <v>1837.1711140105522</v>
      </c>
      <c r="F308" s="62">
        <v>11221.705212599765</v>
      </c>
      <c r="G308" s="62">
        <v>5054.471353086421</v>
      </c>
      <c r="H308" s="62">
        <v>-3249.573800000001</v>
      </c>
      <c r="I308" s="62">
        <v>0</v>
      </c>
      <c r="J308" s="62"/>
      <c r="K308" s="62">
        <v>-148.01820000000001</v>
      </c>
      <c r="L308" s="62">
        <v>311.58360000000005</v>
      </c>
      <c r="M308" s="62">
        <v>578.14920000000006</v>
      </c>
      <c r="N308" s="62">
        <v>359.529</v>
      </c>
      <c r="O308" s="62">
        <v>0</v>
      </c>
      <c r="P308" s="62"/>
      <c r="Q308" s="62">
        <v>541.56900000000007</v>
      </c>
      <c r="R308" s="62">
        <v>8984.9040000000005</v>
      </c>
      <c r="S308" s="62">
        <v>3438.1452000000004</v>
      </c>
      <c r="T308" s="62">
        <v>-3839.6664000000001</v>
      </c>
      <c r="U308" s="62">
        <v>0</v>
      </c>
      <c r="V308" s="62"/>
      <c r="W308" s="62">
        <v>1605.8142</v>
      </c>
      <c r="X308" s="62">
        <v>1605.8142</v>
      </c>
      <c r="Y308" s="62">
        <v>1476.1476</v>
      </c>
      <c r="Z308" s="62">
        <v>679.452</v>
      </c>
      <c r="AA308" s="62">
        <v>0</v>
      </c>
      <c r="AB308" s="62"/>
      <c r="AC308" s="62">
        <v>934.1545140105527</v>
      </c>
      <c r="AD308" s="62">
        <v>768.29181259976474</v>
      </c>
      <c r="AE308" s="62">
        <v>10.917753086420477</v>
      </c>
      <c r="AF308" s="62">
        <v>0</v>
      </c>
      <c r="AG308" s="62">
        <v>0</v>
      </c>
      <c r="AH308" s="62"/>
      <c r="AI308" s="62">
        <v>-1096.3484000000008</v>
      </c>
      <c r="AJ308" s="62">
        <v>-448.8884000000005</v>
      </c>
      <c r="AK308" s="62">
        <v>-448.8884000000005</v>
      </c>
      <c r="AL308" s="62">
        <v>-448.8884000000005</v>
      </c>
      <c r="AM308" s="62">
        <v>0</v>
      </c>
    </row>
    <row r="309" spans="1:39">
      <c r="A309" s="9">
        <v>93201</v>
      </c>
      <c r="B309" s="10" t="s">
        <v>1685</v>
      </c>
      <c r="C309" s="60">
        <v>1.5517E-2</v>
      </c>
      <c r="E309" s="62">
        <v>1657575.5946195142</v>
      </c>
      <c r="F309" s="62">
        <v>7088727.2895055721</v>
      </c>
      <c r="G309" s="62">
        <v>3510923.0846651043</v>
      </c>
      <c r="H309" s="62">
        <v>-1818199.8499599979</v>
      </c>
      <c r="I309" s="62">
        <v>0</v>
      </c>
      <c r="J309" s="62"/>
      <c r="K309" s="62">
        <v>-93365.789000000004</v>
      </c>
      <c r="L309" s="62">
        <v>196538.32199999999</v>
      </c>
      <c r="M309" s="62">
        <v>364680.53399999999</v>
      </c>
      <c r="N309" s="62">
        <v>226780.95499999999</v>
      </c>
      <c r="O309" s="62">
        <v>0</v>
      </c>
      <c r="P309" s="62"/>
      <c r="Q309" s="62">
        <v>341606.755</v>
      </c>
      <c r="R309" s="62">
        <v>5667429.0800000001</v>
      </c>
      <c r="S309" s="62">
        <v>2168686.9539999999</v>
      </c>
      <c r="T309" s="62">
        <v>-2421955.4279999998</v>
      </c>
      <c r="U309" s="62">
        <v>0</v>
      </c>
      <c r="V309" s="62"/>
      <c r="W309" s="62">
        <v>1012903.2089999999</v>
      </c>
      <c r="X309" s="62">
        <v>1012903.2089999999</v>
      </c>
      <c r="Y309" s="62">
        <v>931113.10199999996</v>
      </c>
      <c r="Z309" s="62">
        <v>428579.54</v>
      </c>
      <c r="AA309" s="62">
        <v>0</v>
      </c>
      <c r="AB309" s="62"/>
      <c r="AC309" s="62">
        <v>448036.33657951257</v>
      </c>
      <c r="AD309" s="62">
        <v>263461.59546557069</v>
      </c>
      <c r="AE309" s="62">
        <v>98047.411625102759</v>
      </c>
      <c r="AF309" s="62">
        <v>0</v>
      </c>
      <c r="AG309" s="62">
        <v>0</v>
      </c>
      <c r="AH309" s="62"/>
      <c r="AI309" s="62">
        <v>-51604.916959998198</v>
      </c>
      <c r="AJ309" s="62">
        <v>-51604.916959998198</v>
      </c>
      <c r="AK309" s="62">
        <v>-51604.916959998198</v>
      </c>
      <c r="AL309" s="62">
        <v>-51604.916959998198</v>
      </c>
      <c r="AM309" s="62">
        <v>0</v>
      </c>
    </row>
    <row r="310" spans="1:39">
      <c r="A310" s="9">
        <v>93202</v>
      </c>
      <c r="B310" s="10" t="s">
        <v>1684</v>
      </c>
      <c r="C310" s="60">
        <v>0</v>
      </c>
      <c r="E310" s="62">
        <v>-109337.3776082168</v>
      </c>
      <c r="F310" s="62">
        <v>-78125.882616515577</v>
      </c>
      <c r="G310" s="62">
        <v>-25055.947960493835</v>
      </c>
      <c r="H310" s="62">
        <v>0</v>
      </c>
      <c r="I310" s="62">
        <v>0</v>
      </c>
      <c r="J310" s="62"/>
      <c r="K310" s="62">
        <v>0</v>
      </c>
      <c r="L310" s="62">
        <v>0</v>
      </c>
      <c r="M310" s="62">
        <v>0</v>
      </c>
      <c r="N310" s="62">
        <v>0</v>
      </c>
      <c r="O310" s="62">
        <v>0</v>
      </c>
      <c r="P310" s="62"/>
      <c r="Q310" s="62">
        <v>0</v>
      </c>
      <c r="R310" s="62">
        <v>0</v>
      </c>
      <c r="S310" s="62">
        <v>0</v>
      </c>
      <c r="T310" s="62">
        <v>0</v>
      </c>
      <c r="U310" s="62">
        <v>0</v>
      </c>
      <c r="V310" s="62"/>
      <c r="W310" s="62">
        <v>0</v>
      </c>
      <c r="X310" s="62">
        <v>0</v>
      </c>
      <c r="Y310" s="62">
        <v>0</v>
      </c>
      <c r="Z310" s="62">
        <v>0</v>
      </c>
      <c r="AA310" s="62">
        <v>0</v>
      </c>
      <c r="AB310" s="62"/>
      <c r="AC310" s="62">
        <v>0</v>
      </c>
      <c r="AD310" s="62">
        <v>0</v>
      </c>
      <c r="AE310" s="62">
        <v>0</v>
      </c>
      <c r="AF310" s="62">
        <v>0</v>
      </c>
      <c r="AG310" s="62">
        <v>0</v>
      </c>
      <c r="AH310" s="62"/>
      <c r="AI310" s="62">
        <v>-109337.3776082168</v>
      </c>
      <c r="AJ310" s="62">
        <v>-78125.882616515577</v>
      </c>
      <c r="AK310" s="62">
        <v>-25055.947960493835</v>
      </c>
      <c r="AL310" s="62">
        <v>0</v>
      </c>
      <c r="AM310" s="62">
        <v>0</v>
      </c>
    </row>
    <row r="311" spans="1:39">
      <c r="A311" s="9">
        <v>93204</v>
      </c>
      <c r="B311" s="10" t="s">
        <v>1687</v>
      </c>
      <c r="C311" s="60">
        <v>3.0279999999999999E-4</v>
      </c>
      <c r="E311" s="62">
        <v>25440.016334557316</v>
      </c>
      <c r="F311" s="62">
        <v>139394.55909098886</v>
      </c>
      <c r="G311" s="62">
        <v>71243.722696625497</v>
      </c>
      <c r="H311" s="62">
        <v>-29425.465840000001</v>
      </c>
      <c r="I311" s="62">
        <v>0</v>
      </c>
      <c r="J311" s="62"/>
      <c r="K311" s="62">
        <v>-1821.9476</v>
      </c>
      <c r="L311" s="62">
        <v>3835.2647999999999</v>
      </c>
      <c r="M311" s="62">
        <v>7116.4056</v>
      </c>
      <c r="N311" s="62">
        <v>4425.4219999999996</v>
      </c>
      <c r="O311" s="62">
        <v>0</v>
      </c>
      <c r="P311" s="62"/>
      <c r="Q311" s="62">
        <v>6666.1419999999998</v>
      </c>
      <c r="R311" s="62">
        <v>110594.67199999999</v>
      </c>
      <c r="S311" s="62">
        <v>42319.933599999997</v>
      </c>
      <c r="T311" s="62">
        <v>-47262.235199999996</v>
      </c>
      <c r="U311" s="62">
        <v>0</v>
      </c>
      <c r="V311" s="62"/>
      <c r="W311" s="62">
        <v>19765.875599999999</v>
      </c>
      <c r="X311" s="62">
        <v>19765.875599999999</v>
      </c>
      <c r="Y311" s="62">
        <v>18169.816800000001</v>
      </c>
      <c r="Z311" s="62">
        <v>8363.3359999999993</v>
      </c>
      <c r="AA311" s="62">
        <v>0</v>
      </c>
      <c r="AB311" s="62"/>
      <c r="AC311" s="62">
        <v>7231.8982687136913</v>
      </c>
      <c r="AD311" s="62">
        <v>6838.7986251452257</v>
      </c>
      <c r="AE311" s="62">
        <v>5048.0113599999922</v>
      </c>
      <c r="AF311" s="62">
        <v>5048.0113599999922</v>
      </c>
      <c r="AG311" s="62">
        <v>0</v>
      </c>
      <c r="AH311" s="62"/>
      <c r="AI311" s="62">
        <v>-6401.9519341563755</v>
      </c>
      <c r="AJ311" s="62">
        <v>-1640.0519341563738</v>
      </c>
      <c r="AK311" s="62">
        <v>-1410.4446633744819</v>
      </c>
      <c r="AL311" s="62">
        <v>0</v>
      </c>
      <c r="AM311" s="62">
        <v>0</v>
      </c>
    </row>
    <row r="312" spans="1:39">
      <c r="A312" s="9">
        <v>93209</v>
      </c>
      <c r="B312" s="10" t="s">
        <v>1688</v>
      </c>
      <c r="C312" s="60">
        <v>4.6693999999999998E-3</v>
      </c>
      <c r="E312" s="62">
        <v>926902.50021005177</v>
      </c>
      <c r="F312" s="62">
        <v>2240578.6781038274</v>
      </c>
      <c r="G312" s="62">
        <v>1145636.939164774</v>
      </c>
      <c r="H312" s="62">
        <v>-514947.4681199998</v>
      </c>
      <c r="I312" s="62">
        <v>0</v>
      </c>
      <c r="J312" s="62"/>
      <c r="K312" s="62">
        <v>-28095.7798</v>
      </c>
      <c r="L312" s="62">
        <v>59142.6204</v>
      </c>
      <c r="M312" s="62">
        <v>109740.23879999999</v>
      </c>
      <c r="N312" s="62">
        <v>68243.281000000003</v>
      </c>
      <c r="O312" s="62">
        <v>0</v>
      </c>
      <c r="P312" s="62"/>
      <c r="Q312" s="62">
        <v>102796.841</v>
      </c>
      <c r="R312" s="62">
        <v>1705451.656</v>
      </c>
      <c r="S312" s="62">
        <v>652604.68279999995</v>
      </c>
      <c r="T312" s="62">
        <v>-728818.62959999999</v>
      </c>
      <c r="U312" s="62">
        <v>0</v>
      </c>
      <c r="V312" s="62"/>
      <c r="W312" s="62">
        <v>304804.42379999999</v>
      </c>
      <c r="X312" s="62">
        <v>304804.42379999999</v>
      </c>
      <c r="Y312" s="62">
        <v>280192.01639999996</v>
      </c>
      <c r="Z312" s="62">
        <v>128968.82799999999</v>
      </c>
      <c r="AA312" s="62">
        <v>0</v>
      </c>
      <c r="AB312" s="62"/>
      <c r="AC312" s="62">
        <v>547397.01521005179</v>
      </c>
      <c r="AD312" s="62">
        <v>171179.97790382768</v>
      </c>
      <c r="AE312" s="62">
        <v>103100.00116477399</v>
      </c>
      <c r="AF312" s="62">
        <v>16659.052480000257</v>
      </c>
      <c r="AG312" s="62">
        <v>0</v>
      </c>
      <c r="AH312" s="62"/>
      <c r="AI312" s="62">
        <v>0</v>
      </c>
      <c r="AJ312" s="62">
        <v>0</v>
      </c>
      <c r="AK312" s="62">
        <v>0</v>
      </c>
      <c r="AL312" s="62">
        <v>0</v>
      </c>
      <c r="AM312" s="62">
        <v>0</v>
      </c>
    </row>
    <row r="313" spans="1:39">
      <c r="A313" s="9">
        <v>93211</v>
      </c>
      <c r="B313" s="10" t="s">
        <v>1689</v>
      </c>
      <c r="C313" s="60">
        <v>2.0374099999999999E-2</v>
      </c>
      <c r="E313" s="62">
        <v>1150618.970681</v>
      </c>
      <c r="F313" s="62">
        <v>8737303.062823737</v>
      </c>
      <c r="G313" s="62">
        <v>4373871.0688818106</v>
      </c>
      <c r="H313" s="62">
        <v>-2338102.0631399998</v>
      </c>
      <c r="I313" s="62">
        <v>0</v>
      </c>
      <c r="J313" s="62"/>
      <c r="K313" s="62">
        <v>-122590.95969999999</v>
      </c>
      <c r="L313" s="62">
        <v>258058.35059999998</v>
      </c>
      <c r="M313" s="62">
        <v>478832.09820000001</v>
      </c>
      <c r="N313" s="62">
        <v>297767.47149999999</v>
      </c>
      <c r="O313" s="62">
        <v>0</v>
      </c>
      <c r="P313" s="62"/>
      <c r="Q313" s="62">
        <v>448535.81149999995</v>
      </c>
      <c r="R313" s="62">
        <v>7441436.284</v>
      </c>
      <c r="S313" s="62">
        <v>2847524.9641999998</v>
      </c>
      <c r="T313" s="62">
        <v>-3180071.0244</v>
      </c>
      <c r="U313" s="62">
        <v>0</v>
      </c>
      <c r="V313" s="62"/>
      <c r="W313" s="62">
        <v>1329960.1257</v>
      </c>
      <c r="X313" s="62">
        <v>1329960.1257</v>
      </c>
      <c r="Y313" s="62">
        <v>1222568.2445999999</v>
      </c>
      <c r="Z313" s="62">
        <v>562732.64199999999</v>
      </c>
      <c r="AA313" s="62">
        <v>0</v>
      </c>
      <c r="AB313" s="62"/>
      <c r="AC313" s="62">
        <v>0</v>
      </c>
      <c r="AD313" s="62">
        <v>0</v>
      </c>
      <c r="AE313" s="62">
        <v>0</v>
      </c>
      <c r="AF313" s="62">
        <v>0</v>
      </c>
      <c r="AG313" s="62">
        <v>0</v>
      </c>
      <c r="AH313" s="62"/>
      <c r="AI313" s="62">
        <v>-505286.00681899989</v>
      </c>
      <c r="AJ313" s="62">
        <v>-292151.69747626135</v>
      </c>
      <c r="AK313" s="62">
        <v>-175054.23811818921</v>
      </c>
      <c r="AL313" s="62">
        <v>-18531.152239999923</v>
      </c>
      <c r="AM313" s="62">
        <v>0</v>
      </c>
    </row>
    <row r="314" spans="1:39">
      <c r="A314" s="9">
        <v>93212</v>
      </c>
      <c r="B314" s="10" t="s">
        <v>1690</v>
      </c>
      <c r="C314" s="60">
        <v>2.2130000000000001E-4</v>
      </c>
      <c r="E314" s="62">
        <v>71411.246863665117</v>
      </c>
      <c r="F314" s="62">
        <v>146797.60703710912</v>
      </c>
      <c r="G314" s="62">
        <v>84596.378246584354</v>
      </c>
      <c r="H314" s="62">
        <v>-4098.4450600000018</v>
      </c>
      <c r="I314" s="62">
        <v>0</v>
      </c>
      <c r="J314" s="62"/>
      <c r="K314" s="62">
        <v>-1331.5621000000001</v>
      </c>
      <c r="L314" s="62">
        <v>2802.9858000000004</v>
      </c>
      <c r="M314" s="62">
        <v>5200.9926000000005</v>
      </c>
      <c r="N314" s="62">
        <v>3234.2995000000001</v>
      </c>
      <c r="O314" s="62">
        <v>0</v>
      </c>
      <c r="P314" s="62"/>
      <c r="Q314" s="62">
        <v>4871.9195</v>
      </c>
      <c r="R314" s="62">
        <v>80827.612000000008</v>
      </c>
      <c r="S314" s="62">
        <v>30929.330600000001</v>
      </c>
      <c r="T314" s="62">
        <v>-34541.389200000005</v>
      </c>
      <c r="U314" s="62">
        <v>0</v>
      </c>
      <c r="V314" s="62"/>
      <c r="W314" s="62">
        <v>14445.8001</v>
      </c>
      <c r="X314" s="62">
        <v>14445.8001</v>
      </c>
      <c r="Y314" s="62">
        <v>13279.327800000001</v>
      </c>
      <c r="Z314" s="62">
        <v>6112.3060000000005</v>
      </c>
      <c r="AA314" s="62">
        <v>0</v>
      </c>
      <c r="AB314" s="62"/>
      <c r="AC314" s="62">
        <v>53425.089363665116</v>
      </c>
      <c r="AD314" s="62">
        <v>48721.209137109101</v>
      </c>
      <c r="AE314" s="62">
        <v>35186.727246584363</v>
      </c>
      <c r="AF314" s="62">
        <v>21096.338640000002</v>
      </c>
      <c r="AG314" s="62">
        <v>0</v>
      </c>
      <c r="AH314" s="62"/>
      <c r="AI314" s="62">
        <v>0</v>
      </c>
      <c r="AJ314" s="62">
        <v>0</v>
      </c>
      <c r="AK314" s="62">
        <v>0</v>
      </c>
      <c r="AL314" s="62">
        <v>0</v>
      </c>
      <c r="AM314" s="62">
        <v>0</v>
      </c>
    </row>
    <row r="315" spans="1:39">
      <c r="A315" s="9">
        <v>93219</v>
      </c>
      <c r="B315" s="10" t="s">
        <v>1691</v>
      </c>
      <c r="C315" s="60">
        <v>2.6289999999999999E-4</v>
      </c>
      <c r="E315" s="62">
        <v>22822.067243075988</v>
      </c>
      <c r="F315" s="62">
        <v>118407.51672440377</v>
      </c>
      <c r="G315" s="62">
        <v>63313.993042633738</v>
      </c>
      <c r="H315" s="62">
        <v>-24284.524580000001</v>
      </c>
      <c r="I315" s="62">
        <v>0</v>
      </c>
      <c r="J315" s="62"/>
      <c r="K315" s="62">
        <v>-1581.8693000000001</v>
      </c>
      <c r="L315" s="62">
        <v>3329.8914</v>
      </c>
      <c r="M315" s="62">
        <v>6178.6758</v>
      </c>
      <c r="N315" s="62">
        <v>3842.2835</v>
      </c>
      <c r="O315" s="62">
        <v>0</v>
      </c>
      <c r="P315" s="62"/>
      <c r="Q315" s="62">
        <v>5787.7434999999996</v>
      </c>
      <c r="R315" s="62">
        <v>96021.59599999999</v>
      </c>
      <c r="S315" s="62">
        <v>36743.429799999998</v>
      </c>
      <c r="T315" s="62">
        <v>-41034.4836</v>
      </c>
      <c r="U315" s="62">
        <v>0</v>
      </c>
      <c r="V315" s="62"/>
      <c r="W315" s="62">
        <v>17161.3233</v>
      </c>
      <c r="X315" s="62">
        <v>17161.3233</v>
      </c>
      <c r="Y315" s="62">
        <v>15775.5774</v>
      </c>
      <c r="Z315" s="62">
        <v>7261.2979999999998</v>
      </c>
      <c r="AA315" s="62">
        <v>0</v>
      </c>
      <c r="AB315" s="62"/>
      <c r="AC315" s="62">
        <v>5767.1575200000007</v>
      </c>
      <c r="AD315" s="62">
        <v>5646.3775200000009</v>
      </c>
      <c r="AE315" s="62">
        <v>5646.3775200000009</v>
      </c>
      <c r="AF315" s="62">
        <v>5646.3775200000009</v>
      </c>
      <c r="AG315" s="62">
        <v>0</v>
      </c>
      <c r="AH315" s="62"/>
      <c r="AI315" s="62">
        <v>-4312.2877769240104</v>
      </c>
      <c r="AJ315" s="62">
        <v>-3751.6714955962093</v>
      </c>
      <c r="AK315" s="62">
        <v>-1030.0674773662627</v>
      </c>
      <c r="AL315" s="62">
        <v>0</v>
      </c>
      <c r="AM315" s="62">
        <v>0</v>
      </c>
    </row>
    <row r="316" spans="1:39">
      <c r="A316" s="9">
        <v>93301</v>
      </c>
      <c r="B316" s="10" t="s">
        <v>1692</v>
      </c>
      <c r="C316" s="60">
        <v>2.5243000000000002E-3</v>
      </c>
      <c r="E316" s="62">
        <v>185492.60695320353</v>
      </c>
      <c r="F316" s="62">
        <v>1114829.3095720417</v>
      </c>
      <c r="G316" s="62">
        <v>575345.83722411527</v>
      </c>
      <c r="H316" s="62">
        <v>-289888.07678</v>
      </c>
      <c r="I316" s="62">
        <v>0</v>
      </c>
      <c r="J316" s="62"/>
      <c r="K316" s="62">
        <v>-15188.713100000001</v>
      </c>
      <c r="L316" s="62">
        <v>31972.783800000001</v>
      </c>
      <c r="M316" s="62">
        <v>59326.098600000005</v>
      </c>
      <c r="N316" s="62">
        <v>36892.644500000002</v>
      </c>
      <c r="O316" s="62">
        <v>0</v>
      </c>
      <c r="P316" s="62"/>
      <c r="Q316" s="62">
        <v>55572.464500000002</v>
      </c>
      <c r="R316" s="62">
        <v>921975.33200000005</v>
      </c>
      <c r="S316" s="62">
        <v>352801.21660000004</v>
      </c>
      <c r="T316" s="62">
        <v>-394002.84120000002</v>
      </c>
      <c r="U316" s="62">
        <v>0</v>
      </c>
      <c r="V316" s="62"/>
      <c r="W316" s="62">
        <v>164778.7311</v>
      </c>
      <c r="X316" s="62">
        <v>164778.7311</v>
      </c>
      <c r="Y316" s="62">
        <v>151473.1458</v>
      </c>
      <c r="Z316" s="62">
        <v>69721.165999999997</v>
      </c>
      <c r="AA316" s="62">
        <v>0</v>
      </c>
      <c r="AB316" s="62"/>
      <c r="AC316" s="62">
        <v>16563.281748971134</v>
      </c>
      <c r="AD316" s="62">
        <v>16563.281748971134</v>
      </c>
      <c r="AE316" s="62">
        <v>14244.42230411518</v>
      </c>
      <c r="AF316" s="62">
        <v>0</v>
      </c>
      <c r="AG316" s="62">
        <v>0</v>
      </c>
      <c r="AH316" s="62"/>
      <c r="AI316" s="62">
        <v>-36233.157295767625</v>
      </c>
      <c r="AJ316" s="62">
        <v>-20460.819076929456</v>
      </c>
      <c r="AK316" s="62">
        <v>-2499.0460800000001</v>
      </c>
      <c r="AL316" s="62">
        <v>-2499.0460800000001</v>
      </c>
      <c r="AM316" s="62">
        <v>0</v>
      </c>
    </row>
    <row r="317" spans="1:39">
      <c r="A317" s="9">
        <v>93304</v>
      </c>
      <c r="B317" s="10" t="s">
        <v>1693</v>
      </c>
      <c r="C317" s="60">
        <v>3.0300000000000001E-5</v>
      </c>
      <c r="E317" s="62">
        <v>7580.2062100052917</v>
      </c>
      <c r="F317" s="62">
        <v>16843.042381789524</v>
      </c>
      <c r="G317" s="62">
        <v>7462.2415425514382</v>
      </c>
      <c r="H317" s="62">
        <v>-3261.056620000003</v>
      </c>
      <c r="I317" s="62">
        <v>0</v>
      </c>
      <c r="J317" s="62"/>
      <c r="K317" s="62">
        <v>-182.3151</v>
      </c>
      <c r="L317" s="62">
        <v>383.77980000000002</v>
      </c>
      <c r="M317" s="62">
        <v>712.11059999999998</v>
      </c>
      <c r="N317" s="62">
        <v>442.83449999999999</v>
      </c>
      <c r="O317" s="62">
        <v>0</v>
      </c>
      <c r="P317" s="62"/>
      <c r="Q317" s="62">
        <v>667.05450000000008</v>
      </c>
      <c r="R317" s="62">
        <v>11066.772000000001</v>
      </c>
      <c r="S317" s="62">
        <v>4234.7885999999999</v>
      </c>
      <c r="T317" s="62">
        <v>-4729.3451999999997</v>
      </c>
      <c r="U317" s="62">
        <v>0</v>
      </c>
      <c r="V317" s="62"/>
      <c r="W317" s="62">
        <v>1977.8931</v>
      </c>
      <c r="X317" s="62">
        <v>1977.8931</v>
      </c>
      <c r="Y317" s="62">
        <v>1818.1818000000001</v>
      </c>
      <c r="Z317" s="62">
        <v>836.88600000000008</v>
      </c>
      <c r="AA317" s="62">
        <v>0</v>
      </c>
      <c r="AB317" s="62"/>
      <c r="AC317" s="62">
        <v>5117.5737100052911</v>
      </c>
      <c r="AD317" s="62">
        <v>3414.597481789524</v>
      </c>
      <c r="AE317" s="62">
        <v>697.16054255143808</v>
      </c>
      <c r="AF317" s="62">
        <v>188.5680799999966</v>
      </c>
      <c r="AG317" s="62">
        <v>0</v>
      </c>
      <c r="AH317" s="62"/>
      <c r="AI317" s="62">
        <v>0</v>
      </c>
      <c r="AJ317" s="62">
        <v>0</v>
      </c>
      <c r="AK317" s="62">
        <v>0</v>
      </c>
      <c r="AL317" s="62">
        <v>0</v>
      </c>
      <c r="AM317" s="62">
        <v>0</v>
      </c>
    </row>
    <row r="318" spans="1:39">
      <c r="A318" s="9">
        <v>93305</v>
      </c>
      <c r="B318" s="10" t="s">
        <v>1694</v>
      </c>
      <c r="C318" s="60">
        <v>4.6999999999999997E-5</v>
      </c>
      <c r="E318" s="62">
        <v>1894.6336901463351</v>
      </c>
      <c r="F318" s="62">
        <v>19285.863226245921</v>
      </c>
      <c r="G318" s="62">
        <v>9136.4437705349774</v>
      </c>
      <c r="H318" s="62">
        <v>-6155.6409200000026</v>
      </c>
      <c r="I318" s="62">
        <v>0</v>
      </c>
      <c r="J318" s="62"/>
      <c r="K318" s="62">
        <v>-282.79899999999998</v>
      </c>
      <c r="L318" s="62">
        <v>595.30200000000002</v>
      </c>
      <c r="M318" s="62">
        <v>1104.5939999999998</v>
      </c>
      <c r="N318" s="62">
        <v>686.90499999999997</v>
      </c>
      <c r="O318" s="62">
        <v>0</v>
      </c>
      <c r="P318" s="62"/>
      <c r="Q318" s="62">
        <v>1034.7049999999999</v>
      </c>
      <c r="R318" s="62">
        <v>17166.28</v>
      </c>
      <c r="S318" s="62">
        <v>6568.8139999999994</v>
      </c>
      <c r="T318" s="62">
        <v>-7335.9479999999994</v>
      </c>
      <c r="U318" s="62">
        <v>0</v>
      </c>
      <c r="V318" s="62"/>
      <c r="W318" s="62">
        <v>3068.0189999999998</v>
      </c>
      <c r="X318" s="62">
        <v>3068.0189999999998</v>
      </c>
      <c r="Y318" s="62">
        <v>2820.2819999999997</v>
      </c>
      <c r="Z318" s="62">
        <v>1298.1399999999999</v>
      </c>
      <c r="AA318" s="62">
        <v>0</v>
      </c>
      <c r="AB318" s="62"/>
      <c r="AC318" s="62">
        <v>0</v>
      </c>
      <c r="AD318" s="62">
        <v>0</v>
      </c>
      <c r="AE318" s="62">
        <v>0</v>
      </c>
      <c r="AF318" s="62">
        <v>0</v>
      </c>
      <c r="AG318" s="62">
        <v>0</v>
      </c>
      <c r="AH318" s="62"/>
      <c r="AI318" s="62">
        <v>-1925.2913098536646</v>
      </c>
      <c r="AJ318" s="62">
        <v>-1543.7377737540792</v>
      </c>
      <c r="AK318" s="62">
        <v>-1357.2462294650218</v>
      </c>
      <c r="AL318" s="62">
        <v>-804.73792000000253</v>
      </c>
      <c r="AM318" s="62">
        <v>0</v>
      </c>
    </row>
    <row r="319" spans="1:39">
      <c r="A319" s="9">
        <v>93309</v>
      </c>
      <c r="B319" s="10" t="s">
        <v>1695</v>
      </c>
      <c r="C319" s="60">
        <v>1.63E-4</v>
      </c>
      <c r="E319" s="62">
        <v>20404.962849026848</v>
      </c>
      <c r="F319" s="62">
        <v>79958.668165209427</v>
      </c>
      <c r="G319" s="62">
        <v>41589.2657109465</v>
      </c>
      <c r="H319" s="62">
        <v>-17154.901880000005</v>
      </c>
      <c r="I319" s="62">
        <v>0</v>
      </c>
      <c r="J319" s="62"/>
      <c r="K319" s="62">
        <v>-980.77100000000007</v>
      </c>
      <c r="L319" s="62">
        <v>2064.558</v>
      </c>
      <c r="M319" s="62">
        <v>3830.826</v>
      </c>
      <c r="N319" s="62">
        <v>2382.2449999999999</v>
      </c>
      <c r="O319" s="62">
        <v>0</v>
      </c>
      <c r="P319" s="62"/>
      <c r="Q319" s="62">
        <v>3588.4450000000002</v>
      </c>
      <c r="R319" s="62">
        <v>59534.12</v>
      </c>
      <c r="S319" s="62">
        <v>22781.206000000002</v>
      </c>
      <c r="T319" s="62">
        <v>-25441.691999999999</v>
      </c>
      <c r="U319" s="62">
        <v>0</v>
      </c>
      <c r="V319" s="62"/>
      <c r="W319" s="62">
        <v>10640.151</v>
      </c>
      <c r="X319" s="62">
        <v>10640.151</v>
      </c>
      <c r="Y319" s="62">
        <v>9780.978000000001</v>
      </c>
      <c r="Z319" s="62">
        <v>4502.0600000000004</v>
      </c>
      <c r="AA319" s="62">
        <v>0</v>
      </c>
      <c r="AB319" s="62"/>
      <c r="AC319" s="62">
        <v>8138.2278490268491</v>
      </c>
      <c r="AD319" s="62">
        <v>7719.8391652094233</v>
      </c>
      <c r="AE319" s="62">
        <v>5196.2557109464969</v>
      </c>
      <c r="AF319" s="62">
        <v>1402.4851199999946</v>
      </c>
      <c r="AG319" s="62">
        <v>0</v>
      </c>
      <c r="AH319" s="62"/>
      <c r="AI319" s="62">
        <v>-981.09000000000026</v>
      </c>
      <c r="AJ319" s="62">
        <v>0</v>
      </c>
      <c r="AK319" s="62">
        <v>0</v>
      </c>
      <c r="AL319" s="62">
        <v>0</v>
      </c>
      <c r="AM319" s="62">
        <v>0</v>
      </c>
    </row>
    <row r="320" spans="1:39">
      <c r="A320" s="9">
        <v>93311</v>
      </c>
      <c r="B320" s="10" t="s">
        <v>1696</v>
      </c>
      <c r="C320" s="60">
        <v>1.1665E-3</v>
      </c>
      <c r="E320" s="62">
        <v>57219.705993241703</v>
      </c>
      <c r="F320" s="62">
        <v>489704.48028884339</v>
      </c>
      <c r="G320" s="62">
        <v>242829.51000255134</v>
      </c>
      <c r="H320" s="62">
        <v>-132380.16106000007</v>
      </c>
      <c r="I320" s="62">
        <v>0</v>
      </c>
      <c r="J320" s="62"/>
      <c r="K320" s="62">
        <v>-7018.8305</v>
      </c>
      <c r="L320" s="62">
        <v>14774.888999999999</v>
      </c>
      <c r="M320" s="62">
        <v>27415.082999999999</v>
      </c>
      <c r="N320" s="62">
        <v>17048.397499999999</v>
      </c>
      <c r="O320" s="62">
        <v>0</v>
      </c>
      <c r="P320" s="62"/>
      <c r="Q320" s="62">
        <v>25680.497500000001</v>
      </c>
      <c r="R320" s="62">
        <v>426052.46</v>
      </c>
      <c r="S320" s="62">
        <v>163032.37299999999</v>
      </c>
      <c r="T320" s="62">
        <v>-182071.986</v>
      </c>
      <c r="U320" s="62">
        <v>0</v>
      </c>
      <c r="V320" s="62"/>
      <c r="W320" s="62">
        <v>76145.620500000005</v>
      </c>
      <c r="X320" s="62">
        <v>76145.620500000005</v>
      </c>
      <c r="Y320" s="62">
        <v>69996.998999999996</v>
      </c>
      <c r="Z320" s="62">
        <v>32218.73</v>
      </c>
      <c r="AA320" s="62">
        <v>0</v>
      </c>
      <c r="AB320" s="62"/>
      <c r="AC320" s="62">
        <v>424.69743999992511</v>
      </c>
      <c r="AD320" s="62">
        <v>424.69743999992511</v>
      </c>
      <c r="AE320" s="62">
        <v>424.69743999992511</v>
      </c>
      <c r="AF320" s="62">
        <v>424.69743999992511</v>
      </c>
      <c r="AG320" s="62">
        <v>0</v>
      </c>
      <c r="AH320" s="62"/>
      <c r="AI320" s="62">
        <v>-38012.278946758233</v>
      </c>
      <c r="AJ320" s="62">
        <v>-27693.186651156575</v>
      </c>
      <c r="AK320" s="62">
        <v>-18039.642437448598</v>
      </c>
      <c r="AL320" s="62">
        <v>0</v>
      </c>
      <c r="AM320" s="62">
        <v>0</v>
      </c>
    </row>
    <row r="321" spans="1:39">
      <c r="A321" s="9">
        <v>93317</v>
      </c>
      <c r="B321" s="10" t="s">
        <v>1697</v>
      </c>
      <c r="C321" s="60">
        <v>5.0099999999999998E-5</v>
      </c>
      <c r="E321" s="62">
        <v>4051.2070599262315</v>
      </c>
      <c r="F321" s="62">
        <v>22454.327904739508</v>
      </c>
      <c r="G321" s="62">
        <v>11392.106064444442</v>
      </c>
      <c r="H321" s="62">
        <v>-5612.7389800000001</v>
      </c>
      <c r="I321" s="62">
        <v>0</v>
      </c>
      <c r="J321" s="62"/>
      <c r="K321" s="62">
        <v>-301.45170000000002</v>
      </c>
      <c r="L321" s="62">
        <v>634.56659999999999</v>
      </c>
      <c r="M321" s="62">
        <v>1177.4502</v>
      </c>
      <c r="N321" s="62">
        <v>732.2115</v>
      </c>
      <c r="O321" s="62">
        <v>0</v>
      </c>
      <c r="P321" s="62"/>
      <c r="Q321" s="62">
        <v>1102.9514999999999</v>
      </c>
      <c r="R321" s="62">
        <v>18298.523999999998</v>
      </c>
      <c r="S321" s="62">
        <v>7002.0761999999995</v>
      </c>
      <c r="T321" s="62">
        <v>-7819.8083999999999</v>
      </c>
      <c r="U321" s="62">
        <v>0</v>
      </c>
      <c r="V321" s="62"/>
      <c r="W321" s="62">
        <v>3270.3777</v>
      </c>
      <c r="X321" s="62">
        <v>3270.3777</v>
      </c>
      <c r="Y321" s="62">
        <v>3006.3006</v>
      </c>
      <c r="Z321" s="62">
        <v>1383.7619999999999</v>
      </c>
      <c r="AA321" s="62">
        <v>0</v>
      </c>
      <c r="AB321" s="62"/>
      <c r="AC321" s="62">
        <v>256.5295599262318</v>
      </c>
      <c r="AD321" s="62">
        <v>250.85960473950985</v>
      </c>
      <c r="AE321" s="62">
        <v>206.27906444444329</v>
      </c>
      <c r="AF321" s="62">
        <v>91.095919999999751</v>
      </c>
      <c r="AG321" s="62">
        <v>0</v>
      </c>
      <c r="AH321" s="62"/>
      <c r="AI321" s="62">
        <v>-277.20000000000005</v>
      </c>
      <c r="AJ321" s="62">
        <v>0</v>
      </c>
      <c r="AK321" s="62">
        <v>0</v>
      </c>
      <c r="AL321" s="62">
        <v>0</v>
      </c>
      <c r="AM321" s="62">
        <v>0</v>
      </c>
    </row>
    <row r="322" spans="1:39">
      <c r="A322" s="9">
        <v>93321</v>
      </c>
      <c r="B322" s="10" t="s">
        <v>1698</v>
      </c>
      <c r="C322" s="60">
        <v>7.3600000000000002E-3</v>
      </c>
      <c r="E322" s="62">
        <v>269587.01659800485</v>
      </c>
      <c r="F322" s="62">
        <v>3084604.6576300384</v>
      </c>
      <c r="G322" s="62">
        <v>1520527.5977183543</v>
      </c>
      <c r="H322" s="62">
        <v>-891058.32808000001</v>
      </c>
      <c r="I322" s="62">
        <v>0</v>
      </c>
      <c r="J322" s="62"/>
      <c r="K322" s="62">
        <v>-44285.120000000003</v>
      </c>
      <c r="L322" s="62">
        <v>93221.760000000009</v>
      </c>
      <c r="M322" s="62">
        <v>172974.72</v>
      </c>
      <c r="N322" s="62">
        <v>107566.40000000001</v>
      </c>
      <c r="O322" s="62">
        <v>0</v>
      </c>
      <c r="P322" s="62"/>
      <c r="Q322" s="62">
        <v>162030.39999999999</v>
      </c>
      <c r="R322" s="62">
        <v>2688166.4</v>
      </c>
      <c r="S322" s="62">
        <v>1028648.3200000001</v>
      </c>
      <c r="T322" s="62">
        <v>-1148778.24</v>
      </c>
      <c r="U322" s="62">
        <v>0</v>
      </c>
      <c r="V322" s="62"/>
      <c r="W322" s="62">
        <v>480438.72000000003</v>
      </c>
      <c r="X322" s="62">
        <v>480438.72000000003</v>
      </c>
      <c r="Y322" s="62">
        <v>441644.16000000003</v>
      </c>
      <c r="Z322" s="62">
        <v>203283.20000000001</v>
      </c>
      <c r="AA322" s="62">
        <v>0</v>
      </c>
      <c r="AB322" s="62"/>
      <c r="AC322" s="62">
        <v>0</v>
      </c>
      <c r="AD322" s="62">
        <v>0</v>
      </c>
      <c r="AE322" s="62">
        <v>0</v>
      </c>
      <c r="AF322" s="62">
        <v>0</v>
      </c>
      <c r="AG322" s="62">
        <v>0</v>
      </c>
      <c r="AH322" s="62"/>
      <c r="AI322" s="62">
        <v>-328596.98340199515</v>
      </c>
      <c r="AJ322" s="62">
        <v>-177222.22236996185</v>
      </c>
      <c r="AK322" s="62">
        <v>-122739.60228164592</v>
      </c>
      <c r="AL322" s="62">
        <v>-53129.688080000138</v>
      </c>
      <c r="AM322" s="62">
        <v>0</v>
      </c>
    </row>
    <row r="323" spans="1:39">
      <c r="A323" s="9">
        <v>93323</v>
      </c>
      <c r="B323" s="10" t="s">
        <v>1699</v>
      </c>
      <c r="C323" s="60">
        <v>2.19E-5</v>
      </c>
      <c r="E323" s="62">
        <v>4293.1381902877238</v>
      </c>
      <c r="F323" s="62">
        <v>11559.838340495193</v>
      </c>
      <c r="G323" s="62">
        <v>6293.6540786831283</v>
      </c>
      <c r="H323" s="62">
        <v>-758.34245999999985</v>
      </c>
      <c r="I323" s="62">
        <v>0</v>
      </c>
      <c r="J323" s="62"/>
      <c r="K323" s="62">
        <v>-131.7723</v>
      </c>
      <c r="L323" s="62">
        <v>277.3854</v>
      </c>
      <c r="M323" s="62">
        <v>514.69380000000001</v>
      </c>
      <c r="N323" s="62">
        <v>320.06850000000003</v>
      </c>
      <c r="O323" s="62">
        <v>0</v>
      </c>
      <c r="P323" s="62"/>
      <c r="Q323" s="62">
        <v>482.12850000000003</v>
      </c>
      <c r="R323" s="62">
        <v>7998.7560000000003</v>
      </c>
      <c r="S323" s="62">
        <v>3060.7878000000001</v>
      </c>
      <c r="T323" s="62">
        <v>-3418.2395999999999</v>
      </c>
      <c r="U323" s="62">
        <v>0</v>
      </c>
      <c r="V323" s="62"/>
      <c r="W323" s="62">
        <v>1429.5663</v>
      </c>
      <c r="X323" s="62">
        <v>1429.5663</v>
      </c>
      <c r="Y323" s="62">
        <v>1314.1314</v>
      </c>
      <c r="Z323" s="62">
        <v>604.87800000000004</v>
      </c>
      <c r="AA323" s="62">
        <v>0</v>
      </c>
      <c r="AB323" s="62"/>
      <c r="AC323" s="62">
        <v>2897.994249958505</v>
      </c>
      <c r="AD323" s="62">
        <v>2238.9092001659742</v>
      </c>
      <c r="AE323" s="62">
        <v>1734.95064</v>
      </c>
      <c r="AF323" s="62">
        <v>1734.95064</v>
      </c>
      <c r="AG323" s="62">
        <v>0</v>
      </c>
      <c r="AH323" s="62"/>
      <c r="AI323" s="62">
        <v>-384.77855967078165</v>
      </c>
      <c r="AJ323" s="62">
        <v>-384.77855967078165</v>
      </c>
      <c r="AK323" s="62">
        <v>-330.90956131687233</v>
      </c>
      <c r="AL323" s="62">
        <v>0</v>
      </c>
      <c r="AM323" s="62">
        <v>0</v>
      </c>
    </row>
    <row r="324" spans="1:39">
      <c r="A324" s="9">
        <v>93331</v>
      </c>
      <c r="B324" s="10" t="s">
        <v>1700</v>
      </c>
      <c r="C324" s="60">
        <v>1.208E-4</v>
      </c>
      <c r="E324" s="62">
        <v>7292.562650179123</v>
      </c>
      <c r="F324" s="62">
        <v>49663.336566361693</v>
      </c>
      <c r="G324" s="62">
        <v>25747.111806337456</v>
      </c>
      <c r="H324" s="62">
        <v>-15150.124319999995</v>
      </c>
      <c r="I324" s="62">
        <v>0</v>
      </c>
      <c r="J324" s="62"/>
      <c r="K324" s="62">
        <v>-726.85360000000003</v>
      </c>
      <c r="L324" s="62">
        <v>1530.0527999999999</v>
      </c>
      <c r="M324" s="62">
        <v>2839.0416</v>
      </c>
      <c r="N324" s="62">
        <v>1765.492</v>
      </c>
      <c r="O324" s="62">
        <v>0</v>
      </c>
      <c r="P324" s="62"/>
      <c r="Q324" s="62">
        <v>2659.4119999999998</v>
      </c>
      <c r="R324" s="62">
        <v>44120.991999999998</v>
      </c>
      <c r="S324" s="62">
        <v>16883.249599999999</v>
      </c>
      <c r="T324" s="62">
        <v>-18854.947199999999</v>
      </c>
      <c r="U324" s="62">
        <v>0</v>
      </c>
      <c r="V324" s="62"/>
      <c r="W324" s="62">
        <v>7885.4615999999996</v>
      </c>
      <c r="X324" s="62">
        <v>7885.4615999999996</v>
      </c>
      <c r="Y324" s="62">
        <v>7248.7248</v>
      </c>
      <c r="Z324" s="62">
        <v>3336.4960000000001</v>
      </c>
      <c r="AA324" s="62">
        <v>0</v>
      </c>
      <c r="AB324" s="62"/>
      <c r="AC324" s="62">
        <v>2136.9161934156391</v>
      </c>
      <c r="AD324" s="62">
        <v>201.4661934156386</v>
      </c>
      <c r="AE324" s="62">
        <v>173.26092633744926</v>
      </c>
      <c r="AF324" s="62">
        <v>0</v>
      </c>
      <c r="AG324" s="62">
        <v>0</v>
      </c>
      <c r="AH324" s="62"/>
      <c r="AI324" s="62">
        <v>-4662.3735432365174</v>
      </c>
      <c r="AJ324" s="62">
        <v>-4074.6360270539444</v>
      </c>
      <c r="AK324" s="62">
        <v>-1397.1651199999949</v>
      </c>
      <c r="AL324" s="62">
        <v>-1397.1651199999949</v>
      </c>
      <c r="AM324" s="62">
        <v>0</v>
      </c>
    </row>
    <row r="325" spans="1:39">
      <c r="A325" s="9">
        <v>93333</v>
      </c>
      <c r="B325" s="10" t="s">
        <v>1701</v>
      </c>
      <c r="C325" s="60">
        <v>1.796E-4</v>
      </c>
      <c r="E325" s="62">
        <v>89240.712688537809</v>
      </c>
      <c r="F325" s="62">
        <v>143984.95850181583</v>
      </c>
      <c r="G325" s="62">
        <v>77587.903895226336</v>
      </c>
      <c r="H325" s="62">
        <v>-2231.5127199999988</v>
      </c>
      <c r="I325" s="62">
        <v>0</v>
      </c>
      <c r="J325" s="62"/>
      <c r="K325" s="62">
        <v>-1080.6532</v>
      </c>
      <c r="L325" s="62">
        <v>2274.8136</v>
      </c>
      <c r="M325" s="62">
        <v>4220.9592000000002</v>
      </c>
      <c r="N325" s="62">
        <v>2624.8539999999998</v>
      </c>
      <c r="O325" s="62">
        <v>0</v>
      </c>
      <c r="P325" s="62"/>
      <c r="Q325" s="62">
        <v>3953.8940000000002</v>
      </c>
      <c r="R325" s="62">
        <v>65597.104000000007</v>
      </c>
      <c r="S325" s="62">
        <v>25101.2552</v>
      </c>
      <c r="T325" s="62">
        <v>-28032.686399999999</v>
      </c>
      <c r="U325" s="62">
        <v>0</v>
      </c>
      <c r="V325" s="62"/>
      <c r="W325" s="62">
        <v>11723.7492</v>
      </c>
      <c r="X325" s="62">
        <v>11723.7492</v>
      </c>
      <c r="Y325" s="62">
        <v>10777.077600000001</v>
      </c>
      <c r="Z325" s="62">
        <v>4960.5519999999997</v>
      </c>
      <c r="AA325" s="62">
        <v>0</v>
      </c>
      <c r="AB325" s="62"/>
      <c r="AC325" s="62">
        <v>74643.722688537804</v>
      </c>
      <c r="AD325" s="62">
        <v>64389.291701815819</v>
      </c>
      <c r="AE325" s="62">
        <v>37488.611895226342</v>
      </c>
      <c r="AF325" s="62">
        <v>18215.767680000001</v>
      </c>
      <c r="AG325" s="62">
        <v>0</v>
      </c>
      <c r="AH325" s="62"/>
      <c r="AI325" s="62">
        <v>0</v>
      </c>
      <c r="AJ325" s="62">
        <v>0</v>
      </c>
      <c r="AK325" s="62">
        <v>0</v>
      </c>
      <c r="AL325" s="62">
        <v>0</v>
      </c>
      <c r="AM325" s="62">
        <v>0</v>
      </c>
    </row>
    <row r="326" spans="1:39">
      <c r="A326" s="9">
        <v>93341</v>
      </c>
      <c r="B326" s="10" t="s">
        <v>1702</v>
      </c>
      <c r="C326" s="60">
        <v>2.34E-5</v>
      </c>
      <c r="E326" s="62">
        <v>2606.446069594796</v>
      </c>
      <c r="F326" s="62">
        <v>10735.003390756621</v>
      </c>
      <c r="G326" s="62">
        <v>5373.904284691358</v>
      </c>
      <c r="H326" s="62">
        <v>-2879.7292400000001</v>
      </c>
      <c r="I326" s="62">
        <v>0</v>
      </c>
      <c r="J326" s="62"/>
      <c r="K326" s="62">
        <v>-140.7978</v>
      </c>
      <c r="L326" s="62">
        <v>296.38439999999997</v>
      </c>
      <c r="M326" s="62">
        <v>549.94679999999994</v>
      </c>
      <c r="N326" s="62">
        <v>341.99099999999999</v>
      </c>
      <c r="O326" s="62">
        <v>0</v>
      </c>
      <c r="P326" s="62"/>
      <c r="Q326" s="62">
        <v>515.15099999999995</v>
      </c>
      <c r="R326" s="62">
        <v>8546.616</v>
      </c>
      <c r="S326" s="62">
        <v>3270.4308000000001</v>
      </c>
      <c r="T326" s="62">
        <v>-3652.3656000000001</v>
      </c>
      <c r="U326" s="62">
        <v>0</v>
      </c>
      <c r="V326" s="62"/>
      <c r="W326" s="62">
        <v>1527.4818</v>
      </c>
      <c r="X326" s="62">
        <v>1527.4818</v>
      </c>
      <c r="Y326" s="62">
        <v>1404.1404</v>
      </c>
      <c r="Z326" s="62">
        <v>646.30799999999999</v>
      </c>
      <c r="AA326" s="62">
        <v>0</v>
      </c>
      <c r="AB326" s="62"/>
      <c r="AC326" s="62">
        <v>920.27370959479595</v>
      </c>
      <c r="AD326" s="62">
        <v>580.18383075662155</v>
      </c>
      <c r="AE326" s="62">
        <v>365.04892469135814</v>
      </c>
      <c r="AF326" s="62">
        <v>0</v>
      </c>
      <c r="AG326" s="62">
        <v>0</v>
      </c>
      <c r="AH326" s="62"/>
      <c r="AI326" s="62">
        <v>-215.66264000000007</v>
      </c>
      <c r="AJ326" s="62">
        <v>-215.66264000000007</v>
      </c>
      <c r="AK326" s="62">
        <v>-215.66264000000007</v>
      </c>
      <c r="AL326" s="62">
        <v>-215.66264000000007</v>
      </c>
      <c r="AM326" s="62">
        <v>0</v>
      </c>
    </row>
    <row r="327" spans="1:39">
      <c r="A327" s="9">
        <v>93351</v>
      </c>
      <c r="B327" s="10" t="s">
        <v>1703</v>
      </c>
      <c r="C327" s="60">
        <v>3.4E-5</v>
      </c>
      <c r="E327" s="62">
        <v>5672.2438428973937</v>
      </c>
      <c r="F327" s="62">
        <v>18665.138282731416</v>
      </c>
      <c r="G327" s="62">
        <v>12623.834076543213</v>
      </c>
      <c r="H327" s="62">
        <v>-711.7627999999977</v>
      </c>
      <c r="I327" s="62">
        <v>0</v>
      </c>
      <c r="J327" s="62"/>
      <c r="K327" s="62">
        <v>-204.578</v>
      </c>
      <c r="L327" s="62">
        <v>430.64400000000001</v>
      </c>
      <c r="M327" s="62">
        <v>799.06799999999998</v>
      </c>
      <c r="N327" s="62">
        <v>496.90999999999997</v>
      </c>
      <c r="O327" s="62">
        <v>0</v>
      </c>
      <c r="P327" s="62"/>
      <c r="Q327" s="62">
        <v>748.51</v>
      </c>
      <c r="R327" s="62">
        <v>12418.16</v>
      </c>
      <c r="S327" s="62">
        <v>4751.9080000000004</v>
      </c>
      <c r="T327" s="62">
        <v>-5306.8559999999998</v>
      </c>
      <c r="U327" s="62">
        <v>0</v>
      </c>
      <c r="V327" s="62"/>
      <c r="W327" s="62">
        <v>2219.4180000000001</v>
      </c>
      <c r="X327" s="62">
        <v>2219.4180000000001</v>
      </c>
      <c r="Y327" s="62">
        <v>2040.204</v>
      </c>
      <c r="Z327" s="62">
        <v>939.08</v>
      </c>
      <c r="AA327" s="62">
        <v>0</v>
      </c>
      <c r="AB327" s="62"/>
      <c r="AC327" s="62">
        <v>5337.6507308641994</v>
      </c>
      <c r="AD327" s="62">
        <v>5337.6507308641994</v>
      </c>
      <c r="AE327" s="62">
        <v>5032.6540765432128</v>
      </c>
      <c r="AF327" s="62">
        <v>3159.1032000000023</v>
      </c>
      <c r="AG327" s="62">
        <v>0</v>
      </c>
      <c r="AH327" s="62"/>
      <c r="AI327" s="62">
        <v>-2428.7568879668061</v>
      </c>
      <c r="AJ327" s="62">
        <v>-1740.7344481327814</v>
      </c>
      <c r="AK327" s="62">
        <v>0</v>
      </c>
      <c r="AL327" s="62">
        <v>0</v>
      </c>
      <c r="AM327" s="62">
        <v>0</v>
      </c>
    </row>
    <row r="328" spans="1:39">
      <c r="A328" s="9">
        <v>93401</v>
      </c>
      <c r="B328" s="10" t="s">
        <v>1704</v>
      </c>
      <c r="C328" s="60">
        <v>1.3834900000000001E-2</v>
      </c>
      <c r="E328" s="62">
        <v>1048703.6926929301</v>
      </c>
      <c r="F328" s="62">
        <v>6136529.5484083658</v>
      </c>
      <c r="G328" s="62">
        <v>3066438.6090519349</v>
      </c>
      <c r="H328" s="62">
        <v>-1568094.2490600003</v>
      </c>
      <c r="I328" s="62">
        <v>0</v>
      </c>
      <c r="J328" s="62"/>
      <c r="K328" s="62">
        <v>-83244.593300000008</v>
      </c>
      <c r="L328" s="62">
        <v>175232.84340000001</v>
      </c>
      <c r="M328" s="62">
        <v>325147.8198</v>
      </c>
      <c r="N328" s="62">
        <v>202197.06350000002</v>
      </c>
      <c r="O328" s="62">
        <v>0</v>
      </c>
      <c r="P328" s="62"/>
      <c r="Q328" s="62">
        <v>304575.3235</v>
      </c>
      <c r="R328" s="62">
        <v>5053058.8760000002</v>
      </c>
      <c r="S328" s="62">
        <v>1933593.2938000001</v>
      </c>
      <c r="T328" s="62">
        <v>-2159406.5316000003</v>
      </c>
      <c r="U328" s="62">
        <v>0</v>
      </c>
      <c r="V328" s="62"/>
      <c r="W328" s="62">
        <v>903100.76730000007</v>
      </c>
      <c r="X328" s="62">
        <v>903100.76730000007</v>
      </c>
      <c r="Y328" s="62">
        <v>830177.0094000001</v>
      </c>
      <c r="Z328" s="62">
        <v>382119.93800000002</v>
      </c>
      <c r="AA328" s="62">
        <v>0</v>
      </c>
      <c r="AB328" s="62"/>
      <c r="AC328" s="62">
        <v>46525.52262091302</v>
      </c>
      <c r="AD328" s="62">
        <v>39410.079136348686</v>
      </c>
      <c r="AE328" s="62">
        <v>6995.2810399999844</v>
      </c>
      <c r="AF328" s="62">
        <v>6995.2810399999844</v>
      </c>
      <c r="AG328" s="62">
        <v>0</v>
      </c>
      <c r="AH328" s="62"/>
      <c r="AI328" s="62">
        <v>-122253.32742798312</v>
      </c>
      <c r="AJ328" s="62">
        <v>-34273.017427983112</v>
      </c>
      <c r="AK328" s="62">
        <v>-29474.794988065489</v>
      </c>
      <c r="AL328" s="62">
        <v>0</v>
      </c>
      <c r="AM328" s="62">
        <v>0</v>
      </c>
    </row>
    <row r="329" spans="1:39">
      <c r="A329" s="9">
        <v>93402</v>
      </c>
      <c r="B329" s="10" t="s">
        <v>1705</v>
      </c>
      <c r="C329" s="60">
        <v>9.8800000000000003E-5</v>
      </c>
      <c r="E329" s="62">
        <v>11035.975270201321</v>
      </c>
      <c r="F329" s="62">
        <v>44218.106422898411</v>
      </c>
      <c r="G329" s="62">
        <v>21099.730437037037</v>
      </c>
      <c r="H329" s="62">
        <v>-11626.8436</v>
      </c>
      <c r="I329" s="62">
        <v>0</v>
      </c>
      <c r="J329" s="62"/>
      <c r="K329" s="62">
        <v>-594.4796</v>
      </c>
      <c r="L329" s="62">
        <v>1251.4008000000001</v>
      </c>
      <c r="M329" s="62">
        <v>2321.9976000000001</v>
      </c>
      <c r="N329" s="62">
        <v>1443.962</v>
      </c>
      <c r="O329" s="62">
        <v>0</v>
      </c>
      <c r="P329" s="62"/>
      <c r="Q329" s="62">
        <v>2175.0819999999999</v>
      </c>
      <c r="R329" s="62">
        <v>36085.712</v>
      </c>
      <c r="S329" s="62">
        <v>13808.4856</v>
      </c>
      <c r="T329" s="62">
        <v>-15421.099200000001</v>
      </c>
      <c r="U329" s="62">
        <v>0</v>
      </c>
      <c r="V329" s="62"/>
      <c r="W329" s="62">
        <v>6449.3676000000005</v>
      </c>
      <c r="X329" s="62">
        <v>6449.3676000000005</v>
      </c>
      <c r="Y329" s="62">
        <v>5928.5928000000004</v>
      </c>
      <c r="Z329" s="62">
        <v>2728.8560000000002</v>
      </c>
      <c r="AA329" s="62">
        <v>0</v>
      </c>
      <c r="AB329" s="62"/>
      <c r="AC329" s="62">
        <v>4059.8969294605822</v>
      </c>
      <c r="AD329" s="62">
        <v>1485.5176821576774</v>
      </c>
      <c r="AE329" s="62">
        <v>0</v>
      </c>
      <c r="AF329" s="62">
        <v>0</v>
      </c>
      <c r="AG329" s="62">
        <v>0</v>
      </c>
      <c r="AH329" s="62"/>
      <c r="AI329" s="62">
        <v>-1053.891659259262</v>
      </c>
      <c r="AJ329" s="62">
        <v>-1053.891659259262</v>
      </c>
      <c r="AK329" s="62">
        <v>-959.34556296296535</v>
      </c>
      <c r="AL329" s="62">
        <v>-378.56239999999821</v>
      </c>
      <c r="AM329" s="62">
        <v>0</v>
      </c>
    </row>
    <row r="330" spans="1:39">
      <c r="A330" s="9">
        <v>93406</v>
      </c>
      <c r="B330" s="10" t="s">
        <v>1706</v>
      </c>
      <c r="C330" s="60">
        <v>6.5059999999999998E-4</v>
      </c>
      <c r="E330" s="62">
        <v>59762.894102705119</v>
      </c>
      <c r="F330" s="62">
        <v>281947.04510934418</v>
      </c>
      <c r="G330" s="62">
        <v>134717.49736386832</v>
      </c>
      <c r="H330" s="62">
        <v>-86103.475960000011</v>
      </c>
      <c r="I330" s="62">
        <v>0</v>
      </c>
      <c r="J330" s="62"/>
      <c r="K330" s="62">
        <v>-3914.6601999999998</v>
      </c>
      <c r="L330" s="62">
        <v>8240.4995999999992</v>
      </c>
      <c r="M330" s="62">
        <v>15290.4012</v>
      </c>
      <c r="N330" s="62">
        <v>9508.5190000000002</v>
      </c>
      <c r="O330" s="62">
        <v>0</v>
      </c>
      <c r="P330" s="62"/>
      <c r="Q330" s="62">
        <v>14322.958999999999</v>
      </c>
      <c r="R330" s="62">
        <v>237625.144</v>
      </c>
      <c r="S330" s="62">
        <v>90929.157200000001</v>
      </c>
      <c r="T330" s="62">
        <v>-101548.2504</v>
      </c>
      <c r="U330" s="62">
        <v>0</v>
      </c>
      <c r="V330" s="62"/>
      <c r="W330" s="62">
        <v>42469.216200000003</v>
      </c>
      <c r="X330" s="62">
        <v>42469.216200000003</v>
      </c>
      <c r="Y330" s="62">
        <v>39039.903599999998</v>
      </c>
      <c r="Z330" s="62">
        <v>17969.572</v>
      </c>
      <c r="AA330" s="62">
        <v>0</v>
      </c>
      <c r="AB330" s="62"/>
      <c r="AC330" s="62">
        <v>18918.695662705119</v>
      </c>
      <c r="AD330" s="62">
        <v>5645.501869344127</v>
      </c>
      <c r="AE330" s="62">
        <v>1491.3519238683332</v>
      </c>
      <c r="AF330" s="62">
        <v>0</v>
      </c>
      <c r="AG330" s="62">
        <v>0</v>
      </c>
      <c r="AH330" s="62"/>
      <c r="AI330" s="62">
        <v>-12033.316560000007</v>
      </c>
      <c r="AJ330" s="62">
        <v>-12033.316560000007</v>
      </c>
      <c r="AK330" s="62">
        <v>-12033.316560000007</v>
      </c>
      <c r="AL330" s="62">
        <v>-12033.316560000007</v>
      </c>
      <c r="AM330" s="62">
        <v>0</v>
      </c>
    </row>
    <row r="331" spans="1:39">
      <c r="A331" s="9">
        <v>93408</v>
      </c>
      <c r="B331" s="10" t="s">
        <v>1705</v>
      </c>
      <c r="C331" s="60">
        <v>0</v>
      </c>
      <c r="E331" s="62">
        <v>-293308.09324496903</v>
      </c>
      <c r="F331" s="62">
        <v>-413844.64412629686</v>
      </c>
      <c r="G331" s="62">
        <v>-421152.96883506188</v>
      </c>
      <c r="H331" s="62">
        <v>-303143.22024000017</v>
      </c>
      <c r="I331" s="62">
        <v>0</v>
      </c>
      <c r="J331" s="62"/>
      <c r="K331" s="62">
        <v>0</v>
      </c>
      <c r="L331" s="62">
        <v>0</v>
      </c>
      <c r="M331" s="62">
        <v>0</v>
      </c>
      <c r="N331" s="62">
        <v>0</v>
      </c>
      <c r="O331" s="62">
        <v>0</v>
      </c>
      <c r="P331" s="62"/>
      <c r="Q331" s="62">
        <v>0</v>
      </c>
      <c r="R331" s="62">
        <v>0</v>
      </c>
      <c r="S331" s="62">
        <v>0</v>
      </c>
      <c r="T331" s="62">
        <v>0</v>
      </c>
      <c r="U331" s="62">
        <v>0</v>
      </c>
      <c r="V331" s="62"/>
      <c r="W331" s="62">
        <v>0</v>
      </c>
      <c r="X331" s="62">
        <v>0</v>
      </c>
      <c r="Y331" s="62">
        <v>0</v>
      </c>
      <c r="Z331" s="62">
        <v>0</v>
      </c>
      <c r="AA331" s="62">
        <v>0</v>
      </c>
      <c r="AB331" s="62"/>
      <c r="AC331" s="62">
        <v>147055.76489626561</v>
      </c>
      <c r="AD331" s="62">
        <v>26519.214014937796</v>
      </c>
      <c r="AE331" s="62">
        <v>0</v>
      </c>
      <c r="AF331" s="62">
        <v>0</v>
      </c>
      <c r="AG331" s="62">
        <v>0</v>
      </c>
      <c r="AH331" s="62"/>
      <c r="AI331" s="62">
        <v>-440363.85814123467</v>
      </c>
      <c r="AJ331" s="62">
        <v>-440363.85814123467</v>
      </c>
      <c r="AK331" s="62">
        <v>-421152.96883506188</v>
      </c>
      <c r="AL331" s="62">
        <v>-303143.22024000017</v>
      </c>
      <c r="AM331" s="62">
        <v>0</v>
      </c>
    </row>
    <row r="332" spans="1:39">
      <c r="A332" s="9">
        <v>93411</v>
      </c>
      <c r="B332" s="10" t="s">
        <v>1708</v>
      </c>
      <c r="C332" s="60">
        <v>1.7454999999999998E-2</v>
      </c>
      <c r="E332" s="62">
        <v>1114454.3084049737</v>
      </c>
      <c r="F332" s="62">
        <v>7662410.672343811</v>
      </c>
      <c r="G332" s="62">
        <v>3868006.5284170378</v>
      </c>
      <c r="H332" s="62">
        <v>-1924556.5121199982</v>
      </c>
      <c r="I332" s="62">
        <v>0</v>
      </c>
      <c r="J332" s="62"/>
      <c r="K332" s="62">
        <v>-105026.73499999999</v>
      </c>
      <c r="L332" s="62">
        <v>221085.02999999997</v>
      </c>
      <c r="M332" s="62">
        <v>410227.41</v>
      </c>
      <c r="N332" s="62">
        <v>255104.82499999998</v>
      </c>
      <c r="O332" s="62">
        <v>0</v>
      </c>
      <c r="P332" s="62"/>
      <c r="Q332" s="62">
        <v>384271.82499999995</v>
      </c>
      <c r="R332" s="62">
        <v>6375264.1999999993</v>
      </c>
      <c r="S332" s="62">
        <v>2439545.71</v>
      </c>
      <c r="T332" s="62">
        <v>-2724446.2199999997</v>
      </c>
      <c r="U332" s="62">
        <v>0</v>
      </c>
      <c r="V332" s="62"/>
      <c r="W332" s="62">
        <v>1139410.0349999999</v>
      </c>
      <c r="X332" s="62">
        <v>1139410.0349999999</v>
      </c>
      <c r="Y332" s="62">
        <v>1047404.7299999999</v>
      </c>
      <c r="Z332" s="62">
        <v>482107.1</v>
      </c>
      <c r="AA332" s="62">
        <v>0</v>
      </c>
      <c r="AB332" s="62"/>
      <c r="AC332" s="62">
        <v>62677.782880001148</v>
      </c>
      <c r="AD332" s="62">
        <v>62677.782880001148</v>
      </c>
      <c r="AE332" s="62">
        <v>62677.782880001148</v>
      </c>
      <c r="AF332" s="62">
        <v>62677.782880001148</v>
      </c>
      <c r="AG332" s="62">
        <v>0</v>
      </c>
      <c r="AH332" s="62"/>
      <c r="AI332" s="62">
        <v>-366878.59947502764</v>
      </c>
      <c r="AJ332" s="62">
        <v>-136026.37553618941</v>
      </c>
      <c r="AK332" s="62">
        <v>-91849.104462963398</v>
      </c>
      <c r="AL332" s="62">
        <v>0</v>
      </c>
      <c r="AM332" s="62">
        <v>0</v>
      </c>
    </row>
    <row r="333" spans="1:39">
      <c r="A333" s="9">
        <v>93413</v>
      </c>
      <c r="B333" s="10" t="s">
        <v>1709</v>
      </c>
      <c r="C333" s="60">
        <v>7.7070000000000003E-4</v>
      </c>
      <c r="E333" s="62">
        <v>45159.24683316391</v>
      </c>
      <c r="F333" s="62">
        <v>328489.06033606845</v>
      </c>
      <c r="G333" s="62">
        <v>167387.16092502058</v>
      </c>
      <c r="H333" s="62">
        <v>-87876.518140000044</v>
      </c>
      <c r="I333" s="62">
        <v>0</v>
      </c>
      <c r="J333" s="62"/>
      <c r="K333" s="62">
        <v>-4637.3019000000004</v>
      </c>
      <c r="L333" s="62">
        <v>9761.6862000000001</v>
      </c>
      <c r="M333" s="62">
        <v>18112.991399999999</v>
      </c>
      <c r="N333" s="62">
        <v>11263.780500000001</v>
      </c>
      <c r="O333" s="62">
        <v>0</v>
      </c>
      <c r="P333" s="62"/>
      <c r="Q333" s="62">
        <v>16966.960500000001</v>
      </c>
      <c r="R333" s="62">
        <v>281490.46799999999</v>
      </c>
      <c r="S333" s="62">
        <v>107714.57340000001</v>
      </c>
      <c r="T333" s="62">
        <v>-120293.9388</v>
      </c>
      <c r="U333" s="62">
        <v>0</v>
      </c>
      <c r="V333" s="62"/>
      <c r="W333" s="62">
        <v>50308.983899999999</v>
      </c>
      <c r="X333" s="62">
        <v>50308.983899999999</v>
      </c>
      <c r="Y333" s="62">
        <v>46246.624199999998</v>
      </c>
      <c r="Z333" s="62">
        <v>21286.734</v>
      </c>
      <c r="AA333" s="62">
        <v>0</v>
      </c>
      <c r="AB333" s="62"/>
      <c r="AC333" s="62">
        <v>0</v>
      </c>
      <c r="AD333" s="62">
        <v>0</v>
      </c>
      <c r="AE333" s="62">
        <v>0</v>
      </c>
      <c r="AF333" s="62">
        <v>0</v>
      </c>
      <c r="AG333" s="62">
        <v>0</v>
      </c>
      <c r="AH333" s="62"/>
      <c r="AI333" s="62">
        <v>-17479.395666836088</v>
      </c>
      <c r="AJ333" s="62">
        <v>-13072.07776393152</v>
      </c>
      <c r="AK333" s="62">
        <v>-4687.028074979442</v>
      </c>
      <c r="AL333" s="62">
        <v>-133.0938400000332</v>
      </c>
      <c r="AM333" s="62">
        <v>0</v>
      </c>
    </row>
    <row r="334" spans="1:39">
      <c r="A334" s="9">
        <v>93417</v>
      </c>
      <c r="B334" s="10" t="s">
        <v>1710</v>
      </c>
      <c r="C334" s="60">
        <v>3.4430000000000002E-4</v>
      </c>
      <c r="E334" s="62">
        <v>33735.159396813324</v>
      </c>
      <c r="F334" s="62">
        <v>145306.35336270544</v>
      </c>
      <c r="G334" s="62">
        <v>69031.93520403291</v>
      </c>
      <c r="H334" s="62">
        <v>-47465.428540000023</v>
      </c>
      <c r="I334" s="62">
        <v>0</v>
      </c>
      <c r="J334" s="62"/>
      <c r="K334" s="62">
        <v>-2071.6531</v>
      </c>
      <c r="L334" s="62">
        <v>4360.9038</v>
      </c>
      <c r="M334" s="62">
        <v>8091.7386000000006</v>
      </c>
      <c r="N334" s="62">
        <v>5031.9445000000005</v>
      </c>
      <c r="O334" s="62">
        <v>0</v>
      </c>
      <c r="P334" s="62"/>
      <c r="Q334" s="62">
        <v>7579.7645000000002</v>
      </c>
      <c r="R334" s="62">
        <v>125752.13200000001</v>
      </c>
      <c r="S334" s="62">
        <v>48120.056600000004</v>
      </c>
      <c r="T334" s="62">
        <v>-53739.7212</v>
      </c>
      <c r="U334" s="62">
        <v>0</v>
      </c>
      <c r="V334" s="62"/>
      <c r="W334" s="62">
        <v>22474.8711</v>
      </c>
      <c r="X334" s="62">
        <v>22474.8711</v>
      </c>
      <c r="Y334" s="62">
        <v>20660.0658</v>
      </c>
      <c r="Z334" s="62">
        <v>9509.5660000000007</v>
      </c>
      <c r="AA334" s="62">
        <v>0</v>
      </c>
      <c r="AB334" s="62"/>
      <c r="AC334" s="62">
        <v>14019.394736813338</v>
      </c>
      <c r="AD334" s="62">
        <v>985.66430270545402</v>
      </c>
      <c r="AE334" s="62">
        <v>427.29204403292351</v>
      </c>
      <c r="AF334" s="62">
        <v>0</v>
      </c>
      <c r="AG334" s="62">
        <v>0</v>
      </c>
      <c r="AH334" s="62"/>
      <c r="AI334" s="62">
        <v>-8267.2178400000157</v>
      </c>
      <c r="AJ334" s="62">
        <v>-8267.2178400000157</v>
      </c>
      <c r="AK334" s="62">
        <v>-8267.2178400000157</v>
      </c>
      <c r="AL334" s="62">
        <v>-8267.2178400000157</v>
      </c>
      <c r="AM334" s="62">
        <v>0</v>
      </c>
    </row>
    <row r="335" spans="1:39">
      <c r="A335" s="9">
        <v>93421</v>
      </c>
      <c r="B335" s="10" t="s">
        <v>1711</v>
      </c>
      <c r="C335" s="60">
        <v>2.1294999999999999E-3</v>
      </c>
      <c r="E335" s="62">
        <v>46978.893370623904</v>
      </c>
      <c r="F335" s="62">
        <v>868757.05462647451</v>
      </c>
      <c r="G335" s="62">
        <v>426061.66912082297</v>
      </c>
      <c r="H335" s="62">
        <v>-265177.27078000002</v>
      </c>
      <c r="I335" s="62">
        <v>0</v>
      </c>
      <c r="J335" s="62"/>
      <c r="K335" s="62">
        <v>-12813.201499999999</v>
      </c>
      <c r="L335" s="62">
        <v>26972.246999999999</v>
      </c>
      <c r="M335" s="62">
        <v>50047.508999999998</v>
      </c>
      <c r="N335" s="62">
        <v>31122.642499999998</v>
      </c>
      <c r="O335" s="62">
        <v>0</v>
      </c>
      <c r="P335" s="62"/>
      <c r="Q335" s="62">
        <v>46880.942499999997</v>
      </c>
      <c r="R335" s="62">
        <v>777778.58</v>
      </c>
      <c r="S335" s="62">
        <v>297623.179</v>
      </c>
      <c r="T335" s="62">
        <v>-332380.87799999997</v>
      </c>
      <c r="U335" s="62">
        <v>0</v>
      </c>
      <c r="V335" s="62"/>
      <c r="W335" s="62">
        <v>139007.37149999998</v>
      </c>
      <c r="X335" s="62">
        <v>139007.37149999998</v>
      </c>
      <c r="Y335" s="62">
        <v>127782.77699999999</v>
      </c>
      <c r="Z335" s="62">
        <v>58816.789999999994</v>
      </c>
      <c r="AA335" s="62">
        <v>0</v>
      </c>
      <c r="AB335" s="62"/>
      <c r="AC335" s="62">
        <v>0</v>
      </c>
      <c r="AD335" s="62">
        <v>0</v>
      </c>
      <c r="AE335" s="62">
        <v>0</v>
      </c>
      <c r="AF335" s="62">
        <v>0</v>
      </c>
      <c r="AG335" s="62">
        <v>0</v>
      </c>
      <c r="AH335" s="62"/>
      <c r="AI335" s="62">
        <v>-126096.21912937608</v>
      </c>
      <c r="AJ335" s="62">
        <v>-75001.143873525434</v>
      </c>
      <c r="AK335" s="62">
        <v>-49391.795879177036</v>
      </c>
      <c r="AL335" s="62">
        <v>-22735.825280000063</v>
      </c>
      <c r="AM335" s="62">
        <v>0</v>
      </c>
    </row>
    <row r="336" spans="1:39">
      <c r="A336" s="9">
        <v>93431</v>
      </c>
      <c r="B336" s="10" t="s">
        <v>1712</v>
      </c>
      <c r="C336" s="60">
        <v>1.2689999999999999E-4</v>
      </c>
      <c r="E336" s="62">
        <v>12039.439027027644</v>
      </c>
      <c r="F336" s="62">
        <v>57213.874457733029</v>
      </c>
      <c r="G336" s="62">
        <v>29903.645087325101</v>
      </c>
      <c r="H336" s="62">
        <v>-11502.753460000007</v>
      </c>
      <c r="I336" s="62">
        <v>0</v>
      </c>
      <c r="J336" s="62"/>
      <c r="K336" s="62">
        <v>-763.55729999999994</v>
      </c>
      <c r="L336" s="62">
        <v>1607.3154</v>
      </c>
      <c r="M336" s="62">
        <v>2982.4038</v>
      </c>
      <c r="N336" s="62">
        <v>1854.6434999999999</v>
      </c>
      <c r="O336" s="62">
        <v>0</v>
      </c>
      <c r="P336" s="62"/>
      <c r="Q336" s="62">
        <v>2793.7035000000001</v>
      </c>
      <c r="R336" s="62">
        <v>46348.955999999998</v>
      </c>
      <c r="S336" s="62">
        <v>17735.7978</v>
      </c>
      <c r="T336" s="62">
        <v>-19807.059600000001</v>
      </c>
      <c r="U336" s="62">
        <v>0</v>
      </c>
      <c r="V336" s="62"/>
      <c r="W336" s="62">
        <v>8283.6512999999995</v>
      </c>
      <c r="X336" s="62">
        <v>8283.6512999999995</v>
      </c>
      <c r="Y336" s="62">
        <v>7614.7613999999994</v>
      </c>
      <c r="Z336" s="62">
        <v>3504.9780000000001</v>
      </c>
      <c r="AA336" s="62">
        <v>0</v>
      </c>
      <c r="AB336" s="62"/>
      <c r="AC336" s="62">
        <v>3778.2646399999949</v>
      </c>
      <c r="AD336" s="62">
        <v>2944.6846399999949</v>
      </c>
      <c r="AE336" s="62">
        <v>2944.6846399999949</v>
      </c>
      <c r="AF336" s="62">
        <v>2944.6846399999949</v>
      </c>
      <c r="AG336" s="62">
        <v>0</v>
      </c>
      <c r="AH336" s="62"/>
      <c r="AI336" s="62">
        <v>-2052.623112972351</v>
      </c>
      <c r="AJ336" s="62">
        <v>-1970.7328822669569</v>
      </c>
      <c r="AK336" s="62">
        <v>-1374.0025526748957</v>
      </c>
      <c r="AL336" s="62">
        <v>0</v>
      </c>
      <c r="AM336" s="62">
        <v>0</v>
      </c>
    </row>
    <row r="337" spans="1:39">
      <c r="A337" s="9">
        <v>93441</v>
      </c>
      <c r="B337" s="10" t="s">
        <v>1713</v>
      </c>
      <c r="C337" s="60">
        <v>1.54E-4</v>
      </c>
      <c r="E337" s="62">
        <v>27270.584841871489</v>
      </c>
      <c r="F337" s="62">
        <v>76073.931304942031</v>
      </c>
      <c r="G337" s="62">
        <v>40424.511842057618</v>
      </c>
      <c r="H337" s="62">
        <v>-15365.226959999998</v>
      </c>
      <c r="I337" s="62">
        <v>0</v>
      </c>
      <c r="J337" s="62"/>
      <c r="K337" s="62">
        <v>-926.61800000000005</v>
      </c>
      <c r="L337" s="62">
        <v>1950.5640000000001</v>
      </c>
      <c r="M337" s="62">
        <v>3619.308</v>
      </c>
      <c r="N337" s="62">
        <v>2250.71</v>
      </c>
      <c r="O337" s="62">
        <v>0</v>
      </c>
      <c r="P337" s="62"/>
      <c r="Q337" s="62">
        <v>3390.31</v>
      </c>
      <c r="R337" s="62">
        <v>56246.96</v>
      </c>
      <c r="S337" s="62">
        <v>21523.348000000002</v>
      </c>
      <c r="T337" s="62">
        <v>-24036.936000000002</v>
      </c>
      <c r="U337" s="62">
        <v>0</v>
      </c>
      <c r="V337" s="62"/>
      <c r="W337" s="62">
        <v>10052.657999999999</v>
      </c>
      <c r="X337" s="62">
        <v>10052.657999999999</v>
      </c>
      <c r="Y337" s="62">
        <v>9240.9240000000009</v>
      </c>
      <c r="Z337" s="62">
        <v>4253.4800000000005</v>
      </c>
      <c r="AA337" s="62">
        <v>0</v>
      </c>
      <c r="AB337" s="62"/>
      <c r="AC337" s="62">
        <v>14754.23484187149</v>
      </c>
      <c r="AD337" s="62">
        <v>7823.7493049420291</v>
      </c>
      <c r="AE337" s="62">
        <v>6040.9318420576183</v>
      </c>
      <c r="AF337" s="62">
        <v>2167.5190400000051</v>
      </c>
      <c r="AG337" s="62">
        <v>0</v>
      </c>
      <c r="AH337" s="62"/>
      <c r="AI337" s="62">
        <v>0</v>
      </c>
      <c r="AJ337" s="62">
        <v>0</v>
      </c>
      <c r="AK337" s="62">
        <v>0</v>
      </c>
      <c r="AL337" s="62">
        <v>0</v>
      </c>
      <c r="AM337" s="62">
        <v>0</v>
      </c>
    </row>
    <row r="338" spans="1:39">
      <c r="A338" s="9">
        <v>93442</v>
      </c>
      <c r="B338" s="10" t="s">
        <v>1714</v>
      </c>
      <c r="C338" s="60">
        <v>1.505E-4</v>
      </c>
      <c r="E338" s="62">
        <v>5903.1233811645598</v>
      </c>
      <c r="F338" s="62">
        <v>62380.821573695692</v>
      </c>
      <c r="G338" s="62">
        <v>28238.405041316873</v>
      </c>
      <c r="H338" s="62">
        <v>-16920.387219999997</v>
      </c>
      <c r="I338" s="62">
        <v>0</v>
      </c>
      <c r="J338" s="62"/>
      <c r="K338" s="62">
        <v>-905.55849999999998</v>
      </c>
      <c r="L338" s="62">
        <v>1906.2329999999999</v>
      </c>
      <c r="M338" s="62">
        <v>3537.0509999999999</v>
      </c>
      <c r="N338" s="62">
        <v>2199.5574999999999</v>
      </c>
      <c r="O338" s="62">
        <v>0</v>
      </c>
      <c r="P338" s="62"/>
      <c r="Q338" s="62">
        <v>3313.2575000000002</v>
      </c>
      <c r="R338" s="62">
        <v>54968.62</v>
      </c>
      <c r="S338" s="62">
        <v>21034.181</v>
      </c>
      <c r="T338" s="62">
        <v>-23490.642</v>
      </c>
      <c r="U338" s="62">
        <v>0</v>
      </c>
      <c r="V338" s="62"/>
      <c r="W338" s="62">
        <v>9824.1885000000002</v>
      </c>
      <c r="X338" s="62">
        <v>9824.1885000000002</v>
      </c>
      <c r="Y338" s="62">
        <v>9030.9030000000002</v>
      </c>
      <c r="Z338" s="62">
        <v>4156.8100000000004</v>
      </c>
      <c r="AA338" s="62">
        <v>0</v>
      </c>
      <c r="AB338" s="62"/>
      <c r="AC338" s="62">
        <v>2596.1973214937802</v>
      </c>
      <c r="AD338" s="62">
        <v>2167.3815140249008</v>
      </c>
      <c r="AE338" s="62">
        <v>213.88728000000128</v>
      </c>
      <c r="AF338" s="62">
        <v>213.88728000000128</v>
      </c>
      <c r="AG338" s="62">
        <v>0</v>
      </c>
      <c r="AH338" s="62"/>
      <c r="AI338" s="62">
        <v>-8924.9614403292217</v>
      </c>
      <c r="AJ338" s="62">
        <v>-6485.6014403292211</v>
      </c>
      <c r="AK338" s="62">
        <v>-5577.6172386831322</v>
      </c>
      <c r="AL338" s="62">
        <v>0</v>
      </c>
      <c r="AM338" s="62">
        <v>0</v>
      </c>
    </row>
    <row r="339" spans="1:39">
      <c r="A339" s="9">
        <v>93451</v>
      </c>
      <c r="B339" s="10" t="s">
        <v>1715</v>
      </c>
      <c r="C339" s="60">
        <v>7.0900000000000002E-5</v>
      </c>
      <c r="E339" s="62">
        <v>10958.582012132923</v>
      </c>
      <c r="F339" s="62">
        <v>37444.586791386035</v>
      </c>
      <c r="G339" s="62">
        <v>18520.956268065853</v>
      </c>
      <c r="H339" s="62">
        <v>-7232.4360199999956</v>
      </c>
      <c r="I339" s="62">
        <v>0</v>
      </c>
      <c r="J339" s="62"/>
      <c r="K339" s="62">
        <v>-426.6053</v>
      </c>
      <c r="L339" s="62">
        <v>898.01940000000002</v>
      </c>
      <c r="M339" s="62">
        <v>1666.2918</v>
      </c>
      <c r="N339" s="62">
        <v>1036.2035000000001</v>
      </c>
      <c r="O339" s="62">
        <v>0</v>
      </c>
      <c r="P339" s="62"/>
      <c r="Q339" s="62">
        <v>1560.8635000000002</v>
      </c>
      <c r="R339" s="62">
        <v>25895.516</v>
      </c>
      <c r="S339" s="62">
        <v>9909.1257999999998</v>
      </c>
      <c r="T339" s="62">
        <v>-11066.355600000001</v>
      </c>
      <c r="U339" s="62">
        <v>0</v>
      </c>
      <c r="V339" s="62"/>
      <c r="W339" s="62">
        <v>4628.1392999999998</v>
      </c>
      <c r="X339" s="62">
        <v>4628.1392999999998</v>
      </c>
      <c r="Y339" s="62">
        <v>4254.4254000000001</v>
      </c>
      <c r="Z339" s="62">
        <v>1958.258</v>
      </c>
      <c r="AA339" s="62">
        <v>0</v>
      </c>
      <c r="AB339" s="62"/>
      <c r="AC339" s="62">
        <v>6688.1145121329246</v>
      </c>
      <c r="AD339" s="62">
        <v>6022.912091386037</v>
      </c>
      <c r="AE339" s="62">
        <v>2691.1132680658511</v>
      </c>
      <c r="AF339" s="62">
        <v>839.45808000000557</v>
      </c>
      <c r="AG339" s="62">
        <v>0</v>
      </c>
      <c r="AH339" s="62"/>
      <c r="AI339" s="62">
        <v>-1491.9300000000003</v>
      </c>
      <c r="AJ339" s="62">
        <v>0</v>
      </c>
      <c r="AK339" s="62">
        <v>0</v>
      </c>
      <c r="AL339" s="62">
        <v>0</v>
      </c>
      <c r="AM339" s="62">
        <v>0</v>
      </c>
    </row>
    <row r="340" spans="1:39">
      <c r="A340" s="9">
        <v>93461</v>
      </c>
      <c r="B340" s="10" t="s">
        <v>1716</v>
      </c>
      <c r="C340" s="60">
        <v>1.66E-5</v>
      </c>
      <c r="E340" s="62">
        <v>1603.2539157235788</v>
      </c>
      <c r="F340" s="62">
        <v>7556.5354136488904</v>
      </c>
      <c r="G340" s="62">
        <v>3804.5975387654298</v>
      </c>
      <c r="H340" s="62">
        <v>-1861.9103600000024</v>
      </c>
      <c r="I340" s="62">
        <v>0</v>
      </c>
      <c r="J340" s="62"/>
      <c r="K340" s="62">
        <v>-99.882199999999997</v>
      </c>
      <c r="L340" s="62">
        <v>210.25560000000002</v>
      </c>
      <c r="M340" s="62">
        <v>390.13319999999999</v>
      </c>
      <c r="N340" s="62">
        <v>242.60900000000001</v>
      </c>
      <c r="O340" s="62">
        <v>0</v>
      </c>
      <c r="P340" s="62"/>
      <c r="Q340" s="62">
        <v>365.44900000000001</v>
      </c>
      <c r="R340" s="62">
        <v>6062.9840000000004</v>
      </c>
      <c r="S340" s="62">
        <v>2320.0491999999999</v>
      </c>
      <c r="T340" s="62">
        <v>-2590.9944</v>
      </c>
      <c r="U340" s="62">
        <v>0</v>
      </c>
      <c r="V340" s="62"/>
      <c r="W340" s="62">
        <v>1083.5982000000001</v>
      </c>
      <c r="X340" s="62">
        <v>1083.5982000000001</v>
      </c>
      <c r="Y340" s="62">
        <v>996.09960000000001</v>
      </c>
      <c r="Z340" s="62">
        <v>458.49200000000002</v>
      </c>
      <c r="AA340" s="62">
        <v>0</v>
      </c>
      <c r="AB340" s="62"/>
      <c r="AC340" s="62">
        <v>254.08891572357857</v>
      </c>
      <c r="AD340" s="62">
        <v>199.69761364888967</v>
      </c>
      <c r="AE340" s="62">
        <v>98.315538765430333</v>
      </c>
      <c r="AF340" s="62">
        <v>27.983039999997899</v>
      </c>
      <c r="AG340" s="62">
        <v>0</v>
      </c>
      <c r="AH340" s="62"/>
      <c r="AI340" s="62">
        <v>0</v>
      </c>
      <c r="AJ340" s="62">
        <v>0</v>
      </c>
      <c r="AK340" s="62">
        <v>0</v>
      </c>
      <c r="AL340" s="62">
        <v>0</v>
      </c>
      <c r="AM340" s="62">
        <v>0</v>
      </c>
    </row>
    <row r="341" spans="1:39">
      <c r="A341" s="9">
        <v>93471</v>
      </c>
      <c r="B341" s="10" t="s">
        <v>1717</v>
      </c>
      <c r="C341" s="60">
        <v>1.31E-5</v>
      </c>
      <c r="E341" s="62">
        <v>2308.0153315298053</v>
      </c>
      <c r="F341" s="62">
        <v>7072.20237717296</v>
      </c>
      <c r="G341" s="62">
        <v>3951.8610373662555</v>
      </c>
      <c r="H341" s="62">
        <v>-811.43613999999968</v>
      </c>
      <c r="I341" s="62">
        <v>0</v>
      </c>
      <c r="J341" s="62"/>
      <c r="K341" s="62">
        <v>-78.822699999999998</v>
      </c>
      <c r="L341" s="62">
        <v>165.9246</v>
      </c>
      <c r="M341" s="62">
        <v>307.87619999999998</v>
      </c>
      <c r="N341" s="62">
        <v>191.45650000000001</v>
      </c>
      <c r="O341" s="62">
        <v>0</v>
      </c>
      <c r="P341" s="62"/>
      <c r="Q341" s="62">
        <v>288.3965</v>
      </c>
      <c r="R341" s="62">
        <v>4784.6440000000002</v>
      </c>
      <c r="S341" s="62">
        <v>1830.8822</v>
      </c>
      <c r="T341" s="62">
        <v>-2044.7003999999999</v>
      </c>
      <c r="U341" s="62">
        <v>0</v>
      </c>
      <c r="V341" s="62"/>
      <c r="W341" s="62">
        <v>855.12869999999998</v>
      </c>
      <c r="X341" s="62">
        <v>855.12869999999998</v>
      </c>
      <c r="Y341" s="62">
        <v>786.07860000000005</v>
      </c>
      <c r="Z341" s="62">
        <v>361.822</v>
      </c>
      <c r="AA341" s="62">
        <v>0</v>
      </c>
      <c r="AB341" s="62"/>
      <c r="AC341" s="62">
        <v>1306.6728315298055</v>
      </c>
      <c r="AD341" s="62">
        <v>1266.5050771729589</v>
      </c>
      <c r="AE341" s="62">
        <v>1027.024037366255</v>
      </c>
      <c r="AF341" s="62">
        <v>679.98576000000014</v>
      </c>
      <c r="AG341" s="62">
        <v>0</v>
      </c>
      <c r="AH341" s="62"/>
      <c r="AI341" s="62">
        <v>-63.360000000000014</v>
      </c>
      <c r="AJ341" s="62">
        <v>0</v>
      </c>
      <c r="AK341" s="62">
        <v>0</v>
      </c>
      <c r="AL341" s="62">
        <v>0</v>
      </c>
      <c r="AM341" s="62">
        <v>0</v>
      </c>
    </row>
    <row r="342" spans="1:39">
      <c r="A342" s="9">
        <v>93501</v>
      </c>
      <c r="B342" s="10" t="s">
        <v>1718</v>
      </c>
      <c r="C342" s="60">
        <v>3.6113999999999999E-3</v>
      </c>
      <c r="E342" s="62">
        <v>381356.79762403283</v>
      </c>
      <c r="F342" s="62">
        <v>1635414.4158640332</v>
      </c>
      <c r="G342" s="62">
        <v>824400.18000386818</v>
      </c>
      <c r="H342" s="62">
        <v>-375754.40812000009</v>
      </c>
      <c r="I342" s="62">
        <v>0</v>
      </c>
      <c r="J342" s="62"/>
      <c r="K342" s="62">
        <v>-21729.793799999999</v>
      </c>
      <c r="L342" s="62">
        <v>45741.992399999996</v>
      </c>
      <c r="M342" s="62">
        <v>84875.122799999997</v>
      </c>
      <c r="N342" s="62">
        <v>52780.610999999997</v>
      </c>
      <c r="O342" s="62">
        <v>0</v>
      </c>
      <c r="P342" s="62"/>
      <c r="Q342" s="62">
        <v>79504.97099999999</v>
      </c>
      <c r="R342" s="62">
        <v>1319027.736</v>
      </c>
      <c r="S342" s="62">
        <v>504736.48679999996</v>
      </c>
      <c r="T342" s="62">
        <v>-563681.75760000001</v>
      </c>
      <c r="U342" s="62">
        <v>0</v>
      </c>
      <c r="V342" s="62"/>
      <c r="W342" s="62">
        <v>235741.3578</v>
      </c>
      <c r="X342" s="62">
        <v>235741.3578</v>
      </c>
      <c r="Y342" s="62">
        <v>216705.6684</v>
      </c>
      <c r="Z342" s="62">
        <v>99746.868000000002</v>
      </c>
      <c r="AA342" s="62">
        <v>0</v>
      </c>
      <c r="AB342" s="62"/>
      <c r="AC342" s="62">
        <v>107976.27247999993</v>
      </c>
      <c r="AD342" s="62">
        <v>55039.339519999921</v>
      </c>
      <c r="AE342" s="62">
        <v>35399.870479999903</v>
      </c>
      <c r="AF342" s="62">
        <v>35399.870479999903</v>
      </c>
      <c r="AG342" s="62">
        <v>0</v>
      </c>
      <c r="AH342" s="62"/>
      <c r="AI342" s="62">
        <v>-20136.009855967044</v>
      </c>
      <c r="AJ342" s="62">
        <v>-20136.009855967044</v>
      </c>
      <c r="AK342" s="62">
        <v>-17316.968476131664</v>
      </c>
      <c r="AL342" s="62">
        <v>0</v>
      </c>
      <c r="AM342" s="62">
        <v>0</v>
      </c>
    </row>
    <row r="343" spans="1:39">
      <c r="A343" s="9">
        <v>93511</v>
      </c>
      <c r="B343" s="10" t="s">
        <v>1719</v>
      </c>
      <c r="C343" s="60">
        <v>8.8300000000000005E-5</v>
      </c>
      <c r="E343" s="62">
        <v>4467.5714855779261</v>
      </c>
      <c r="F343" s="62">
        <v>34244.765106988714</v>
      </c>
      <c r="G343" s="62">
        <v>16990.676648559671</v>
      </c>
      <c r="H343" s="62">
        <v>-10943.759900000001</v>
      </c>
      <c r="I343" s="62">
        <v>0</v>
      </c>
      <c r="J343" s="62"/>
      <c r="K343" s="62">
        <v>-531.30110000000002</v>
      </c>
      <c r="L343" s="62">
        <v>1118.4078</v>
      </c>
      <c r="M343" s="62">
        <v>2075.2266</v>
      </c>
      <c r="N343" s="62">
        <v>1290.5045</v>
      </c>
      <c r="O343" s="62">
        <v>0</v>
      </c>
      <c r="P343" s="62"/>
      <c r="Q343" s="62">
        <v>1943.9245000000001</v>
      </c>
      <c r="R343" s="62">
        <v>32250.692000000003</v>
      </c>
      <c r="S343" s="62">
        <v>12340.984600000002</v>
      </c>
      <c r="T343" s="62">
        <v>-13782.217200000001</v>
      </c>
      <c r="U343" s="62">
        <v>0</v>
      </c>
      <c r="V343" s="62"/>
      <c r="W343" s="62">
        <v>5763.9591</v>
      </c>
      <c r="X343" s="62">
        <v>5763.9591</v>
      </c>
      <c r="Y343" s="62">
        <v>5298.5298000000003</v>
      </c>
      <c r="Z343" s="62">
        <v>2438.846</v>
      </c>
      <c r="AA343" s="62">
        <v>0</v>
      </c>
      <c r="AB343" s="62"/>
      <c r="AC343" s="62">
        <v>2588.8500000000004</v>
      </c>
      <c r="AD343" s="62">
        <v>0</v>
      </c>
      <c r="AE343" s="62">
        <v>0</v>
      </c>
      <c r="AF343" s="62">
        <v>0</v>
      </c>
      <c r="AG343" s="62">
        <v>0</v>
      </c>
      <c r="AH343" s="62"/>
      <c r="AI343" s="62">
        <v>-5297.8610144220747</v>
      </c>
      <c r="AJ343" s="62">
        <v>-4888.2937930112867</v>
      </c>
      <c r="AK343" s="62">
        <v>-2724.06435144033</v>
      </c>
      <c r="AL343" s="62">
        <v>-890.89319999999998</v>
      </c>
      <c r="AM343" s="62">
        <v>0</v>
      </c>
    </row>
    <row r="344" spans="1:39">
      <c r="A344" s="9">
        <v>93517</v>
      </c>
      <c r="B344" s="10" t="s">
        <v>1720</v>
      </c>
      <c r="C344" s="60">
        <v>6.0000000000000002E-6</v>
      </c>
      <c r="E344" s="62">
        <v>1263.3493552823456</v>
      </c>
      <c r="F344" s="62">
        <v>3799.1951212574495</v>
      </c>
      <c r="G344" s="62">
        <v>1811.3831460905353</v>
      </c>
      <c r="H344" s="62">
        <v>-440.38719999999995</v>
      </c>
      <c r="I344" s="62">
        <v>0</v>
      </c>
      <c r="J344" s="62"/>
      <c r="K344" s="62">
        <v>-36.102000000000004</v>
      </c>
      <c r="L344" s="62">
        <v>75.995999999999995</v>
      </c>
      <c r="M344" s="62">
        <v>141.012</v>
      </c>
      <c r="N344" s="62">
        <v>87.69</v>
      </c>
      <c r="O344" s="62">
        <v>0</v>
      </c>
      <c r="P344" s="62"/>
      <c r="Q344" s="62">
        <v>132.09</v>
      </c>
      <c r="R344" s="62">
        <v>2191.44</v>
      </c>
      <c r="S344" s="62">
        <v>838.572</v>
      </c>
      <c r="T344" s="62">
        <v>-936.50400000000002</v>
      </c>
      <c r="U344" s="62">
        <v>0</v>
      </c>
      <c r="V344" s="62"/>
      <c r="W344" s="62">
        <v>391.66200000000003</v>
      </c>
      <c r="X344" s="62">
        <v>391.66200000000003</v>
      </c>
      <c r="Y344" s="62">
        <v>360.036</v>
      </c>
      <c r="Z344" s="62">
        <v>165.72</v>
      </c>
      <c r="AA344" s="62">
        <v>0</v>
      </c>
      <c r="AB344" s="62"/>
      <c r="AC344" s="62">
        <v>1278.6193552823456</v>
      </c>
      <c r="AD344" s="62">
        <v>1140.0971212574495</v>
      </c>
      <c r="AE344" s="62">
        <v>471.76314609053509</v>
      </c>
      <c r="AF344" s="62">
        <v>242.7068000000001</v>
      </c>
      <c r="AG344" s="62">
        <v>0</v>
      </c>
      <c r="AH344" s="62"/>
      <c r="AI344" s="62">
        <v>-502.92000000000013</v>
      </c>
      <c r="AJ344" s="62">
        <v>0</v>
      </c>
      <c r="AK344" s="62">
        <v>0</v>
      </c>
      <c r="AL344" s="62">
        <v>0</v>
      </c>
      <c r="AM344" s="62">
        <v>0</v>
      </c>
    </row>
    <row r="345" spans="1:39">
      <c r="A345" s="9">
        <v>93521</v>
      </c>
      <c r="B345" s="10" t="s">
        <v>1721</v>
      </c>
      <c r="C345" s="60">
        <v>4.5649999999999998E-4</v>
      </c>
      <c r="E345" s="62">
        <v>17300.194222815437</v>
      </c>
      <c r="F345" s="62">
        <v>187048.87301244203</v>
      </c>
      <c r="G345" s="62">
        <v>86820.077017037052</v>
      </c>
      <c r="H345" s="62">
        <v>-69227.512019999966</v>
      </c>
      <c r="I345" s="62">
        <v>0</v>
      </c>
      <c r="J345" s="62"/>
      <c r="K345" s="62">
        <v>-2746.7604999999999</v>
      </c>
      <c r="L345" s="62">
        <v>5782.0289999999995</v>
      </c>
      <c r="M345" s="62">
        <v>10728.663</v>
      </c>
      <c r="N345" s="62">
        <v>6671.7474999999995</v>
      </c>
      <c r="O345" s="62">
        <v>0</v>
      </c>
      <c r="P345" s="62"/>
      <c r="Q345" s="62">
        <v>10049.8475</v>
      </c>
      <c r="R345" s="62">
        <v>166732.06</v>
      </c>
      <c r="S345" s="62">
        <v>63801.352999999996</v>
      </c>
      <c r="T345" s="62">
        <v>-71252.34599999999</v>
      </c>
      <c r="U345" s="62">
        <v>0</v>
      </c>
      <c r="V345" s="62"/>
      <c r="W345" s="62">
        <v>29798.950499999999</v>
      </c>
      <c r="X345" s="62">
        <v>29798.950499999999</v>
      </c>
      <c r="Y345" s="62">
        <v>27392.738999999998</v>
      </c>
      <c r="Z345" s="62">
        <v>12608.529999999999</v>
      </c>
      <c r="AA345" s="62">
        <v>0</v>
      </c>
      <c r="AB345" s="62"/>
      <c r="AC345" s="62">
        <v>2503.2157407407267</v>
      </c>
      <c r="AD345" s="62">
        <v>2503.2157407407267</v>
      </c>
      <c r="AE345" s="62">
        <v>2152.7655370370258</v>
      </c>
      <c r="AF345" s="62">
        <v>0</v>
      </c>
      <c r="AG345" s="62">
        <v>0</v>
      </c>
      <c r="AH345" s="62"/>
      <c r="AI345" s="62">
        <v>-22305.05901792529</v>
      </c>
      <c r="AJ345" s="62">
        <v>-17767.382228298735</v>
      </c>
      <c r="AK345" s="62">
        <v>-17255.443519999972</v>
      </c>
      <c r="AL345" s="62">
        <v>-17255.443519999972</v>
      </c>
      <c r="AM345" s="62">
        <v>0</v>
      </c>
    </row>
    <row r="346" spans="1:39">
      <c r="A346" s="9">
        <v>93527</v>
      </c>
      <c r="B346" s="10" t="s">
        <v>1722</v>
      </c>
      <c r="C346" s="60">
        <v>1.2099999999999999E-5</v>
      </c>
      <c r="E346" s="62">
        <v>6840.8769486730534</v>
      </c>
      <c r="F346" s="62">
        <v>9584.7120797933858</v>
      </c>
      <c r="G346" s="62">
        <v>5707.8293804115237</v>
      </c>
      <c r="H346" s="62">
        <v>552.67238000000111</v>
      </c>
      <c r="I346" s="62">
        <v>0</v>
      </c>
      <c r="J346" s="62"/>
      <c r="K346" s="62">
        <v>-72.805700000000002</v>
      </c>
      <c r="L346" s="62">
        <v>153.2586</v>
      </c>
      <c r="M346" s="62">
        <v>284.37419999999997</v>
      </c>
      <c r="N346" s="62">
        <v>176.8415</v>
      </c>
      <c r="O346" s="62">
        <v>0</v>
      </c>
      <c r="P346" s="62"/>
      <c r="Q346" s="62">
        <v>266.38149999999996</v>
      </c>
      <c r="R346" s="62">
        <v>4419.4039999999995</v>
      </c>
      <c r="S346" s="62">
        <v>1691.1201999999998</v>
      </c>
      <c r="T346" s="62">
        <v>-1888.6163999999999</v>
      </c>
      <c r="U346" s="62">
        <v>0</v>
      </c>
      <c r="V346" s="62"/>
      <c r="W346" s="62">
        <v>789.85169999999994</v>
      </c>
      <c r="X346" s="62">
        <v>789.85169999999994</v>
      </c>
      <c r="Y346" s="62">
        <v>726.07259999999997</v>
      </c>
      <c r="Z346" s="62">
        <v>334.202</v>
      </c>
      <c r="AA346" s="62">
        <v>0</v>
      </c>
      <c r="AB346" s="62"/>
      <c r="AC346" s="62">
        <v>5857.4494486730537</v>
      </c>
      <c r="AD346" s="62">
        <v>4222.197779793386</v>
      </c>
      <c r="AE346" s="62">
        <v>3006.2623804115237</v>
      </c>
      <c r="AF346" s="62">
        <v>1930.245280000001</v>
      </c>
      <c r="AG346" s="62">
        <v>0</v>
      </c>
      <c r="AH346" s="62"/>
      <c r="AI346" s="62">
        <v>0</v>
      </c>
      <c r="AJ346" s="62">
        <v>0</v>
      </c>
      <c r="AK346" s="62">
        <v>0</v>
      </c>
      <c r="AL346" s="62">
        <v>0</v>
      </c>
      <c r="AM346" s="62">
        <v>0</v>
      </c>
    </row>
    <row r="347" spans="1:39">
      <c r="A347" s="9">
        <v>93531</v>
      </c>
      <c r="B347" s="10" t="s">
        <v>1723</v>
      </c>
      <c r="C347" s="60">
        <v>1.7E-5</v>
      </c>
      <c r="E347" s="62">
        <v>181.54713024264356</v>
      </c>
      <c r="F347" s="62">
        <v>7363.8849678360039</v>
      </c>
      <c r="G347" s="62">
        <v>3624.0753769547314</v>
      </c>
      <c r="H347" s="62">
        <v>-2344.9442000000008</v>
      </c>
      <c r="I347" s="62">
        <v>0</v>
      </c>
      <c r="J347" s="62"/>
      <c r="K347" s="62">
        <v>-102.289</v>
      </c>
      <c r="L347" s="62">
        <v>215.322</v>
      </c>
      <c r="M347" s="62">
        <v>399.53399999999999</v>
      </c>
      <c r="N347" s="62">
        <v>248.45499999999998</v>
      </c>
      <c r="O347" s="62">
        <v>0</v>
      </c>
      <c r="P347" s="62"/>
      <c r="Q347" s="62">
        <v>374.255</v>
      </c>
      <c r="R347" s="62">
        <v>6209.08</v>
      </c>
      <c r="S347" s="62">
        <v>2375.9540000000002</v>
      </c>
      <c r="T347" s="62">
        <v>-2653.4279999999999</v>
      </c>
      <c r="U347" s="62">
        <v>0</v>
      </c>
      <c r="V347" s="62"/>
      <c r="W347" s="62">
        <v>1109.7090000000001</v>
      </c>
      <c r="X347" s="62">
        <v>1109.7090000000001</v>
      </c>
      <c r="Y347" s="62">
        <v>1020.102</v>
      </c>
      <c r="Z347" s="62">
        <v>469.54</v>
      </c>
      <c r="AA347" s="62">
        <v>0</v>
      </c>
      <c r="AB347" s="62"/>
      <c r="AC347" s="62">
        <v>276.74020576131636</v>
      </c>
      <c r="AD347" s="62">
        <v>276.74020576131636</v>
      </c>
      <c r="AE347" s="62">
        <v>237.99657695473215</v>
      </c>
      <c r="AF347" s="62">
        <v>0</v>
      </c>
      <c r="AG347" s="62">
        <v>0</v>
      </c>
      <c r="AH347" s="62"/>
      <c r="AI347" s="62">
        <v>-1476.8680755186729</v>
      </c>
      <c r="AJ347" s="62">
        <v>-446.96623792531182</v>
      </c>
      <c r="AK347" s="62">
        <v>-409.51120000000094</v>
      </c>
      <c r="AL347" s="62">
        <v>-409.51120000000094</v>
      </c>
      <c r="AM347" s="62">
        <v>0</v>
      </c>
    </row>
    <row r="348" spans="1:39">
      <c r="A348" s="9">
        <v>93537</v>
      </c>
      <c r="B348" s="10" t="s">
        <v>1724</v>
      </c>
      <c r="C348" s="60">
        <v>1.1199999999999999E-5</v>
      </c>
      <c r="E348" s="62">
        <v>335.05305339070651</v>
      </c>
      <c r="F348" s="62">
        <v>4416.4588185359344</v>
      </c>
      <c r="G348" s="62">
        <v>2024.2631943209867</v>
      </c>
      <c r="H348" s="62">
        <v>-1574.5573600000005</v>
      </c>
      <c r="I348" s="62">
        <v>0</v>
      </c>
      <c r="J348" s="62"/>
      <c r="K348" s="62">
        <v>-67.3904</v>
      </c>
      <c r="L348" s="62">
        <v>141.85919999999999</v>
      </c>
      <c r="M348" s="62">
        <v>263.22239999999999</v>
      </c>
      <c r="N348" s="62">
        <v>163.68799999999999</v>
      </c>
      <c r="O348" s="62">
        <v>0</v>
      </c>
      <c r="P348" s="62"/>
      <c r="Q348" s="62">
        <v>246.56799999999998</v>
      </c>
      <c r="R348" s="62">
        <v>4090.6879999999996</v>
      </c>
      <c r="S348" s="62">
        <v>1565.3344</v>
      </c>
      <c r="T348" s="62">
        <v>-1748.1407999999999</v>
      </c>
      <c r="U348" s="62">
        <v>0</v>
      </c>
      <c r="V348" s="62"/>
      <c r="W348" s="62">
        <v>731.10239999999999</v>
      </c>
      <c r="X348" s="62">
        <v>731.10239999999999</v>
      </c>
      <c r="Y348" s="62">
        <v>672.06719999999996</v>
      </c>
      <c r="Z348" s="62">
        <v>309.34399999999999</v>
      </c>
      <c r="AA348" s="62">
        <v>0</v>
      </c>
      <c r="AB348" s="62"/>
      <c r="AC348" s="62">
        <v>0</v>
      </c>
      <c r="AD348" s="62">
        <v>0</v>
      </c>
      <c r="AE348" s="62">
        <v>0</v>
      </c>
      <c r="AF348" s="62">
        <v>0</v>
      </c>
      <c r="AG348" s="62">
        <v>0</v>
      </c>
      <c r="AH348" s="62"/>
      <c r="AI348" s="62">
        <v>-575.22694660929346</v>
      </c>
      <c r="AJ348" s="62">
        <v>-547.19078146406525</v>
      </c>
      <c r="AK348" s="62">
        <v>-476.3608056790132</v>
      </c>
      <c r="AL348" s="62">
        <v>-299.44856000000055</v>
      </c>
      <c r="AM348" s="62">
        <v>0</v>
      </c>
    </row>
    <row r="349" spans="1:39">
      <c r="A349" s="9">
        <v>93541</v>
      </c>
      <c r="B349" s="10" t="s">
        <v>1725</v>
      </c>
      <c r="C349" s="60">
        <v>1.0560000000000001E-4</v>
      </c>
      <c r="E349" s="62">
        <v>12542.37813323702</v>
      </c>
      <c r="F349" s="62">
        <v>46551.642211743245</v>
      </c>
      <c r="G349" s="62">
        <v>23569.174400246906</v>
      </c>
      <c r="H349" s="62">
        <v>-11946.936880000007</v>
      </c>
      <c r="I349" s="62">
        <v>0</v>
      </c>
      <c r="J349" s="62"/>
      <c r="K349" s="62">
        <v>-635.39520000000005</v>
      </c>
      <c r="L349" s="62">
        <v>1337.5296000000001</v>
      </c>
      <c r="M349" s="62">
        <v>2481.8112000000001</v>
      </c>
      <c r="N349" s="62">
        <v>1543.3440000000001</v>
      </c>
      <c r="O349" s="62">
        <v>0</v>
      </c>
      <c r="P349" s="62"/>
      <c r="Q349" s="62">
        <v>2324.7840000000001</v>
      </c>
      <c r="R349" s="62">
        <v>38569.344000000005</v>
      </c>
      <c r="S349" s="62">
        <v>14758.867200000001</v>
      </c>
      <c r="T349" s="62">
        <v>-16482.470400000002</v>
      </c>
      <c r="U349" s="62">
        <v>0</v>
      </c>
      <c r="V349" s="62"/>
      <c r="W349" s="62">
        <v>6893.2512000000006</v>
      </c>
      <c r="X349" s="62">
        <v>6893.2512000000006</v>
      </c>
      <c r="Y349" s="62">
        <v>6336.6336000000001</v>
      </c>
      <c r="Z349" s="62">
        <v>2916.672</v>
      </c>
      <c r="AA349" s="62">
        <v>0</v>
      </c>
      <c r="AB349" s="62"/>
      <c r="AC349" s="62">
        <v>4333.5075199999947</v>
      </c>
      <c r="AD349" s="62">
        <v>75.517519999993979</v>
      </c>
      <c r="AE349" s="62">
        <v>75.517519999993979</v>
      </c>
      <c r="AF349" s="62">
        <v>75.517519999993979</v>
      </c>
      <c r="AG349" s="62">
        <v>0</v>
      </c>
      <c r="AH349" s="62"/>
      <c r="AI349" s="62">
        <v>-373.7693867629747</v>
      </c>
      <c r="AJ349" s="62">
        <v>-324.00010825675088</v>
      </c>
      <c r="AK349" s="62">
        <v>-83.6551197530884</v>
      </c>
      <c r="AL349" s="62">
        <v>0</v>
      </c>
      <c r="AM349" s="62">
        <v>0</v>
      </c>
    </row>
    <row r="350" spans="1:39">
      <c r="A350" s="9">
        <v>93601</v>
      </c>
      <c r="B350" s="10" t="s">
        <v>1726</v>
      </c>
      <c r="C350" s="60">
        <v>1.0721400000000001E-2</v>
      </c>
      <c r="E350" s="62">
        <v>784202.25719255954</v>
      </c>
      <c r="F350" s="62">
        <v>4695564.4251928926</v>
      </c>
      <c r="G350" s="62">
        <v>2366628.2024334986</v>
      </c>
      <c r="H350" s="62">
        <v>-1267524.94692</v>
      </c>
      <c r="I350" s="62">
        <v>0</v>
      </c>
      <c r="J350" s="62"/>
      <c r="K350" s="62">
        <v>-64510.663800000002</v>
      </c>
      <c r="L350" s="62">
        <v>135797.2524</v>
      </c>
      <c r="M350" s="62">
        <v>251974.34280000001</v>
      </c>
      <c r="N350" s="62">
        <v>156693.261</v>
      </c>
      <c r="O350" s="62">
        <v>0</v>
      </c>
      <c r="P350" s="62"/>
      <c r="Q350" s="62">
        <v>236031.62100000001</v>
      </c>
      <c r="R350" s="62">
        <v>3915884.1360000004</v>
      </c>
      <c r="S350" s="62">
        <v>1498444.3068000001</v>
      </c>
      <c r="T350" s="62">
        <v>-1673438.9976000001</v>
      </c>
      <c r="U350" s="62">
        <v>0</v>
      </c>
      <c r="V350" s="62"/>
      <c r="W350" s="62">
        <v>699860.82780000009</v>
      </c>
      <c r="X350" s="62">
        <v>699860.82780000009</v>
      </c>
      <c r="Y350" s="62">
        <v>643348.3284</v>
      </c>
      <c r="Z350" s="62">
        <v>296125.06800000003</v>
      </c>
      <c r="AA350" s="62">
        <v>0</v>
      </c>
      <c r="AB350" s="62"/>
      <c r="AC350" s="62">
        <v>22983.142736625625</v>
      </c>
      <c r="AD350" s="62">
        <v>22983.142736625625</v>
      </c>
      <c r="AE350" s="62">
        <v>19765.502753498044</v>
      </c>
      <c r="AF350" s="62">
        <v>0</v>
      </c>
      <c r="AG350" s="62">
        <v>0</v>
      </c>
      <c r="AH350" s="62"/>
      <c r="AI350" s="62">
        <v>-110162.67054406623</v>
      </c>
      <c r="AJ350" s="62">
        <v>-78960.933743734277</v>
      </c>
      <c r="AK350" s="62">
        <v>-46904.278319999765</v>
      </c>
      <c r="AL350" s="62">
        <v>-46904.278319999765</v>
      </c>
      <c r="AM350" s="62">
        <v>0</v>
      </c>
    </row>
    <row r="351" spans="1:39">
      <c r="A351" s="9">
        <v>93602</v>
      </c>
      <c r="B351" s="10" t="s">
        <v>1727</v>
      </c>
      <c r="C351" s="60">
        <v>1.7540000000000001E-4</v>
      </c>
      <c r="E351" s="62">
        <v>11394.200161197346</v>
      </c>
      <c r="F351" s="62">
        <v>75717.470613811456</v>
      </c>
      <c r="G351" s="62">
        <v>37255.375897119353</v>
      </c>
      <c r="H351" s="62">
        <v>-19066.22819999999</v>
      </c>
      <c r="I351" s="62">
        <v>0</v>
      </c>
      <c r="J351" s="62"/>
      <c r="K351" s="62">
        <v>-1055.3818000000001</v>
      </c>
      <c r="L351" s="62">
        <v>2221.6163999999999</v>
      </c>
      <c r="M351" s="62">
        <v>4122.2507999999998</v>
      </c>
      <c r="N351" s="62">
        <v>2563.471</v>
      </c>
      <c r="O351" s="62">
        <v>0</v>
      </c>
      <c r="P351" s="62"/>
      <c r="Q351" s="62">
        <v>3861.431</v>
      </c>
      <c r="R351" s="62">
        <v>64063.096000000005</v>
      </c>
      <c r="S351" s="62">
        <v>24514.254800000002</v>
      </c>
      <c r="T351" s="62">
        <v>-27377.133600000001</v>
      </c>
      <c r="U351" s="62">
        <v>0</v>
      </c>
      <c r="V351" s="62"/>
      <c r="W351" s="62">
        <v>11449.585800000001</v>
      </c>
      <c r="X351" s="62">
        <v>11449.585800000001</v>
      </c>
      <c r="Y351" s="62">
        <v>10525.0524</v>
      </c>
      <c r="Z351" s="62">
        <v>4844.5479999999998</v>
      </c>
      <c r="AA351" s="62">
        <v>0</v>
      </c>
      <c r="AB351" s="62"/>
      <c r="AC351" s="62">
        <v>1325.6238854771832</v>
      </c>
      <c r="AD351" s="62">
        <v>1249.531138091292</v>
      </c>
      <c r="AE351" s="62">
        <v>902.88640000000885</v>
      </c>
      <c r="AF351" s="62">
        <v>902.88640000000885</v>
      </c>
      <c r="AG351" s="62">
        <v>0</v>
      </c>
      <c r="AH351" s="62"/>
      <c r="AI351" s="62">
        <v>-4187.0587242798383</v>
      </c>
      <c r="AJ351" s="62">
        <v>-3266.3587242798385</v>
      </c>
      <c r="AK351" s="62">
        <v>-2809.068502880662</v>
      </c>
      <c r="AL351" s="62">
        <v>0</v>
      </c>
      <c r="AM351" s="62">
        <v>0</v>
      </c>
    </row>
    <row r="352" spans="1:39">
      <c r="A352" s="9">
        <v>93609</v>
      </c>
      <c r="B352" s="10" t="s">
        <v>1728</v>
      </c>
      <c r="C352" s="60">
        <v>3.7629999999999999E-3</v>
      </c>
      <c r="E352" s="62">
        <v>664243.60366615513</v>
      </c>
      <c r="F352" s="62">
        <v>1856686.5278769433</v>
      </c>
      <c r="G352" s="62">
        <v>994450.70410674892</v>
      </c>
      <c r="H352" s="62">
        <v>-306779.32491999993</v>
      </c>
      <c r="I352" s="62">
        <v>0</v>
      </c>
      <c r="J352" s="62"/>
      <c r="K352" s="62">
        <v>-22641.970999999998</v>
      </c>
      <c r="L352" s="62">
        <v>47662.157999999996</v>
      </c>
      <c r="M352" s="62">
        <v>88438.025999999998</v>
      </c>
      <c r="N352" s="62">
        <v>54996.244999999995</v>
      </c>
      <c r="O352" s="62">
        <v>0</v>
      </c>
      <c r="P352" s="62"/>
      <c r="Q352" s="62">
        <v>82842.444999999992</v>
      </c>
      <c r="R352" s="62">
        <v>1374398.1199999999</v>
      </c>
      <c r="S352" s="62">
        <v>525924.40599999996</v>
      </c>
      <c r="T352" s="62">
        <v>-587344.09199999995</v>
      </c>
      <c r="U352" s="62">
        <v>0</v>
      </c>
      <c r="V352" s="62"/>
      <c r="W352" s="62">
        <v>245637.351</v>
      </c>
      <c r="X352" s="62">
        <v>245637.351</v>
      </c>
      <c r="Y352" s="62">
        <v>225802.57799999998</v>
      </c>
      <c r="Z352" s="62">
        <v>103934.06</v>
      </c>
      <c r="AA352" s="62">
        <v>0</v>
      </c>
      <c r="AB352" s="62"/>
      <c r="AC352" s="62">
        <v>358405.77866615506</v>
      </c>
      <c r="AD352" s="62">
        <v>188988.89887694345</v>
      </c>
      <c r="AE352" s="62">
        <v>154285.69410674903</v>
      </c>
      <c r="AF352" s="62">
        <v>121634.46208000006</v>
      </c>
      <c r="AG352" s="62">
        <v>0</v>
      </c>
      <c r="AH352" s="62"/>
      <c r="AI352" s="62">
        <v>0</v>
      </c>
      <c r="AJ352" s="62">
        <v>0</v>
      </c>
      <c r="AK352" s="62">
        <v>0</v>
      </c>
      <c r="AL352" s="62">
        <v>0</v>
      </c>
      <c r="AM352" s="62">
        <v>0</v>
      </c>
    </row>
    <row r="353" spans="1:39">
      <c r="A353" s="9">
        <v>93610</v>
      </c>
      <c r="B353" s="10" t="s">
        <v>1729</v>
      </c>
      <c r="C353" s="60">
        <v>1.33E-5</v>
      </c>
      <c r="E353" s="62">
        <v>2317.471896349231</v>
      </c>
      <c r="F353" s="62">
        <v>6425.7900141915543</v>
      </c>
      <c r="G353" s="62">
        <v>3042.8895403292177</v>
      </c>
      <c r="H353" s="62">
        <v>-426.39489999999955</v>
      </c>
      <c r="I353" s="62">
        <v>0</v>
      </c>
      <c r="J353" s="62"/>
      <c r="K353" s="62">
        <v>-80.0261</v>
      </c>
      <c r="L353" s="62">
        <v>168.45779999999999</v>
      </c>
      <c r="M353" s="62">
        <v>312.57659999999998</v>
      </c>
      <c r="N353" s="62">
        <v>194.37950000000001</v>
      </c>
      <c r="O353" s="62">
        <v>0</v>
      </c>
      <c r="P353" s="62"/>
      <c r="Q353" s="62">
        <v>292.79949999999997</v>
      </c>
      <c r="R353" s="62">
        <v>4857.692</v>
      </c>
      <c r="S353" s="62">
        <v>1858.8345999999999</v>
      </c>
      <c r="T353" s="62">
        <v>-2075.9171999999999</v>
      </c>
      <c r="U353" s="62">
        <v>0</v>
      </c>
      <c r="V353" s="62"/>
      <c r="W353" s="62">
        <v>868.18409999999994</v>
      </c>
      <c r="X353" s="62">
        <v>868.18409999999994</v>
      </c>
      <c r="Y353" s="62">
        <v>798.07979999999998</v>
      </c>
      <c r="Z353" s="62">
        <v>367.346</v>
      </c>
      <c r="AA353" s="62">
        <v>0</v>
      </c>
      <c r="AB353" s="62"/>
      <c r="AC353" s="62">
        <v>2416.0472564315355</v>
      </c>
      <c r="AD353" s="62">
        <v>1710.9889742738592</v>
      </c>
      <c r="AE353" s="62">
        <v>1087.7968000000003</v>
      </c>
      <c r="AF353" s="62">
        <v>1087.7968000000003</v>
      </c>
      <c r="AG353" s="62">
        <v>0</v>
      </c>
      <c r="AH353" s="62"/>
      <c r="AI353" s="62">
        <v>-1179.5328600823045</v>
      </c>
      <c r="AJ353" s="62">
        <v>-1179.5328600823045</v>
      </c>
      <c r="AK353" s="62">
        <v>-1014.3982596707823</v>
      </c>
      <c r="AL353" s="62">
        <v>0</v>
      </c>
      <c r="AM353" s="62">
        <v>0</v>
      </c>
    </row>
    <row r="354" spans="1:39">
      <c r="A354" s="9">
        <v>93611</v>
      </c>
      <c r="B354" s="10" t="s">
        <v>1730</v>
      </c>
      <c r="C354" s="60">
        <v>6.9544000000000003E-3</v>
      </c>
      <c r="E354" s="62">
        <v>467886.39274555573</v>
      </c>
      <c r="F354" s="62">
        <v>3063223.9486802449</v>
      </c>
      <c r="G354" s="62">
        <v>1561687.7518580249</v>
      </c>
      <c r="H354" s="62">
        <v>-776464.86759999988</v>
      </c>
      <c r="I354" s="62">
        <v>0</v>
      </c>
      <c r="J354" s="62"/>
      <c r="K354" s="62">
        <v>-41844.624800000005</v>
      </c>
      <c r="L354" s="62">
        <v>88084.430399999997</v>
      </c>
      <c r="M354" s="62">
        <v>163442.3088</v>
      </c>
      <c r="N354" s="62">
        <v>101638.55600000001</v>
      </c>
      <c r="O354" s="62">
        <v>0</v>
      </c>
      <c r="P354" s="62"/>
      <c r="Q354" s="62">
        <v>153101.11600000001</v>
      </c>
      <c r="R354" s="62">
        <v>2540025.0560000003</v>
      </c>
      <c r="S354" s="62">
        <v>971960.85279999999</v>
      </c>
      <c r="T354" s="62">
        <v>-1085470.5696</v>
      </c>
      <c r="U354" s="62">
        <v>0</v>
      </c>
      <c r="V354" s="62"/>
      <c r="W354" s="62">
        <v>453962.3688</v>
      </c>
      <c r="X354" s="62">
        <v>453962.3688</v>
      </c>
      <c r="Y354" s="62">
        <v>417305.72640000004</v>
      </c>
      <c r="Z354" s="62">
        <v>192080.52800000002</v>
      </c>
      <c r="AA354" s="62">
        <v>0</v>
      </c>
      <c r="AB354" s="62"/>
      <c r="AC354" s="62">
        <v>15286.618000000157</v>
      </c>
      <c r="AD354" s="62">
        <v>15286.618000000157</v>
      </c>
      <c r="AE354" s="62">
        <v>15286.618000000157</v>
      </c>
      <c r="AF354" s="62">
        <v>15286.618000000157</v>
      </c>
      <c r="AG354" s="62">
        <v>0</v>
      </c>
      <c r="AH354" s="62"/>
      <c r="AI354" s="62">
        <v>-112619.08525444442</v>
      </c>
      <c r="AJ354" s="62">
        <v>-34134.524519755534</v>
      </c>
      <c r="AK354" s="62">
        <v>-6307.7541419753288</v>
      </c>
      <c r="AL354" s="62">
        <v>0</v>
      </c>
      <c r="AM354" s="62">
        <v>0</v>
      </c>
    </row>
    <row r="355" spans="1:39">
      <c r="A355" s="9">
        <v>93617</v>
      </c>
      <c r="B355" s="10" t="s">
        <v>1731</v>
      </c>
      <c r="C355" s="60">
        <v>8.2799999999999993E-5</v>
      </c>
      <c r="E355" s="62">
        <v>16872.324739511292</v>
      </c>
      <c r="F355" s="62">
        <v>42684.45328639925</v>
      </c>
      <c r="G355" s="62">
        <v>21804.251844444443</v>
      </c>
      <c r="H355" s="62">
        <v>-9254.1172000000006</v>
      </c>
      <c r="I355" s="62">
        <v>0</v>
      </c>
      <c r="J355" s="62"/>
      <c r="K355" s="62">
        <v>-498.20759999999996</v>
      </c>
      <c r="L355" s="62">
        <v>1048.7447999999999</v>
      </c>
      <c r="M355" s="62">
        <v>1945.9655999999998</v>
      </c>
      <c r="N355" s="62">
        <v>1210.1219999999998</v>
      </c>
      <c r="O355" s="62">
        <v>0</v>
      </c>
      <c r="P355" s="62"/>
      <c r="Q355" s="62">
        <v>1822.8419999999999</v>
      </c>
      <c r="R355" s="62">
        <v>30241.871999999996</v>
      </c>
      <c r="S355" s="62">
        <v>11572.293599999999</v>
      </c>
      <c r="T355" s="62">
        <v>-12923.7552</v>
      </c>
      <c r="U355" s="62">
        <v>0</v>
      </c>
      <c r="V355" s="62"/>
      <c r="W355" s="62">
        <v>5404.9355999999998</v>
      </c>
      <c r="X355" s="62">
        <v>5404.9355999999998</v>
      </c>
      <c r="Y355" s="62">
        <v>4968.4967999999999</v>
      </c>
      <c r="Z355" s="62">
        <v>2286.9359999999997</v>
      </c>
      <c r="AA355" s="62">
        <v>0</v>
      </c>
      <c r="AB355" s="62"/>
      <c r="AC355" s="62">
        <v>10142.754739511292</v>
      </c>
      <c r="AD355" s="62">
        <v>5988.9008863992603</v>
      </c>
      <c r="AE355" s="62">
        <v>3317.4958444444474</v>
      </c>
      <c r="AF355" s="62">
        <v>172.58000000000015</v>
      </c>
      <c r="AG355" s="62">
        <v>0</v>
      </c>
      <c r="AH355" s="62"/>
      <c r="AI355" s="62">
        <v>0</v>
      </c>
      <c r="AJ355" s="62">
        <v>0</v>
      </c>
      <c r="AK355" s="62">
        <v>0</v>
      </c>
      <c r="AL355" s="62">
        <v>0</v>
      </c>
      <c r="AM355" s="62">
        <v>0</v>
      </c>
    </row>
    <row r="356" spans="1:39">
      <c r="A356" s="9">
        <v>93618</v>
      </c>
      <c r="B356" s="10" t="s">
        <v>1732</v>
      </c>
      <c r="C356" s="60">
        <v>1.11E-5</v>
      </c>
      <c r="E356" s="62">
        <v>13076.803671656508</v>
      </c>
      <c r="F356" s="62">
        <v>15682.504390328708</v>
      </c>
      <c r="G356" s="62">
        <v>9488.8129984362167</v>
      </c>
      <c r="H356" s="62">
        <v>2412.8775400000013</v>
      </c>
      <c r="I356" s="62">
        <v>0</v>
      </c>
      <c r="J356" s="62"/>
      <c r="K356" s="62">
        <v>-66.788700000000006</v>
      </c>
      <c r="L356" s="62">
        <v>140.5926</v>
      </c>
      <c r="M356" s="62">
        <v>260.87220000000002</v>
      </c>
      <c r="N356" s="62">
        <v>162.22650000000002</v>
      </c>
      <c r="O356" s="62">
        <v>0</v>
      </c>
      <c r="P356" s="62"/>
      <c r="Q356" s="62">
        <v>244.3665</v>
      </c>
      <c r="R356" s="62">
        <v>4054.1640000000002</v>
      </c>
      <c r="S356" s="62">
        <v>1551.3582000000001</v>
      </c>
      <c r="T356" s="62">
        <v>-1732.5324000000001</v>
      </c>
      <c r="U356" s="62">
        <v>0</v>
      </c>
      <c r="V356" s="62"/>
      <c r="W356" s="62">
        <v>724.57470000000001</v>
      </c>
      <c r="X356" s="62">
        <v>724.57470000000001</v>
      </c>
      <c r="Y356" s="62">
        <v>666.06659999999999</v>
      </c>
      <c r="Z356" s="62">
        <v>306.58199999999999</v>
      </c>
      <c r="AA356" s="62">
        <v>0</v>
      </c>
      <c r="AB356" s="62"/>
      <c r="AC356" s="62">
        <v>12174.651171656507</v>
      </c>
      <c r="AD356" s="62">
        <v>10763.173090328708</v>
      </c>
      <c r="AE356" s="62">
        <v>7010.5159984362163</v>
      </c>
      <c r="AF356" s="62">
        <v>3676.6014400000013</v>
      </c>
      <c r="AG356" s="62">
        <v>0</v>
      </c>
      <c r="AH356" s="62"/>
      <c r="AI356" s="62">
        <v>0</v>
      </c>
      <c r="AJ356" s="62">
        <v>0</v>
      </c>
      <c r="AK356" s="62">
        <v>0</v>
      </c>
      <c r="AL356" s="62">
        <v>0</v>
      </c>
      <c r="AM356" s="62">
        <v>0</v>
      </c>
    </row>
    <row r="357" spans="1:39">
      <c r="A357" s="9">
        <v>93621</v>
      </c>
      <c r="B357" s="10" t="s">
        <v>1733</v>
      </c>
      <c r="C357" s="60">
        <v>9.5719999999999996E-4</v>
      </c>
      <c r="E357" s="62">
        <v>51352.660621059644</v>
      </c>
      <c r="F357" s="62">
        <v>411524.89536728378</v>
      </c>
      <c r="G357" s="62">
        <v>209299.75091078185</v>
      </c>
      <c r="H357" s="62">
        <v>-96903.332560000053</v>
      </c>
      <c r="I357" s="62">
        <v>0</v>
      </c>
      <c r="J357" s="62"/>
      <c r="K357" s="62">
        <v>-5759.4723999999997</v>
      </c>
      <c r="L357" s="62">
        <v>12123.895199999999</v>
      </c>
      <c r="M357" s="62">
        <v>22496.114399999999</v>
      </c>
      <c r="N357" s="62">
        <v>13989.477999999999</v>
      </c>
      <c r="O357" s="62">
        <v>0</v>
      </c>
      <c r="P357" s="62"/>
      <c r="Q357" s="62">
        <v>21072.757999999998</v>
      </c>
      <c r="R357" s="62">
        <v>349607.728</v>
      </c>
      <c r="S357" s="62">
        <v>133780.18640000001</v>
      </c>
      <c r="T357" s="62">
        <v>-149403.6048</v>
      </c>
      <c r="U357" s="62">
        <v>0</v>
      </c>
      <c r="V357" s="62"/>
      <c r="W357" s="62">
        <v>62483.144399999997</v>
      </c>
      <c r="X357" s="62">
        <v>62483.144399999997</v>
      </c>
      <c r="Y357" s="62">
        <v>57437.743199999997</v>
      </c>
      <c r="Z357" s="62">
        <v>26437.863999999998</v>
      </c>
      <c r="AA357" s="62">
        <v>0</v>
      </c>
      <c r="AB357" s="62"/>
      <c r="AC357" s="62">
        <v>12072.930239999945</v>
      </c>
      <c r="AD357" s="62">
        <v>12072.930239999945</v>
      </c>
      <c r="AE357" s="62">
        <v>12072.930239999945</v>
      </c>
      <c r="AF357" s="62">
        <v>12072.930239999945</v>
      </c>
      <c r="AG357" s="62">
        <v>0</v>
      </c>
      <c r="AH357" s="62"/>
      <c r="AI357" s="62">
        <v>-38516.699618940293</v>
      </c>
      <c r="AJ357" s="62">
        <v>-24762.802472716223</v>
      </c>
      <c r="AK357" s="62">
        <v>-16487.223329218104</v>
      </c>
      <c r="AL357" s="62">
        <v>0</v>
      </c>
      <c r="AM357" s="62">
        <v>0</v>
      </c>
    </row>
    <row r="358" spans="1:39">
      <c r="A358" s="9">
        <v>93623</v>
      </c>
      <c r="B358" s="10" t="s">
        <v>1734</v>
      </c>
      <c r="C358" s="60">
        <v>1.2799999999999999E-5</v>
      </c>
      <c r="E358" s="62">
        <v>2948.0358303536359</v>
      </c>
      <c r="F358" s="62">
        <v>7466.6393905196101</v>
      </c>
      <c r="G358" s="62">
        <v>4037.4685304526738</v>
      </c>
      <c r="H358" s="62">
        <v>-838.29120000000034</v>
      </c>
      <c r="I358" s="62">
        <v>0</v>
      </c>
      <c r="J358" s="62"/>
      <c r="K358" s="62">
        <v>-77.017600000000002</v>
      </c>
      <c r="L358" s="62">
        <v>162.12479999999999</v>
      </c>
      <c r="M358" s="62">
        <v>300.82560000000001</v>
      </c>
      <c r="N358" s="62">
        <v>187.072</v>
      </c>
      <c r="O358" s="62">
        <v>0</v>
      </c>
      <c r="P358" s="62"/>
      <c r="Q358" s="62">
        <v>281.79199999999997</v>
      </c>
      <c r="R358" s="62">
        <v>4675.0720000000001</v>
      </c>
      <c r="S358" s="62">
        <v>1788.9535999999998</v>
      </c>
      <c r="T358" s="62">
        <v>-1997.8751999999999</v>
      </c>
      <c r="U358" s="62">
        <v>0</v>
      </c>
      <c r="V358" s="62"/>
      <c r="W358" s="62">
        <v>835.54559999999992</v>
      </c>
      <c r="X358" s="62">
        <v>835.54559999999992</v>
      </c>
      <c r="Y358" s="62">
        <v>768.07679999999993</v>
      </c>
      <c r="Z358" s="62">
        <v>353.536</v>
      </c>
      <c r="AA358" s="62">
        <v>0</v>
      </c>
      <c r="AB358" s="62"/>
      <c r="AC358" s="62">
        <v>1908.7058303536355</v>
      </c>
      <c r="AD358" s="62">
        <v>1793.8969905196109</v>
      </c>
      <c r="AE358" s="62">
        <v>1179.612530452674</v>
      </c>
      <c r="AF358" s="62">
        <v>618.97599999999943</v>
      </c>
      <c r="AG358" s="62">
        <v>0</v>
      </c>
      <c r="AH358" s="62"/>
      <c r="AI358" s="62">
        <v>-0.99000000000000021</v>
      </c>
      <c r="AJ358" s="62">
        <v>0</v>
      </c>
      <c r="AK358" s="62">
        <v>0</v>
      </c>
      <c r="AL358" s="62">
        <v>0</v>
      </c>
      <c r="AM358" s="62">
        <v>0</v>
      </c>
    </row>
    <row r="359" spans="1:39">
      <c r="A359" s="9">
        <v>93631</v>
      </c>
      <c r="B359" s="10" t="s">
        <v>1735</v>
      </c>
      <c r="C359" s="60">
        <v>2.252E-4</v>
      </c>
      <c r="E359" s="62">
        <v>11298.189453000008</v>
      </c>
      <c r="F359" s="62">
        <v>92924.903315489617</v>
      </c>
      <c r="G359" s="62">
        <v>46259.563466008221</v>
      </c>
      <c r="H359" s="62">
        <v>-27757.890719999999</v>
      </c>
      <c r="I359" s="62">
        <v>0</v>
      </c>
      <c r="J359" s="62"/>
      <c r="K359" s="62">
        <v>-1355.0283999999999</v>
      </c>
      <c r="L359" s="62">
        <v>2852.3831999999998</v>
      </c>
      <c r="M359" s="62">
        <v>5292.6503999999995</v>
      </c>
      <c r="N359" s="62">
        <v>3291.2979999999998</v>
      </c>
      <c r="O359" s="62">
        <v>0</v>
      </c>
      <c r="P359" s="62"/>
      <c r="Q359" s="62">
        <v>4957.7780000000002</v>
      </c>
      <c r="R359" s="62">
        <v>82252.047999999995</v>
      </c>
      <c r="S359" s="62">
        <v>31474.402399999999</v>
      </c>
      <c r="T359" s="62">
        <v>-35150.116800000003</v>
      </c>
      <c r="U359" s="62">
        <v>0</v>
      </c>
      <c r="V359" s="62"/>
      <c r="W359" s="62">
        <v>14700.3804</v>
      </c>
      <c r="X359" s="62">
        <v>14700.3804</v>
      </c>
      <c r="Y359" s="62">
        <v>13513.351199999999</v>
      </c>
      <c r="Z359" s="62">
        <v>6220.0240000000003</v>
      </c>
      <c r="AA359" s="62">
        <v>0</v>
      </c>
      <c r="AB359" s="62"/>
      <c r="AC359" s="62">
        <v>434.61000000000007</v>
      </c>
      <c r="AD359" s="62">
        <v>0</v>
      </c>
      <c r="AE359" s="62">
        <v>0</v>
      </c>
      <c r="AF359" s="62">
        <v>0</v>
      </c>
      <c r="AG359" s="62">
        <v>0</v>
      </c>
      <c r="AH359" s="62"/>
      <c r="AI359" s="62">
        <v>-7439.5505469999935</v>
      </c>
      <c r="AJ359" s="62">
        <v>-6879.9082845103667</v>
      </c>
      <c r="AK359" s="62">
        <v>-4020.8405339917736</v>
      </c>
      <c r="AL359" s="62">
        <v>-2119.0959199999952</v>
      </c>
      <c r="AM359" s="62">
        <v>0</v>
      </c>
    </row>
    <row r="360" spans="1:39">
      <c r="A360" s="9">
        <v>93641</v>
      </c>
      <c r="B360" s="10" t="s">
        <v>1736</v>
      </c>
      <c r="C360" s="60">
        <v>4.0450000000000002E-4</v>
      </c>
      <c r="E360" s="62">
        <v>37633.474451313989</v>
      </c>
      <c r="F360" s="62">
        <v>181798.30770807745</v>
      </c>
      <c r="G360" s="62">
        <v>88760.79843333333</v>
      </c>
      <c r="H360" s="62">
        <v>-48817.504900000007</v>
      </c>
      <c r="I360" s="62">
        <v>0</v>
      </c>
      <c r="J360" s="62"/>
      <c r="K360" s="62">
        <v>-2433.8765000000003</v>
      </c>
      <c r="L360" s="62">
        <v>5123.3969999999999</v>
      </c>
      <c r="M360" s="62">
        <v>9506.5590000000011</v>
      </c>
      <c r="N360" s="62">
        <v>5911.7674999999999</v>
      </c>
      <c r="O360" s="62">
        <v>0</v>
      </c>
      <c r="P360" s="62"/>
      <c r="Q360" s="62">
        <v>8905.067500000001</v>
      </c>
      <c r="R360" s="62">
        <v>147739.58000000002</v>
      </c>
      <c r="S360" s="62">
        <v>56533.728999999999</v>
      </c>
      <c r="T360" s="62">
        <v>-63135.978000000003</v>
      </c>
      <c r="U360" s="62">
        <v>0</v>
      </c>
      <c r="V360" s="62"/>
      <c r="W360" s="62">
        <v>26404.5465</v>
      </c>
      <c r="X360" s="62">
        <v>26404.5465</v>
      </c>
      <c r="Y360" s="62">
        <v>24272.427</v>
      </c>
      <c r="Z360" s="62">
        <v>11172.29</v>
      </c>
      <c r="AA360" s="62">
        <v>0</v>
      </c>
      <c r="AB360" s="62"/>
      <c r="AC360" s="62">
        <v>7523.321351313989</v>
      </c>
      <c r="AD360" s="62">
        <v>5296.3686080774733</v>
      </c>
      <c r="AE360" s="62">
        <v>1213.6678333333361</v>
      </c>
      <c r="AF360" s="62">
        <v>0</v>
      </c>
      <c r="AG360" s="62">
        <v>0</v>
      </c>
      <c r="AH360" s="62"/>
      <c r="AI360" s="62">
        <v>-2765.5844000000097</v>
      </c>
      <c r="AJ360" s="62">
        <v>-2765.5844000000097</v>
      </c>
      <c r="AK360" s="62">
        <v>-2765.5844000000097</v>
      </c>
      <c r="AL360" s="62">
        <v>-2765.5844000000097</v>
      </c>
      <c r="AM360" s="62">
        <v>0</v>
      </c>
    </row>
    <row r="361" spans="1:39">
      <c r="A361" s="9">
        <v>93647</v>
      </c>
      <c r="B361" s="10" t="s">
        <v>1737</v>
      </c>
      <c r="C361" s="60">
        <v>6.0000000000000002E-6</v>
      </c>
      <c r="E361" s="62">
        <v>5126.0128850769252</v>
      </c>
      <c r="F361" s="62">
        <v>6625.3761008445608</v>
      </c>
      <c r="G361" s="62">
        <v>3529.0769870781896</v>
      </c>
      <c r="H361" s="62">
        <v>561.64351999999985</v>
      </c>
      <c r="I361" s="62">
        <v>0</v>
      </c>
      <c r="J361" s="62"/>
      <c r="K361" s="62">
        <v>-36.102000000000004</v>
      </c>
      <c r="L361" s="62">
        <v>75.995999999999995</v>
      </c>
      <c r="M361" s="62">
        <v>141.012</v>
      </c>
      <c r="N361" s="62">
        <v>87.69</v>
      </c>
      <c r="O361" s="62">
        <v>0</v>
      </c>
      <c r="P361" s="62"/>
      <c r="Q361" s="62">
        <v>132.09</v>
      </c>
      <c r="R361" s="62">
        <v>2191.44</v>
      </c>
      <c r="S361" s="62">
        <v>838.572</v>
      </c>
      <c r="T361" s="62">
        <v>-936.50400000000002</v>
      </c>
      <c r="U361" s="62">
        <v>0</v>
      </c>
      <c r="V361" s="62"/>
      <c r="W361" s="62">
        <v>391.66200000000003</v>
      </c>
      <c r="X361" s="62">
        <v>391.66200000000003</v>
      </c>
      <c r="Y361" s="62">
        <v>360.036</v>
      </c>
      <c r="Z361" s="62">
        <v>165.72</v>
      </c>
      <c r="AA361" s="62">
        <v>0</v>
      </c>
      <c r="AB361" s="62"/>
      <c r="AC361" s="62">
        <v>4638.3628850769255</v>
      </c>
      <c r="AD361" s="62">
        <v>3966.2781008445609</v>
      </c>
      <c r="AE361" s="62">
        <v>2189.4569870781897</v>
      </c>
      <c r="AF361" s="62">
        <v>1244.7375199999999</v>
      </c>
      <c r="AG361" s="62">
        <v>0</v>
      </c>
      <c r="AH361" s="62"/>
      <c r="AI361" s="62">
        <v>0</v>
      </c>
      <c r="AJ361" s="62">
        <v>0</v>
      </c>
      <c r="AK361" s="62">
        <v>0</v>
      </c>
      <c r="AL361" s="62">
        <v>0</v>
      </c>
      <c r="AM361" s="62">
        <v>0</v>
      </c>
    </row>
    <row r="362" spans="1:39">
      <c r="A362" s="9">
        <v>93651</v>
      </c>
      <c r="B362" s="10" t="s">
        <v>1738</v>
      </c>
      <c r="C362" s="60">
        <v>4.3800000000000002E-4</v>
      </c>
      <c r="E362" s="62">
        <v>34083.495670749806</v>
      </c>
      <c r="F362" s="62">
        <v>192646.34341025189</v>
      </c>
      <c r="G362" s="62">
        <v>94077.580061399189</v>
      </c>
      <c r="H362" s="62">
        <v>-51248.315759999983</v>
      </c>
      <c r="I362" s="62">
        <v>0</v>
      </c>
      <c r="J362" s="62"/>
      <c r="K362" s="62">
        <v>-2635.4459999999999</v>
      </c>
      <c r="L362" s="62">
        <v>5547.7080000000005</v>
      </c>
      <c r="M362" s="62">
        <v>10293.876</v>
      </c>
      <c r="N362" s="62">
        <v>6401.37</v>
      </c>
      <c r="O362" s="62">
        <v>0</v>
      </c>
      <c r="P362" s="62"/>
      <c r="Q362" s="62">
        <v>9642.57</v>
      </c>
      <c r="R362" s="62">
        <v>159975.12</v>
      </c>
      <c r="S362" s="62">
        <v>61215.756000000001</v>
      </c>
      <c r="T362" s="62">
        <v>-68364.792000000001</v>
      </c>
      <c r="U362" s="62">
        <v>0</v>
      </c>
      <c r="V362" s="62"/>
      <c r="W362" s="62">
        <v>28591.326000000001</v>
      </c>
      <c r="X362" s="62">
        <v>28591.326000000001</v>
      </c>
      <c r="Y362" s="62">
        <v>26282.628000000001</v>
      </c>
      <c r="Z362" s="62">
        <v>12097.560000000001</v>
      </c>
      <c r="AA362" s="62">
        <v>0</v>
      </c>
      <c r="AB362" s="62"/>
      <c r="AC362" s="62">
        <v>3203.0903360995826</v>
      </c>
      <c r="AD362" s="62">
        <v>2626.5340756016585</v>
      </c>
      <c r="AE362" s="62">
        <v>0</v>
      </c>
      <c r="AF362" s="62">
        <v>0</v>
      </c>
      <c r="AG362" s="62">
        <v>0</v>
      </c>
      <c r="AH362" s="62"/>
      <c r="AI362" s="62">
        <v>-4718.0446653497747</v>
      </c>
      <c r="AJ362" s="62">
        <v>-4094.3446653497745</v>
      </c>
      <c r="AK362" s="62">
        <v>-3714.6799386008051</v>
      </c>
      <c r="AL362" s="62">
        <v>-1382.4537599999867</v>
      </c>
      <c r="AM362" s="62">
        <v>0</v>
      </c>
    </row>
    <row r="363" spans="1:39">
      <c r="A363" s="9">
        <v>93661</v>
      </c>
      <c r="B363" s="10" t="s">
        <v>1739</v>
      </c>
      <c r="C363" s="60">
        <v>1.3410000000000001E-4</v>
      </c>
      <c r="E363" s="62">
        <v>15728.708441152608</v>
      </c>
      <c r="F363" s="62">
        <v>62884.46325094514</v>
      </c>
      <c r="G363" s="62">
        <v>32538.365995555556</v>
      </c>
      <c r="H363" s="62">
        <v>-14379.755460000006</v>
      </c>
      <c r="I363" s="62">
        <v>0</v>
      </c>
      <c r="J363" s="62"/>
      <c r="K363" s="62">
        <v>-806.87970000000007</v>
      </c>
      <c r="L363" s="62">
        <v>1698.5106000000001</v>
      </c>
      <c r="M363" s="62">
        <v>3151.6182000000003</v>
      </c>
      <c r="N363" s="62">
        <v>1959.8715000000002</v>
      </c>
      <c r="O363" s="62">
        <v>0</v>
      </c>
      <c r="P363" s="62"/>
      <c r="Q363" s="62">
        <v>2952.2115000000003</v>
      </c>
      <c r="R363" s="62">
        <v>48978.684000000001</v>
      </c>
      <c r="S363" s="62">
        <v>18742.084200000001</v>
      </c>
      <c r="T363" s="62">
        <v>-20930.864400000002</v>
      </c>
      <c r="U363" s="62">
        <v>0</v>
      </c>
      <c r="V363" s="62"/>
      <c r="W363" s="62">
        <v>8753.6457000000009</v>
      </c>
      <c r="X363" s="62">
        <v>8753.6457000000009</v>
      </c>
      <c r="Y363" s="62">
        <v>8046.8046000000004</v>
      </c>
      <c r="Z363" s="62">
        <v>3703.8420000000001</v>
      </c>
      <c r="AA363" s="62">
        <v>0</v>
      </c>
      <c r="AB363" s="62"/>
      <c r="AC363" s="62">
        <v>4829.7309411526066</v>
      </c>
      <c r="AD363" s="62">
        <v>3453.6229509451368</v>
      </c>
      <c r="AE363" s="62">
        <v>2597.8589955555531</v>
      </c>
      <c r="AF363" s="62">
        <v>887.39543999999444</v>
      </c>
      <c r="AG363" s="62">
        <v>0</v>
      </c>
      <c r="AH363" s="62"/>
      <c r="AI363" s="62">
        <v>0</v>
      </c>
      <c r="AJ363" s="62">
        <v>0</v>
      </c>
      <c r="AK363" s="62">
        <v>0</v>
      </c>
      <c r="AL363" s="62">
        <v>0</v>
      </c>
      <c r="AM363" s="62">
        <v>0</v>
      </c>
    </row>
    <row r="364" spans="1:39">
      <c r="A364" s="9">
        <v>93671</v>
      </c>
      <c r="B364" s="10" t="s">
        <v>1740</v>
      </c>
      <c r="C364" s="60">
        <v>3.5530000000000002E-4</v>
      </c>
      <c r="E364" s="62">
        <v>57166.724420536892</v>
      </c>
      <c r="F364" s="62">
        <v>166118.10107439582</v>
      </c>
      <c r="G364" s="62">
        <v>78534.127098765442</v>
      </c>
      <c r="H364" s="62">
        <v>-40835.118900000009</v>
      </c>
      <c r="I364" s="62">
        <v>0</v>
      </c>
      <c r="J364" s="62"/>
      <c r="K364" s="62">
        <v>-2137.8400999999999</v>
      </c>
      <c r="L364" s="62">
        <v>4500.2298000000001</v>
      </c>
      <c r="M364" s="62">
        <v>8350.2605999999996</v>
      </c>
      <c r="N364" s="62">
        <v>5192.7094999999999</v>
      </c>
      <c r="O364" s="62">
        <v>0</v>
      </c>
      <c r="P364" s="62"/>
      <c r="Q364" s="62">
        <v>7821.9295000000002</v>
      </c>
      <c r="R364" s="62">
        <v>129769.77200000001</v>
      </c>
      <c r="S364" s="62">
        <v>49657.438600000001</v>
      </c>
      <c r="T364" s="62">
        <v>-55456.645199999999</v>
      </c>
      <c r="U364" s="62">
        <v>0</v>
      </c>
      <c r="V364" s="62"/>
      <c r="W364" s="62">
        <v>23192.918100000003</v>
      </c>
      <c r="X364" s="62">
        <v>23192.918100000003</v>
      </c>
      <c r="Y364" s="62">
        <v>21320.131799999999</v>
      </c>
      <c r="Z364" s="62">
        <v>9813.3860000000004</v>
      </c>
      <c r="AA364" s="62">
        <v>0</v>
      </c>
      <c r="AB364" s="62"/>
      <c r="AC364" s="62">
        <v>29150.024145228235</v>
      </c>
      <c r="AD364" s="62">
        <v>9515.4883990871531</v>
      </c>
      <c r="AE364" s="62">
        <v>0</v>
      </c>
      <c r="AF364" s="62">
        <v>0</v>
      </c>
      <c r="AG364" s="62">
        <v>0</v>
      </c>
      <c r="AH364" s="62"/>
      <c r="AI364" s="62">
        <v>-860.30722469135389</v>
      </c>
      <c r="AJ364" s="62">
        <v>-860.30722469135389</v>
      </c>
      <c r="AK364" s="62">
        <v>-793.70390123456514</v>
      </c>
      <c r="AL364" s="62">
        <v>-384.569200000004</v>
      </c>
      <c r="AM364" s="62">
        <v>0</v>
      </c>
    </row>
    <row r="365" spans="1:39">
      <c r="A365" s="9">
        <v>93677</v>
      </c>
      <c r="B365" s="10" t="s">
        <v>364</v>
      </c>
      <c r="C365" s="60">
        <v>0</v>
      </c>
      <c r="E365" s="62">
        <v>-717.75000000000011</v>
      </c>
      <c r="F365" s="62">
        <v>0</v>
      </c>
      <c r="G365" s="62">
        <v>0</v>
      </c>
      <c r="H365" s="62">
        <v>0</v>
      </c>
      <c r="I365" s="62">
        <v>0</v>
      </c>
      <c r="J365" s="62"/>
      <c r="K365" s="62">
        <v>0</v>
      </c>
      <c r="L365" s="62">
        <v>0</v>
      </c>
      <c r="M365" s="62">
        <v>0</v>
      </c>
      <c r="N365" s="62">
        <v>0</v>
      </c>
      <c r="O365" s="62">
        <v>0</v>
      </c>
      <c r="P365" s="62"/>
      <c r="Q365" s="62">
        <v>0</v>
      </c>
      <c r="R365" s="62">
        <v>0</v>
      </c>
      <c r="S365" s="62">
        <v>0</v>
      </c>
      <c r="T365" s="62">
        <v>0</v>
      </c>
      <c r="U365" s="62">
        <v>0</v>
      </c>
      <c r="V365" s="62"/>
      <c r="W365" s="62">
        <v>0</v>
      </c>
      <c r="X365" s="62">
        <v>0</v>
      </c>
      <c r="Y365" s="62">
        <v>0</v>
      </c>
      <c r="Z365" s="62">
        <v>0</v>
      </c>
      <c r="AA365" s="62">
        <v>0</v>
      </c>
      <c r="AB365" s="62"/>
      <c r="AC365" s="62">
        <v>0</v>
      </c>
      <c r="AD365" s="62">
        <v>0</v>
      </c>
      <c r="AE365" s="62">
        <v>0</v>
      </c>
      <c r="AF365" s="62">
        <v>0</v>
      </c>
      <c r="AG365" s="62">
        <v>0</v>
      </c>
      <c r="AH365" s="62"/>
      <c r="AI365" s="62">
        <v>-717.75000000000011</v>
      </c>
      <c r="AJ365" s="62">
        <v>0</v>
      </c>
      <c r="AK365" s="62">
        <v>0</v>
      </c>
      <c r="AL365" s="62">
        <v>0</v>
      </c>
      <c r="AM365" s="62">
        <v>0</v>
      </c>
    </row>
    <row r="366" spans="1:39">
      <c r="A366" s="9">
        <v>93681</v>
      </c>
      <c r="B366" s="10" t="s">
        <v>1741</v>
      </c>
      <c r="C366" s="60">
        <v>1.1179999999999999E-4</v>
      </c>
      <c r="E366" s="62">
        <v>2624.2992682608492</v>
      </c>
      <c r="F366" s="62">
        <v>46648.252559796121</v>
      </c>
      <c r="G366" s="62">
        <v>22315.6222817284</v>
      </c>
      <c r="H366" s="62">
        <v>-13085.491879999998</v>
      </c>
      <c r="I366" s="62">
        <v>0</v>
      </c>
      <c r="J366" s="62"/>
      <c r="K366" s="62">
        <v>-672.70060000000001</v>
      </c>
      <c r="L366" s="62">
        <v>1416.0588</v>
      </c>
      <c r="M366" s="62">
        <v>2627.5236</v>
      </c>
      <c r="N366" s="62">
        <v>1633.9569999999999</v>
      </c>
      <c r="O366" s="62">
        <v>0</v>
      </c>
      <c r="P366" s="62"/>
      <c r="Q366" s="62">
        <v>2461.277</v>
      </c>
      <c r="R366" s="62">
        <v>40833.831999999995</v>
      </c>
      <c r="S366" s="62">
        <v>15625.391599999999</v>
      </c>
      <c r="T366" s="62">
        <v>-17450.191199999997</v>
      </c>
      <c r="U366" s="62">
        <v>0</v>
      </c>
      <c r="V366" s="62"/>
      <c r="W366" s="62">
        <v>7297.9685999999992</v>
      </c>
      <c r="X366" s="62">
        <v>7297.9685999999992</v>
      </c>
      <c r="Y366" s="62">
        <v>6708.6707999999999</v>
      </c>
      <c r="Z366" s="62">
        <v>3087.9159999999997</v>
      </c>
      <c r="AA366" s="62">
        <v>0</v>
      </c>
      <c r="AB366" s="62"/>
      <c r="AC366" s="62">
        <v>145.06171369294225</v>
      </c>
      <c r="AD366" s="62">
        <v>118.95060522821268</v>
      </c>
      <c r="AE366" s="62">
        <v>0</v>
      </c>
      <c r="AF366" s="62">
        <v>0</v>
      </c>
      <c r="AG366" s="62">
        <v>0</v>
      </c>
      <c r="AH366" s="62"/>
      <c r="AI366" s="62">
        <v>-6607.3074454320922</v>
      </c>
      <c r="AJ366" s="62">
        <v>-3018.5574454320913</v>
      </c>
      <c r="AK366" s="62">
        <v>-2645.9637182715992</v>
      </c>
      <c r="AL366" s="62">
        <v>-357.17367999999988</v>
      </c>
      <c r="AM366" s="62">
        <v>0</v>
      </c>
    </row>
    <row r="367" spans="1:39">
      <c r="A367" s="9">
        <v>93691</v>
      </c>
      <c r="B367" s="10" t="s">
        <v>1742</v>
      </c>
      <c r="C367" s="60">
        <v>1.0858E-3</v>
      </c>
      <c r="E367" s="62">
        <v>45884.582950841977</v>
      </c>
      <c r="F367" s="62">
        <v>445630.59883432748</v>
      </c>
      <c r="G367" s="62">
        <v>218375.16788584358</v>
      </c>
      <c r="H367" s="62">
        <v>-137062.90987999999</v>
      </c>
      <c r="I367" s="62">
        <v>0</v>
      </c>
      <c r="J367" s="62"/>
      <c r="K367" s="62">
        <v>-6533.2586000000001</v>
      </c>
      <c r="L367" s="62">
        <v>13752.7428</v>
      </c>
      <c r="M367" s="62">
        <v>25518.471600000001</v>
      </c>
      <c r="N367" s="62">
        <v>15868.967000000001</v>
      </c>
      <c r="O367" s="62">
        <v>0</v>
      </c>
      <c r="P367" s="62"/>
      <c r="Q367" s="62">
        <v>23903.887000000002</v>
      </c>
      <c r="R367" s="62">
        <v>396577.592</v>
      </c>
      <c r="S367" s="62">
        <v>151753.5796</v>
      </c>
      <c r="T367" s="62">
        <v>-169476.00719999999</v>
      </c>
      <c r="U367" s="62">
        <v>0</v>
      </c>
      <c r="V367" s="62"/>
      <c r="W367" s="62">
        <v>70877.766600000003</v>
      </c>
      <c r="X367" s="62">
        <v>70877.766600000003</v>
      </c>
      <c r="Y367" s="62">
        <v>65154.514800000004</v>
      </c>
      <c r="Z367" s="62">
        <v>29989.796000000002</v>
      </c>
      <c r="AA367" s="62">
        <v>0</v>
      </c>
      <c r="AB367" s="62"/>
      <c r="AC367" s="62">
        <v>0</v>
      </c>
      <c r="AD367" s="62">
        <v>0</v>
      </c>
      <c r="AE367" s="62">
        <v>0</v>
      </c>
      <c r="AF367" s="62">
        <v>0</v>
      </c>
      <c r="AG367" s="62">
        <v>0</v>
      </c>
      <c r="AH367" s="62"/>
      <c r="AI367" s="62">
        <v>-42363.812049158027</v>
      </c>
      <c r="AJ367" s="62">
        <v>-35577.502565672556</v>
      </c>
      <c r="AK367" s="62">
        <v>-24051.398114156415</v>
      </c>
      <c r="AL367" s="62">
        <v>-13445.66568</v>
      </c>
      <c r="AM367" s="62">
        <v>0</v>
      </c>
    </row>
    <row r="368" spans="1:39">
      <c r="A368" s="9">
        <v>93701</v>
      </c>
      <c r="B368" s="10" t="s">
        <v>1743</v>
      </c>
      <c r="C368" s="60">
        <v>4.5800000000000002E-4</v>
      </c>
      <c r="E368" s="62">
        <v>37758.842929378625</v>
      </c>
      <c r="F368" s="62">
        <v>199917.23081186827</v>
      </c>
      <c r="G368" s="62">
        <v>97434.440960493812</v>
      </c>
      <c r="H368" s="62">
        <v>-54501.329600000026</v>
      </c>
      <c r="I368" s="62">
        <v>0</v>
      </c>
      <c r="J368" s="62"/>
      <c r="K368" s="62">
        <v>-2755.7860000000001</v>
      </c>
      <c r="L368" s="62">
        <v>5801.0280000000002</v>
      </c>
      <c r="M368" s="62">
        <v>10763.916000000001</v>
      </c>
      <c r="N368" s="62">
        <v>6693.67</v>
      </c>
      <c r="O368" s="62">
        <v>0</v>
      </c>
      <c r="P368" s="62"/>
      <c r="Q368" s="62">
        <v>10082.870000000001</v>
      </c>
      <c r="R368" s="62">
        <v>167279.92000000001</v>
      </c>
      <c r="S368" s="62">
        <v>64010.995999999999</v>
      </c>
      <c r="T368" s="62">
        <v>-71486.472000000009</v>
      </c>
      <c r="U368" s="62">
        <v>0</v>
      </c>
      <c r="V368" s="62"/>
      <c r="W368" s="62">
        <v>29896.866000000002</v>
      </c>
      <c r="X368" s="62">
        <v>29896.866000000002</v>
      </c>
      <c r="Y368" s="62">
        <v>27482.748</v>
      </c>
      <c r="Z368" s="62">
        <v>12649.960000000001</v>
      </c>
      <c r="AA368" s="62">
        <v>0</v>
      </c>
      <c r="AB368" s="62"/>
      <c r="AC368" s="62">
        <v>5759.3473195020833</v>
      </c>
      <c r="AD368" s="62">
        <v>2163.8712019917089</v>
      </c>
      <c r="AE368" s="62">
        <v>0</v>
      </c>
      <c r="AF368" s="62">
        <v>0</v>
      </c>
      <c r="AG368" s="62">
        <v>0</v>
      </c>
      <c r="AH368" s="62"/>
      <c r="AI368" s="62">
        <v>-5224.4543901234665</v>
      </c>
      <c r="AJ368" s="62">
        <v>-5224.4543901234665</v>
      </c>
      <c r="AK368" s="62">
        <v>-4823.2190395061843</v>
      </c>
      <c r="AL368" s="62">
        <v>-2358.4876000000163</v>
      </c>
      <c r="AM368" s="62">
        <v>0</v>
      </c>
    </row>
    <row r="369" spans="1:39">
      <c r="A369" s="9">
        <v>93704</v>
      </c>
      <c r="B369" s="10" t="s">
        <v>1744</v>
      </c>
      <c r="C369" s="60">
        <v>3.0000000000000001E-6</v>
      </c>
      <c r="E369" s="62">
        <v>380.5014311643871</v>
      </c>
      <c r="F369" s="62">
        <v>1510.0091987992419</v>
      </c>
      <c r="G369" s="62">
        <v>815.83256123456795</v>
      </c>
      <c r="H369" s="62">
        <v>-274.81044000000014</v>
      </c>
      <c r="I369" s="62">
        <v>0</v>
      </c>
      <c r="J369" s="62"/>
      <c r="K369" s="62">
        <v>-18.051000000000002</v>
      </c>
      <c r="L369" s="62">
        <v>37.997999999999998</v>
      </c>
      <c r="M369" s="62">
        <v>70.506</v>
      </c>
      <c r="N369" s="62">
        <v>43.844999999999999</v>
      </c>
      <c r="O369" s="62">
        <v>0</v>
      </c>
      <c r="P369" s="62"/>
      <c r="Q369" s="62">
        <v>66.045000000000002</v>
      </c>
      <c r="R369" s="62">
        <v>1095.72</v>
      </c>
      <c r="S369" s="62">
        <v>419.286</v>
      </c>
      <c r="T369" s="62">
        <v>-468.25200000000001</v>
      </c>
      <c r="U369" s="62">
        <v>0</v>
      </c>
      <c r="V369" s="62"/>
      <c r="W369" s="62">
        <v>195.83100000000002</v>
      </c>
      <c r="X369" s="62">
        <v>195.83100000000002</v>
      </c>
      <c r="Y369" s="62">
        <v>180.018</v>
      </c>
      <c r="Z369" s="62">
        <v>82.86</v>
      </c>
      <c r="AA369" s="62">
        <v>0</v>
      </c>
      <c r="AB369" s="62"/>
      <c r="AC369" s="62">
        <v>185.18643116438705</v>
      </c>
      <c r="AD369" s="62">
        <v>180.46019879924182</v>
      </c>
      <c r="AE369" s="62">
        <v>146.02256123456789</v>
      </c>
      <c r="AF369" s="62">
        <v>66.736559999999884</v>
      </c>
      <c r="AG369" s="62">
        <v>0</v>
      </c>
      <c r="AH369" s="62"/>
      <c r="AI369" s="62">
        <v>-48.510000000000012</v>
      </c>
      <c r="AJ369" s="62">
        <v>0</v>
      </c>
      <c r="AK369" s="62">
        <v>0</v>
      </c>
      <c r="AL369" s="62">
        <v>0</v>
      </c>
      <c r="AM369" s="62">
        <v>0</v>
      </c>
    </row>
    <row r="370" spans="1:39">
      <c r="A370" s="9">
        <v>93801</v>
      </c>
      <c r="B370" s="10" t="s">
        <v>1745</v>
      </c>
      <c r="C370" s="60">
        <v>4.7889999999999999E-4</v>
      </c>
      <c r="E370" s="62">
        <v>66989.871207509495</v>
      </c>
      <c r="F370" s="62">
        <v>240228.35181547629</v>
      </c>
      <c r="G370" s="62">
        <v>123082.27365958846</v>
      </c>
      <c r="H370" s="62">
        <v>-67839.756340000022</v>
      </c>
      <c r="I370" s="62">
        <v>0</v>
      </c>
      <c r="J370" s="62"/>
      <c r="K370" s="62">
        <v>-2881.5412999999999</v>
      </c>
      <c r="L370" s="62">
        <v>6065.7474000000002</v>
      </c>
      <c r="M370" s="62">
        <v>11255.1078</v>
      </c>
      <c r="N370" s="62">
        <v>6999.1234999999997</v>
      </c>
      <c r="O370" s="62">
        <v>0</v>
      </c>
      <c r="P370" s="62"/>
      <c r="Q370" s="62">
        <v>10542.9835</v>
      </c>
      <c r="R370" s="62">
        <v>174913.43599999999</v>
      </c>
      <c r="S370" s="62">
        <v>66932.021800000002</v>
      </c>
      <c r="T370" s="62">
        <v>-74748.627599999993</v>
      </c>
      <c r="U370" s="62">
        <v>0</v>
      </c>
      <c r="V370" s="62"/>
      <c r="W370" s="62">
        <v>31261.155299999999</v>
      </c>
      <c r="X370" s="62">
        <v>31261.155299999999</v>
      </c>
      <c r="Y370" s="62">
        <v>28736.8734</v>
      </c>
      <c r="Z370" s="62">
        <v>13227.217999999999</v>
      </c>
      <c r="AA370" s="62">
        <v>0</v>
      </c>
      <c r="AB370" s="62"/>
      <c r="AC370" s="62">
        <v>42848.953947509537</v>
      </c>
      <c r="AD370" s="62">
        <v>41305.483355476346</v>
      </c>
      <c r="AE370" s="62">
        <v>29475.740899588502</v>
      </c>
      <c r="AF370" s="62">
        <v>0</v>
      </c>
      <c r="AG370" s="62">
        <v>0</v>
      </c>
      <c r="AH370" s="62"/>
      <c r="AI370" s="62">
        <v>-14781.680240000036</v>
      </c>
      <c r="AJ370" s="62">
        <v>-13317.470240000035</v>
      </c>
      <c r="AK370" s="62">
        <v>-13317.470240000035</v>
      </c>
      <c r="AL370" s="62">
        <v>-13317.470240000035</v>
      </c>
      <c r="AM370" s="62">
        <v>0</v>
      </c>
    </row>
    <row r="371" spans="1:39">
      <c r="A371" s="9">
        <v>93803</v>
      </c>
      <c r="B371" s="10" t="s">
        <v>1746</v>
      </c>
      <c r="C371" s="60">
        <v>1.1900000000000001E-4</v>
      </c>
      <c r="E371" s="62">
        <v>-7784.3929477396978</v>
      </c>
      <c r="F371" s="62">
        <v>41192.494204127528</v>
      </c>
      <c r="G371" s="62">
        <v>18096.681849465018</v>
      </c>
      <c r="H371" s="62">
        <v>-18667.447959999998</v>
      </c>
      <c r="I371" s="62">
        <v>0</v>
      </c>
      <c r="J371" s="62"/>
      <c r="K371" s="62">
        <v>-716.02300000000002</v>
      </c>
      <c r="L371" s="62">
        <v>1507.2540000000001</v>
      </c>
      <c r="M371" s="62">
        <v>2796.7380000000003</v>
      </c>
      <c r="N371" s="62">
        <v>1739.1850000000002</v>
      </c>
      <c r="O371" s="62">
        <v>0</v>
      </c>
      <c r="P371" s="62"/>
      <c r="Q371" s="62">
        <v>2619.7850000000003</v>
      </c>
      <c r="R371" s="62">
        <v>43463.560000000005</v>
      </c>
      <c r="S371" s="62">
        <v>16631.678</v>
      </c>
      <c r="T371" s="62">
        <v>-18573.995999999999</v>
      </c>
      <c r="U371" s="62">
        <v>0</v>
      </c>
      <c r="V371" s="62"/>
      <c r="W371" s="62">
        <v>7767.9630000000006</v>
      </c>
      <c r="X371" s="62">
        <v>7767.9630000000006</v>
      </c>
      <c r="Y371" s="62">
        <v>7140.7139999999999</v>
      </c>
      <c r="Z371" s="62">
        <v>3286.78</v>
      </c>
      <c r="AA371" s="62">
        <v>0</v>
      </c>
      <c r="AB371" s="62"/>
      <c r="AC371" s="62">
        <v>0</v>
      </c>
      <c r="AD371" s="62">
        <v>0</v>
      </c>
      <c r="AE371" s="62">
        <v>0</v>
      </c>
      <c r="AF371" s="62">
        <v>0</v>
      </c>
      <c r="AG371" s="62">
        <v>0</v>
      </c>
      <c r="AH371" s="62"/>
      <c r="AI371" s="62">
        <v>-17456.117947739698</v>
      </c>
      <c r="AJ371" s="62">
        <v>-11546.282795872479</v>
      </c>
      <c r="AK371" s="62">
        <v>-8472.4481505349831</v>
      </c>
      <c r="AL371" s="62">
        <v>-5119.4169599999996</v>
      </c>
      <c r="AM371" s="62">
        <v>0</v>
      </c>
    </row>
    <row r="372" spans="1:39">
      <c r="A372" s="9">
        <v>93806</v>
      </c>
      <c r="B372" s="10" t="s">
        <v>1747</v>
      </c>
      <c r="C372" s="60">
        <v>9.3900000000000006E-5</v>
      </c>
      <c r="E372" s="62">
        <v>1606.4690011512412</v>
      </c>
      <c r="F372" s="62">
        <v>44976.217851773654</v>
      </c>
      <c r="G372" s="62">
        <v>23831.856814897124</v>
      </c>
      <c r="H372" s="62">
        <v>-7658.8772599999993</v>
      </c>
      <c r="I372" s="62">
        <v>0</v>
      </c>
      <c r="J372" s="62"/>
      <c r="K372" s="62">
        <v>-564.99630000000002</v>
      </c>
      <c r="L372" s="62">
        <v>1189.3374000000001</v>
      </c>
      <c r="M372" s="62">
        <v>2206.8378000000002</v>
      </c>
      <c r="N372" s="62">
        <v>1372.3485000000001</v>
      </c>
      <c r="O372" s="62">
        <v>0</v>
      </c>
      <c r="P372" s="62"/>
      <c r="Q372" s="62">
        <v>2067.2085000000002</v>
      </c>
      <c r="R372" s="62">
        <v>34296.036</v>
      </c>
      <c r="S372" s="62">
        <v>13123.651800000001</v>
      </c>
      <c r="T372" s="62">
        <v>-14656.287600000001</v>
      </c>
      <c r="U372" s="62">
        <v>0</v>
      </c>
      <c r="V372" s="62"/>
      <c r="W372" s="62">
        <v>6129.5102999999999</v>
      </c>
      <c r="X372" s="62">
        <v>6129.5102999999999</v>
      </c>
      <c r="Y372" s="62">
        <v>5634.5634</v>
      </c>
      <c r="Z372" s="62">
        <v>2593.518</v>
      </c>
      <c r="AA372" s="62">
        <v>0</v>
      </c>
      <c r="AB372" s="62"/>
      <c r="AC372" s="62">
        <v>3667.3346698755217</v>
      </c>
      <c r="AD372" s="62">
        <v>3552.8923204979283</v>
      </c>
      <c r="AE372" s="62">
        <v>3031.5438400000016</v>
      </c>
      <c r="AF372" s="62">
        <v>3031.5438400000016</v>
      </c>
      <c r="AG372" s="62">
        <v>0</v>
      </c>
      <c r="AH372" s="62"/>
      <c r="AI372" s="62">
        <v>-9692.58816872428</v>
      </c>
      <c r="AJ372" s="62">
        <v>-191.55816872427658</v>
      </c>
      <c r="AK372" s="62">
        <v>-164.74002510287792</v>
      </c>
      <c r="AL372" s="62">
        <v>0</v>
      </c>
      <c r="AM372" s="62">
        <v>0</v>
      </c>
    </row>
    <row r="373" spans="1:39">
      <c r="A373" s="9">
        <v>93821</v>
      </c>
      <c r="B373" s="10" t="s">
        <v>1748</v>
      </c>
      <c r="C373" s="60">
        <v>2.9899999999999998E-5</v>
      </c>
      <c r="E373" s="62">
        <v>10051.575524563625</v>
      </c>
      <c r="F373" s="62">
        <v>19499.786302156986</v>
      </c>
      <c r="G373" s="62">
        <v>10972.086399670774</v>
      </c>
      <c r="H373" s="62">
        <v>-3489.9600600000058</v>
      </c>
      <c r="I373" s="62">
        <v>0</v>
      </c>
      <c r="J373" s="62"/>
      <c r="K373" s="62">
        <v>-179.9083</v>
      </c>
      <c r="L373" s="62">
        <v>378.71339999999998</v>
      </c>
      <c r="M373" s="62">
        <v>702.70979999999997</v>
      </c>
      <c r="N373" s="62">
        <v>436.98849999999999</v>
      </c>
      <c r="O373" s="62">
        <v>0</v>
      </c>
      <c r="P373" s="62"/>
      <c r="Q373" s="62">
        <v>658.24849999999992</v>
      </c>
      <c r="R373" s="62">
        <v>10920.675999999999</v>
      </c>
      <c r="S373" s="62">
        <v>4178.8837999999996</v>
      </c>
      <c r="T373" s="62">
        <v>-4666.9115999999995</v>
      </c>
      <c r="U373" s="62">
        <v>0</v>
      </c>
      <c r="V373" s="62"/>
      <c r="W373" s="62">
        <v>1951.7822999999999</v>
      </c>
      <c r="X373" s="62">
        <v>1951.7822999999999</v>
      </c>
      <c r="Y373" s="62">
        <v>1794.1794</v>
      </c>
      <c r="Z373" s="62">
        <v>825.83799999999997</v>
      </c>
      <c r="AA373" s="62">
        <v>0</v>
      </c>
      <c r="AB373" s="62"/>
      <c r="AC373" s="62">
        <v>7707.3279845636307</v>
      </c>
      <c r="AD373" s="62">
        <v>6334.4895621569913</v>
      </c>
      <c r="AE373" s="62">
        <v>4382.1883596707812</v>
      </c>
      <c r="AF373" s="62">
        <v>0</v>
      </c>
      <c r="AG373" s="62">
        <v>0</v>
      </c>
      <c r="AH373" s="62"/>
      <c r="AI373" s="62">
        <v>-85.874960000006467</v>
      </c>
      <c r="AJ373" s="62">
        <v>-85.874960000006467</v>
      </c>
      <c r="AK373" s="62">
        <v>-85.874960000006467</v>
      </c>
      <c r="AL373" s="62">
        <v>-85.874960000006467</v>
      </c>
      <c r="AM373" s="62">
        <v>0</v>
      </c>
    </row>
    <row r="374" spans="1:39">
      <c r="A374" s="9">
        <v>93901</v>
      </c>
      <c r="B374" s="10" t="s">
        <v>1749</v>
      </c>
      <c r="C374" s="60">
        <v>1.7974E-3</v>
      </c>
      <c r="E374" s="62">
        <v>178697.5906675451</v>
      </c>
      <c r="F374" s="62">
        <v>823434.52597393526</v>
      </c>
      <c r="G374" s="62">
        <v>419925.37977670791</v>
      </c>
      <c r="H374" s="62">
        <v>-193654.55772000004</v>
      </c>
      <c r="I374" s="62">
        <v>0</v>
      </c>
      <c r="J374" s="62"/>
      <c r="K374" s="62">
        <v>-10814.9558</v>
      </c>
      <c r="L374" s="62">
        <v>22765.868399999999</v>
      </c>
      <c r="M374" s="62">
        <v>42242.4948</v>
      </c>
      <c r="N374" s="62">
        <v>26269.001</v>
      </c>
      <c r="O374" s="62">
        <v>0</v>
      </c>
      <c r="P374" s="62"/>
      <c r="Q374" s="62">
        <v>39569.760999999999</v>
      </c>
      <c r="R374" s="62">
        <v>656482.37600000005</v>
      </c>
      <c r="S374" s="62">
        <v>251208.2188</v>
      </c>
      <c r="T374" s="62">
        <v>-280545.38160000002</v>
      </c>
      <c r="U374" s="62">
        <v>0</v>
      </c>
      <c r="V374" s="62"/>
      <c r="W374" s="62">
        <v>117328.8798</v>
      </c>
      <c r="X374" s="62">
        <v>117328.8798</v>
      </c>
      <c r="Y374" s="62">
        <v>107854.7844</v>
      </c>
      <c r="Z374" s="62">
        <v>49644.188000000002</v>
      </c>
      <c r="AA374" s="62">
        <v>0</v>
      </c>
      <c r="AB374" s="62"/>
      <c r="AC374" s="62">
        <v>32613.90566754511</v>
      </c>
      <c r="AD374" s="62">
        <v>26857.401773935151</v>
      </c>
      <c r="AE374" s="62">
        <v>18619.88177670788</v>
      </c>
      <c r="AF374" s="62">
        <v>10977.634880000003</v>
      </c>
      <c r="AG374" s="62">
        <v>0</v>
      </c>
      <c r="AH374" s="62"/>
      <c r="AI374" s="62">
        <v>0</v>
      </c>
      <c r="AJ374" s="62">
        <v>0</v>
      </c>
      <c r="AK374" s="62">
        <v>0</v>
      </c>
      <c r="AL374" s="62">
        <v>0</v>
      </c>
      <c r="AM374" s="62">
        <v>0</v>
      </c>
    </row>
    <row r="375" spans="1:39">
      <c r="A375" s="9">
        <v>93904</v>
      </c>
      <c r="B375" s="10" t="s">
        <v>1750</v>
      </c>
      <c r="C375" s="60">
        <v>3.0000000000000001E-5</v>
      </c>
      <c r="E375" s="62">
        <v>5582.8645559913248</v>
      </c>
      <c r="F375" s="62">
        <v>16263.527491261035</v>
      </c>
      <c r="G375" s="62">
        <v>8673.4216478189301</v>
      </c>
      <c r="H375" s="62">
        <v>-1821.1849600000012</v>
      </c>
      <c r="I375" s="62">
        <v>0</v>
      </c>
      <c r="J375" s="62"/>
      <c r="K375" s="62">
        <v>-180.51</v>
      </c>
      <c r="L375" s="62">
        <v>379.98</v>
      </c>
      <c r="M375" s="62">
        <v>705.06000000000006</v>
      </c>
      <c r="N375" s="62">
        <v>438.45</v>
      </c>
      <c r="O375" s="62">
        <v>0</v>
      </c>
      <c r="P375" s="62"/>
      <c r="Q375" s="62">
        <v>660.45</v>
      </c>
      <c r="R375" s="62">
        <v>10957.2</v>
      </c>
      <c r="S375" s="62">
        <v>4192.8599999999997</v>
      </c>
      <c r="T375" s="62">
        <v>-4682.5200000000004</v>
      </c>
      <c r="U375" s="62">
        <v>0</v>
      </c>
      <c r="V375" s="62"/>
      <c r="W375" s="62">
        <v>1958.31</v>
      </c>
      <c r="X375" s="62">
        <v>1958.31</v>
      </c>
      <c r="Y375" s="62">
        <v>1800.18</v>
      </c>
      <c r="Z375" s="62">
        <v>828.6</v>
      </c>
      <c r="AA375" s="62">
        <v>0</v>
      </c>
      <c r="AB375" s="62"/>
      <c r="AC375" s="62">
        <v>3172.3345559913255</v>
      </c>
      <c r="AD375" s="62">
        <v>2968.0374912610355</v>
      </c>
      <c r="AE375" s="62">
        <v>1975.3216478189299</v>
      </c>
      <c r="AF375" s="62">
        <v>1594.2850399999995</v>
      </c>
      <c r="AG375" s="62">
        <v>0</v>
      </c>
      <c r="AH375" s="62"/>
      <c r="AI375" s="62">
        <v>-27.720000000000006</v>
      </c>
      <c r="AJ375" s="62">
        <v>0</v>
      </c>
      <c r="AK375" s="62">
        <v>0</v>
      </c>
      <c r="AL375" s="62">
        <v>0</v>
      </c>
      <c r="AM375" s="62">
        <v>0</v>
      </c>
    </row>
    <row r="376" spans="1:39">
      <c r="A376" s="9">
        <v>93906</v>
      </c>
      <c r="B376" s="10" t="s">
        <v>1751</v>
      </c>
      <c r="C376" s="60">
        <v>3.3882000000000001E-3</v>
      </c>
      <c r="E376" s="62">
        <v>204699.78485197274</v>
      </c>
      <c r="F376" s="62">
        <v>1424682.0620785288</v>
      </c>
      <c r="G376" s="62">
        <v>721189.60719086428</v>
      </c>
      <c r="H376" s="62">
        <v>-410203.28964000009</v>
      </c>
      <c r="I376" s="62">
        <v>0</v>
      </c>
      <c r="J376" s="62"/>
      <c r="K376" s="62">
        <v>-20386.7994</v>
      </c>
      <c r="L376" s="62">
        <v>42914.941200000001</v>
      </c>
      <c r="M376" s="62">
        <v>79629.4764</v>
      </c>
      <c r="N376" s="62">
        <v>49518.542999999998</v>
      </c>
      <c r="O376" s="62">
        <v>0</v>
      </c>
      <c r="P376" s="62"/>
      <c r="Q376" s="62">
        <v>74591.222999999998</v>
      </c>
      <c r="R376" s="62">
        <v>1237506.1680000001</v>
      </c>
      <c r="S376" s="62">
        <v>473541.60840000003</v>
      </c>
      <c r="T376" s="62">
        <v>-528843.8088</v>
      </c>
      <c r="U376" s="62">
        <v>0</v>
      </c>
      <c r="V376" s="62"/>
      <c r="W376" s="62">
        <v>221171.53140000001</v>
      </c>
      <c r="X376" s="62">
        <v>221171.53140000001</v>
      </c>
      <c r="Y376" s="62">
        <v>203312.32920000001</v>
      </c>
      <c r="Z376" s="62">
        <v>93582.084000000003</v>
      </c>
      <c r="AA376" s="62">
        <v>0</v>
      </c>
      <c r="AB376" s="62"/>
      <c r="AC376" s="62">
        <v>14982.660000000003</v>
      </c>
      <c r="AD376" s="62">
        <v>0</v>
      </c>
      <c r="AE376" s="62">
        <v>0</v>
      </c>
      <c r="AF376" s="62">
        <v>0</v>
      </c>
      <c r="AG376" s="62">
        <v>0</v>
      </c>
      <c r="AH376" s="62"/>
      <c r="AI376" s="62">
        <v>-85658.830148027249</v>
      </c>
      <c r="AJ376" s="62">
        <v>-76910.578521471252</v>
      </c>
      <c r="AK376" s="62">
        <v>-35293.806809135836</v>
      </c>
      <c r="AL376" s="62">
        <v>-24460.107840000048</v>
      </c>
      <c r="AM376" s="62">
        <v>0</v>
      </c>
    </row>
    <row r="377" spans="1:39">
      <c r="A377" s="9">
        <v>93908</v>
      </c>
      <c r="B377" s="10" t="s">
        <v>1752</v>
      </c>
      <c r="C377" s="60">
        <v>5.1219999999999998E-4</v>
      </c>
      <c r="E377" s="62">
        <v>39284.366019309833</v>
      </c>
      <c r="F377" s="62">
        <v>221853.08738860444</v>
      </c>
      <c r="G377" s="62">
        <v>115673.04742732513</v>
      </c>
      <c r="H377" s="62">
        <v>-56276.670119999959</v>
      </c>
      <c r="I377" s="62">
        <v>0</v>
      </c>
      <c r="J377" s="62"/>
      <c r="K377" s="62">
        <v>-3081.9074000000001</v>
      </c>
      <c r="L377" s="62">
        <v>6487.5252</v>
      </c>
      <c r="M377" s="62">
        <v>12037.724399999999</v>
      </c>
      <c r="N377" s="62">
        <v>7485.8029999999999</v>
      </c>
      <c r="O377" s="62">
        <v>0</v>
      </c>
      <c r="P377" s="62"/>
      <c r="Q377" s="62">
        <v>11276.082999999999</v>
      </c>
      <c r="R377" s="62">
        <v>187075.92799999999</v>
      </c>
      <c r="S377" s="62">
        <v>71586.096399999995</v>
      </c>
      <c r="T377" s="62">
        <v>-79946.224799999996</v>
      </c>
      <c r="U377" s="62">
        <v>0</v>
      </c>
      <c r="V377" s="62"/>
      <c r="W377" s="62">
        <v>33434.879399999998</v>
      </c>
      <c r="X377" s="62">
        <v>33434.879399999998</v>
      </c>
      <c r="Y377" s="62">
        <v>30735.073199999999</v>
      </c>
      <c r="Z377" s="62">
        <v>14146.964</v>
      </c>
      <c r="AA377" s="62">
        <v>0</v>
      </c>
      <c r="AB377" s="62"/>
      <c r="AC377" s="62">
        <v>6229.4376800000382</v>
      </c>
      <c r="AD377" s="62">
        <v>2036.7876800000377</v>
      </c>
      <c r="AE377" s="62">
        <v>2036.7876800000377</v>
      </c>
      <c r="AF377" s="62">
        <v>2036.7876800000377</v>
      </c>
      <c r="AG377" s="62">
        <v>0</v>
      </c>
      <c r="AH377" s="62"/>
      <c r="AI377" s="62">
        <v>-8574.1266606902027</v>
      </c>
      <c r="AJ377" s="62">
        <v>-7182.0328913955982</v>
      </c>
      <c r="AK377" s="62">
        <v>-722.63425267489856</v>
      </c>
      <c r="AL377" s="62">
        <v>0</v>
      </c>
      <c r="AM377" s="62">
        <v>0</v>
      </c>
    </row>
    <row r="378" spans="1:39">
      <c r="A378" s="9">
        <v>93910</v>
      </c>
      <c r="B378" s="10" t="s">
        <v>1753</v>
      </c>
      <c r="C378" s="60">
        <v>2.786E-4</v>
      </c>
      <c r="E378" s="62">
        <v>8181.4061786124039</v>
      </c>
      <c r="F378" s="62">
        <v>114572.54687155847</v>
      </c>
      <c r="G378" s="62">
        <v>55754.495231193403</v>
      </c>
      <c r="H378" s="62">
        <v>-35911.635240000003</v>
      </c>
      <c r="I378" s="62">
        <v>0</v>
      </c>
      <c r="J378" s="62"/>
      <c r="K378" s="62">
        <v>-1676.3362</v>
      </c>
      <c r="L378" s="62">
        <v>3528.7476000000001</v>
      </c>
      <c r="M378" s="62">
        <v>6547.6571999999996</v>
      </c>
      <c r="N378" s="62">
        <v>4071.739</v>
      </c>
      <c r="O378" s="62">
        <v>0</v>
      </c>
      <c r="P378" s="62"/>
      <c r="Q378" s="62">
        <v>6133.3789999999999</v>
      </c>
      <c r="R378" s="62">
        <v>101755.864</v>
      </c>
      <c r="S378" s="62">
        <v>38937.693200000002</v>
      </c>
      <c r="T378" s="62">
        <v>-43485.002399999998</v>
      </c>
      <c r="U378" s="62">
        <v>0</v>
      </c>
      <c r="V378" s="62"/>
      <c r="W378" s="62">
        <v>18186.172200000001</v>
      </c>
      <c r="X378" s="62">
        <v>18186.172200000001</v>
      </c>
      <c r="Y378" s="62">
        <v>16717.671600000001</v>
      </c>
      <c r="Z378" s="62">
        <v>7694.9319999999998</v>
      </c>
      <c r="AA378" s="62">
        <v>0</v>
      </c>
      <c r="AB378" s="62"/>
      <c r="AC378" s="62">
        <v>0</v>
      </c>
      <c r="AD378" s="62">
        <v>0</v>
      </c>
      <c r="AE378" s="62">
        <v>0</v>
      </c>
      <c r="AF378" s="62">
        <v>0</v>
      </c>
      <c r="AG378" s="62">
        <v>0</v>
      </c>
      <c r="AH378" s="62"/>
      <c r="AI378" s="62">
        <v>-14461.808821387596</v>
      </c>
      <c r="AJ378" s="62">
        <v>-8898.2369284415345</v>
      </c>
      <c r="AK378" s="62">
        <v>-6448.5267688065996</v>
      </c>
      <c r="AL378" s="62">
        <v>-4193.3038400000078</v>
      </c>
      <c r="AM378" s="62">
        <v>0</v>
      </c>
    </row>
    <row r="379" spans="1:39">
      <c r="A379" s="9">
        <v>93911</v>
      </c>
      <c r="B379" s="10" t="s">
        <v>1754</v>
      </c>
      <c r="C379" s="60">
        <v>6.3429999999999997E-4</v>
      </c>
      <c r="E379" s="62">
        <v>44600.61359716444</v>
      </c>
      <c r="F379" s="62">
        <v>270140.31056977861</v>
      </c>
      <c r="G379" s="62">
        <v>127034.32185325102</v>
      </c>
      <c r="H379" s="62">
        <v>-80884.05422000002</v>
      </c>
      <c r="I379" s="62">
        <v>0</v>
      </c>
      <c r="J379" s="62"/>
      <c r="K379" s="62">
        <v>-3816.5830999999998</v>
      </c>
      <c r="L379" s="62">
        <v>8034.0437999999995</v>
      </c>
      <c r="M379" s="62">
        <v>14907.318599999999</v>
      </c>
      <c r="N379" s="62">
        <v>9270.2945</v>
      </c>
      <c r="O379" s="62">
        <v>0</v>
      </c>
      <c r="P379" s="62"/>
      <c r="Q379" s="62">
        <v>13964.1145</v>
      </c>
      <c r="R379" s="62">
        <v>231671.73199999999</v>
      </c>
      <c r="S379" s="62">
        <v>88651.036599999992</v>
      </c>
      <c r="T379" s="62">
        <v>-99004.081200000001</v>
      </c>
      <c r="U379" s="62">
        <v>0</v>
      </c>
      <c r="V379" s="62"/>
      <c r="W379" s="62">
        <v>41405.201099999998</v>
      </c>
      <c r="X379" s="62">
        <v>41405.201099999998</v>
      </c>
      <c r="Y379" s="62">
        <v>38061.805799999995</v>
      </c>
      <c r="Z379" s="62">
        <v>17519.365999999998</v>
      </c>
      <c r="AA379" s="62">
        <v>0</v>
      </c>
      <c r="AB379" s="62"/>
      <c r="AC379" s="62">
        <v>8596.8234854771817</v>
      </c>
      <c r="AD379" s="62">
        <v>4578.27605809129</v>
      </c>
      <c r="AE379" s="62">
        <v>0</v>
      </c>
      <c r="AF379" s="62">
        <v>0</v>
      </c>
      <c r="AG379" s="62">
        <v>0</v>
      </c>
      <c r="AH379" s="62"/>
      <c r="AI379" s="62">
        <v>-15548.942388312742</v>
      </c>
      <c r="AJ379" s="62">
        <v>-15548.942388312742</v>
      </c>
      <c r="AK379" s="62">
        <v>-14585.839146748964</v>
      </c>
      <c r="AL379" s="62">
        <v>-8669.6335200000212</v>
      </c>
      <c r="AM379" s="62">
        <v>0</v>
      </c>
    </row>
    <row r="380" spans="1:39">
      <c r="A380" s="9">
        <v>93913</v>
      </c>
      <c r="B380" s="10" t="s">
        <v>1755</v>
      </c>
      <c r="C380" s="60">
        <v>5.8799999999999999E-5</v>
      </c>
      <c r="E380" s="62">
        <v>5255.468790126185</v>
      </c>
      <c r="F380" s="62">
        <v>26655.367988466434</v>
      </c>
      <c r="G380" s="62">
        <v>13947.345320823042</v>
      </c>
      <c r="H380" s="62">
        <v>-6748.018880000006</v>
      </c>
      <c r="I380" s="62">
        <v>0</v>
      </c>
      <c r="J380" s="62"/>
      <c r="K380" s="62">
        <v>-353.7996</v>
      </c>
      <c r="L380" s="62">
        <v>744.76080000000002</v>
      </c>
      <c r="M380" s="62">
        <v>1381.9176</v>
      </c>
      <c r="N380" s="62">
        <v>859.36199999999997</v>
      </c>
      <c r="O380" s="62">
        <v>0</v>
      </c>
      <c r="P380" s="62"/>
      <c r="Q380" s="62">
        <v>1294.482</v>
      </c>
      <c r="R380" s="62">
        <v>21476.112000000001</v>
      </c>
      <c r="S380" s="62">
        <v>8218.0056000000004</v>
      </c>
      <c r="T380" s="62">
        <v>-9177.7392</v>
      </c>
      <c r="U380" s="62">
        <v>0</v>
      </c>
      <c r="V380" s="62"/>
      <c r="W380" s="62">
        <v>3838.2876000000001</v>
      </c>
      <c r="X380" s="62">
        <v>3838.2876000000001</v>
      </c>
      <c r="Y380" s="62">
        <v>3528.3528000000001</v>
      </c>
      <c r="Z380" s="62">
        <v>1624.056</v>
      </c>
      <c r="AA380" s="62">
        <v>0</v>
      </c>
      <c r="AB380" s="62"/>
      <c r="AC380" s="62">
        <v>1014.845349794239</v>
      </c>
      <c r="AD380" s="62">
        <v>1014.845349794239</v>
      </c>
      <c r="AE380" s="62">
        <v>872.76700082304592</v>
      </c>
      <c r="AF380" s="62">
        <v>0</v>
      </c>
      <c r="AG380" s="62">
        <v>0</v>
      </c>
      <c r="AH380" s="62"/>
      <c r="AI380" s="62">
        <v>-538.34655966805406</v>
      </c>
      <c r="AJ380" s="62">
        <v>-418.63776132780544</v>
      </c>
      <c r="AK380" s="62">
        <v>-53.697680000005448</v>
      </c>
      <c r="AL380" s="62">
        <v>-53.697680000005448</v>
      </c>
      <c r="AM380" s="62">
        <v>0</v>
      </c>
    </row>
    <row r="381" spans="1:39">
      <c r="A381" s="9">
        <v>93914</v>
      </c>
      <c r="B381" s="10" t="s">
        <v>1756</v>
      </c>
      <c r="C381" s="60">
        <v>8.1000000000000004E-6</v>
      </c>
      <c r="E381" s="62">
        <v>2174.0434538882905</v>
      </c>
      <c r="F381" s="62">
        <v>4587.8139667513606</v>
      </c>
      <c r="G381" s="62">
        <v>2466.5705541563784</v>
      </c>
      <c r="H381" s="62">
        <v>-526.26178000000061</v>
      </c>
      <c r="I381" s="62">
        <v>0</v>
      </c>
      <c r="J381" s="62"/>
      <c r="K381" s="62">
        <v>-48.737700000000004</v>
      </c>
      <c r="L381" s="62">
        <v>102.5946</v>
      </c>
      <c r="M381" s="62">
        <v>190.36620000000002</v>
      </c>
      <c r="N381" s="62">
        <v>118.3815</v>
      </c>
      <c r="O381" s="62">
        <v>0</v>
      </c>
      <c r="P381" s="62"/>
      <c r="Q381" s="62">
        <v>178.32150000000001</v>
      </c>
      <c r="R381" s="62">
        <v>2958.444</v>
      </c>
      <c r="S381" s="62">
        <v>1132.0722000000001</v>
      </c>
      <c r="T381" s="62">
        <v>-1264.2804000000001</v>
      </c>
      <c r="U381" s="62">
        <v>0</v>
      </c>
      <c r="V381" s="62"/>
      <c r="W381" s="62">
        <v>528.74369999999999</v>
      </c>
      <c r="X381" s="62">
        <v>528.74369999999999</v>
      </c>
      <c r="Y381" s="62">
        <v>486.04860000000002</v>
      </c>
      <c r="Z381" s="62">
        <v>223.72200000000001</v>
      </c>
      <c r="AA381" s="62">
        <v>0</v>
      </c>
      <c r="AB381" s="62"/>
      <c r="AC381" s="62">
        <v>1515.7159538882904</v>
      </c>
      <c r="AD381" s="62">
        <v>998.03166675136094</v>
      </c>
      <c r="AE381" s="62">
        <v>658.08355415637811</v>
      </c>
      <c r="AF381" s="62">
        <v>395.91511999999955</v>
      </c>
      <c r="AG381" s="62">
        <v>0</v>
      </c>
      <c r="AH381" s="62"/>
      <c r="AI381" s="62">
        <v>0</v>
      </c>
      <c r="AJ381" s="62">
        <v>0</v>
      </c>
      <c r="AK381" s="62">
        <v>0</v>
      </c>
      <c r="AL381" s="62">
        <v>0</v>
      </c>
      <c r="AM381" s="62">
        <v>0</v>
      </c>
    </row>
    <row r="382" spans="1:39">
      <c r="A382" s="9">
        <v>93921</v>
      </c>
      <c r="B382" s="10" t="s">
        <v>1757</v>
      </c>
      <c r="C382" s="60">
        <v>2.9020000000000001E-4</v>
      </c>
      <c r="E382" s="62">
        <v>29880.641862289143</v>
      </c>
      <c r="F382" s="62">
        <v>131251.87106162525</v>
      </c>
      <c r="G382" s="62">
        <v>65161.312343374477</v>
      </c>
      <c r="H382" s="62">
        <v>-31156.30932</v>
      </c>
      <c r="I382" s="62">
        <v>0</v>
      </c>
      <c r="J382" s="62"/>
      <c r="K382" s="62">
        <v>-1746.1333999999999</v>
      </c>
      <c r="L382" s="62">
        <v>3675.6732000000002</v>
      </c>
      <c r="M382" s="62">
        <v>6820.2804000000006</v>
      </c>
      <c r="N382" s="62">
        <v>4241.2730000000001</v>
      </c>
      <c r="O382" s="62">
        <v>0</v>
      </c>
      <c r="P382" s="62"/>
      <c r="Q382" s="62">
        <v>6388.7529999999997</v>
      </c>
      <c r="R382" s="62">
        <v>105992.648</v>
      </c>
      <c r="S382" s="62">
        <v>40558.932399999998</v>
      </c>
      <c r="T382" s="62">
        <v>-45295.576800000003</v>
      </c>
      <c r="U382" s="62">
        <v>0</v>
      </c>
      <c r="V382" s="62"/>
      <c r="W382" s="62">
        <v>18943.385399999999</v>
      </c>
      <c r="X382" s="62">
        <v>18943.385399999999</v>
      </c>
      <c r="Y382" s="62">
        <v>17413.7412</v>
      </c>
      <c r="Z382" s="62">
        <v>8015.3240000000005</v>
      </c>
      <c r="AA382" s="62">
        <v>0</v>
      </c>
      <c r="AB382" s="62"/>
      <c r="AC382" s="62">
        <v>8055.4649281327802</v>
      </c>
      <c r="AD382" s="62">
        <v>4400.9925274688803</v>
      </c>
      <c r="AE382" s="62">
        <v>1882.6704800000007</v>
      </c>
      <c r="AF382" s="62">
        <v>1882.6704800000007</v>
      </c>
      <c r="AG382" s="62">
        <v>0</v>
      </c>
      <c r="AH382" s="62"/>
      <c r="AI382" s="62">
        <v>-1760.8280658436336</v>
      </c>
      <c r="AJ382" s="62">
        <v>-1760.8280658436336</v>
      </c>
      <c r="AK382" s="62">
        <v>-1514.3121366255255</v>
      </c>
      <c r="AL382" s="62">
        <v>0</v>
      </c>
      <c r="AM382" s="62">
        <v>0</v>
      </c>
    </row>
    <row r="383" spans="1:39">
      <c r="A383" s="9">
        <v>93931</v>
      </c>
      <c r="B383" s="10" t="s">
        <v>1758</v>
      </c>
      <c r="C383" s="60">
        <v>5.0029999999999996E-4</v>
      </c>
      <c r="E383" s="62">
        <v>119115.3974637512</v>
      </c>
      <c r="F383" s="62">
        <v>229257.89530491302</v>
      </c>
      <c r="G383" s="62">
        <v>101419.38880806587</v>
      </c>
      <c r="H383" s="62">
        <v>-64107.916379999988</v>
      </c>
      <c r="I383" s="62">
        <v>0</v>
      </c>
      <c r="J383" s="62"/>
      <c r="K383" s="62">
        <v>-3010.3050999999996</v>
      </c>
      <c r="L383" s="62">
        <v>6336.7997999999998</v>
      </c>
      <c r="M383" s="62">
        <v>11758.050599999999</v>
      </c>
      <c r="N383" s="62">
        <v>7311.8844999999992</v>
      </c>
      <c r="O383" s="62">
        <v>0</v>
      </c>
      <c r="P383" s="62"/>
      <c r="Q383" s="62">
        <v>11014.104499999999</v>
      </c>
      <c r="R383" s="62">
        <v>182729.57199999999</v>
      </c>
      <c r="S383" s="62">
        <v>69922.928599999999</v>
      </c>
      <c r="T383" s="62">
        <v>-78088.825199999992</v>
      </c>
      <c r="U383" s="62">
        <v>0</v>
      </c>
      <c r="V383" s="62"/>
      <c r="W383" s="62">
        <v>32658.083099999996</v>
      </c>
      <c r="X383" s="62">
        <v>32658.083099999996</v>
      </c>
      <c r="Y383" s="62">
        <v>30021.001799999998</v>
      </c>
      <c r="Z383" s="62">
        <v>13818.285999999998</v>
      </c>
      <c r="AA383" s="62">
        <v>0</v>
      </c>
      <c r="AB383" s="62"/>
      <c r="AC383" s="62">
        <v>89246.184215767644</v>
      </c>
      <c r="AD383" s="62">
        <v>18326.10965692946</v>
      </c>
      <c r="AE383" s="62">
        <v>0</v>
      </c>
      <c r="AF383" s="62">
        <v>0</v>
      </c>
      <c r="AG383" s="62">
        <v>0</v>
      </c>
      <c r="AH383" s="62"/>
      <c r="AI383" s="62">
        <v>-10792.669252016432</v>
      </c>
      <c r="AJ383" s="62">
        <v>-10792.669252016432</v>
      </c>
      <c r="AK383" s="62">
        <v>-10282.592191934133</v>
      </c>
      <c r="AL383" s="62">
        <v>-7149.261679999996</v>
      </c>
      <c r="AM383" s="62">
        <v>0</v>
      </c>
    </row>
    <row r="384" spans="1:39">
      <c r="A384" s="9">
        <v>94001</v>
      </c>
      <c r="B384" s="10" t="s">
        <v>1759</v>
      </c>
      <c r="C384" s="60">
        <v>9.209E-4</v>
      </c>
      <c r="E384" s="62">
        <v>62688.827480479813</v>
      </c>
      <c r="F384" s="62">
        <v>421252.53313898604</v>
      </c>
      <c r="G384" s="62">
        <v>218358.4039112757</v>
      </c>
      <c r="H384" s="62">
        <v>-100196.15041999999</v>
      </c>
      <c r="I384" s="62">
        <v>0</v>
      </c>
      <c r="J384" s="62"/>
      <c r="K384" s="62">
        <v>-5541.0553</v>
      </c>
      <c r="L384" s="62">
        <v>11664.1194</v>
      </c>
      <c r="M384" s="62">
        <v>21642.9918</v>
      </c>
      <c r="N384" s="62">
        <v>13458.9535</v>
      </c>
      <c r="O384" s="62">
        <v>0</v>
      </c>
      <c r="P384" s="62"/>
      <c r="Q384" s="62">
        <v>20273.613499999999</v>
      </c>
      <c r="R384" s="62">
        <v>336349.516</v>
      </c>
      <c r="S384" s="62">
        <v>128706.82580000001</v>
      </c>
      <c r="T384" s="62">
        <v>-143737.7556</v>
      </c>
      <c r="U384" s="62">
        <v>0</v>
      </c>
      <c r="V384" s="62"/>
      <c r="W384" s="62">
        <v>60113.5893</v>
      </c>
      <c r="X384" s="62">
        <v>60113.5893</v>
      </c>
      <c r="Y384" s="62">
        <v>55259.525399999999</v>
      </c>
      <c r="Z384" s="62">
        <v>25435.258000000002</v>
      </c>
      <c r="AA384" s="62">
        <v>0</v>
      </c>
      <c r="AB384" s="62"/>
      <c r="AC384" s="62">
        <v>14067.936972181045</v>
      </c>
      <c r="AD384" s="62">
        <v>14067.936972181045</v>
      </c>
      <c r="AE384" s="62">
        <v>12749.060911275701</v>
      </c>
      <c r="AF384" s="62">
        <v>4647.3936800000029</v>
      </c>
      <c r="AG384" s="62">
        <v>0</v>
      </c>
      <c r="AH384" s="62"/>
      <c r="AI384" s="62">
        <v>-26225.25699170123</v>
      </c>
      <c r="AJ384" s="62">
        <v>-942.62853319500346</v>
      </c>
      <c r="AK384" s="62">
        <v>0</v>
      </c>
      <c r="AL384" s="62">
        <v>0</v>
      </c>
      <c r="AM384" s="62">
        <v>0</v>
      </c>
    </row>
    <row r="385" spans="1:39">
      <c r="A385" s="9">
        <v>94002</v>
      </c>
      <c r="B385" s="10" t="s">
        <v>1760</v>
      </c>
      <c r="C385" s="60">
        <v>7.0999999999999998E-6</v>
      </c>
      <c r="E385" s="62">
        <v>815.88914904735032</v>
      </c>
      <c r="F385" s="62">
        <v>3582.3514527817902</v>
      </c>
      <c r="G385" s="62">
        <v>1922.0545208230446</v>
      </c>
      <c r="H385" s="62">
        <v>-605.49158000000034</v>
      </c>
      <c r="I385" s="62">
        <v>0</v>
      </c>
      <c r="J385" s="62"/>
      <c r="K385" s="62">
        <v>-42.720700000000001</v>
      </c>
      <c r="L385" s="62">
        <v>89.928600000000003</v>
      </c>
      <c r="M385" s="62">
        <v>166.86419999999998</v>
      </c>
      <c r="N385" s="62">
        <v>103.76649999999999</v>
      </c>
      <c r="O385" s="62">
        <v>0</v>
      </c>
      <c r="P385" s="62"/>
      <c r="Q385" s="62">
        <v>156.3065</v>
      </c>
      <c r="R385" s="62">
        <v>2593.2039999999997</v>
      </c>
      <c r="S385" s="62">
        <v>992.31020000000001</v>
      </c>
      <c r="T385" s="62">
        <v>-1108.1964</v>
      </c>
      <c r="U385" s="62">
        <v>0</v>
      </c>
      <c r="V385" s="62"/>
      <c r="W385" s="62">
        <v>463.4667</v>
      </c>
      <c r="X385" s="62">
        <v>463.4667</v>
      </c>
      <c r="Y385" s="62">
        <v>426.04259999999999</v>
      </c>
      <c r="Z385" s="62">
        <v>196.102</v>
      </c>
      <c r="AA385" s="62">
        <v>0</v>
      </c>
      <c r="AB385" s="62"/>
      <c r="AC385" s="62">
        <v>452.67664904735039</v>
      </c>
      <c r="AD385" s="62">
        <v>435.75215278179019</v>
      </c>
      <c r="AE385" s="62">
        <v>336.83752082304471</v>
      </c>
      <c r="AF385" s="62">
        <v>202.8363199999998</v>
      </c>
      <c r="AG385" s="62">
        <v>0</v>
      </c>
      <c r="AH385" s="62"/>
      <c r="AI385" s="62">
        <v>-213.84000000000003</v>
      </c>
      <c r="AJ385" s="62">
        <v>0</v>
      </c>
      <c r="AK385" s="62">
        <v>0</v>
      </c>
      <c r="AL385" s="62">
        <v>0</v>
      </c>
      <c r="AM385" s="62">
        <v>0</v>
      </c>
    </row>
    <row r="386" spans="1:39">
      <c r="A386" s="9">
        <v>94004</v>
      </c>
      <c r="B386" s="10" t="s">
        <v>1761</v>
      </c>
      <c r="C386" s="60">
        <v>7.3000000000000004E-6</v>
      </c>
      <c r="E386" s="62">
        <v>1304.6758869760774</v>
      </c>
      <c r="F386" s="62">
        <v>4504.5179990092729</v>
      </c>
      <c r="G386" s="62">
        <v>2878.564162469137</v>
      </c>
      <c r="H386" s="62">
        <v>81.975260000000844</v>
      </c>
      <c r="I386" s="62">
        <v>0</v>
      </c>
      <c r="J386" s="62"/>
      <c r="K386" s="62">
        <v>-43.924100000000003</v>
      </c>
      <c r="L386" s="62">
        <v>92.461800000000011</v>
      </c>
      <c r="M386" s="62">
        <v>171.56460000000001</v>
      </c>
      <c r="N386" s="62">
        <v>106.68950000000001</v>
      </c>
      <c r="O386" s="62">
        <v>0</v>
      </c>
      <c r="P386" s="62"/>
      <c r="Q386" s="62">
        <v>160.70950000000002</v>
      </c>
      <c r="R386" s="62">
        <v>2666.252</v>
      </c>
      <c r="S386" s="62">
        <v>1020.2626</v>
      </c>
      <c r="T386" s="62">
        <v>-1139.4132</v>
      </c>
      <c r="U386" s="62">
        <v>0</v>
      </c>
      <c r="V386" s="62"/>
      <c r="W386" s="62">
        <v>476.52210000000002</v>
      </c>
      <c r="X386" s="62">
        <v>476.52210000000002</v>
      </c>
      <c r="Y386" s="62">
        <v>438.04380000000003</v>
      </c>
      <c r="Z386" s="62">
        <v>201.626</v>
      </c>
      <c r="AA386" s="62">
        <v>0</v>
      </c>
      <c r="AB386" s="62"/>
      <c r="AC386" s="62">
        <v>1303.3290093827168</v>
      </c>
      <c r="AD386" s="62">
        <v>1303.3290093827168</v>
      </c>
      <c r="AE386" s="62">
        <v>1248.6931624691367</v>
      </c>
      <c r="AF386" s="62">
        <v>913.07296000000088</v>
      </c>
      <c r="AG386" s="62">
        <v>0</v>
      </c>
      <c r="AH386" s="62"/>
      <c r="AI386" s="62">
        <v>-591.96062240663923</v>
      </c>
      <c r="AJ386" s="62">
        <v>-34.046910373444014</v>
      </c>
      <c r="AK386" s="62">
        <v>0</v>
      </c>
      <c r="AL386" s="62">
        <v>0</v>
      </c>
      <c r="AM386" s="62">
        <v>0</v>
      </c>
    </row>
    <row r="387" spans="1:39">
      <c r="A387" s="9">
        <v>94005</v>
      </c>
      <c r="B387" s="10" t="s">
        <v>1760</v>
      </c>
      <c r="C387" s="60">
        <v>0</v>
      </c>
      <c r="E387" s="62">
        <v>-1982.7123014224001</v>
      </c>
      <c r="F387" s="62">
        <v>-1764.3660873145163</v>
      </c>
      <c r="G387" s="62">
        <v>-1306.6737855967087</v>
      </c>
      <c r="H387" s="62">
        <v>-809.87640000000067</v>
      </c>
      <c r="I387" s="62">
        <v>0</v>
      </c>
      <c r="J387" s="62"/>
      <c r="K387" s="62">
        <v>0</v>
      </c>
      <c r="L387" s="62">
        <v>0</v>
      </c>
      <c r="M387" s="62">
        <v>0</v>
      </c>
      <c r="N387" s="62">
        <v>0</v>
      </c>
      <c r="O387" s="62">
        <v>0</v>
      </c>
      <c r="P387" s="62"/>
      <c r="Q387" s="62">
        <v>0</v>
      </c>
      <c r="R387" s="62">
        <v>0</v>
      </c>
      <c r="S387" s="62">
        <v>0</v>
      </c>
      <c r="T387" s="62">
        <v>0</v>
      </c>
      <c r="U387" s="62">
        <v>0</v>
      </c>
      <c r="V387" s="62"/>
      <c r="W387" s="62">
        <v>0</v>
      </c>
      <c r="X387" s="62">
        <v>0</v>
      </c>
      <c r="Y387" s="62">
        <v>0</v>
      </c>
      <c r="Z387" s="62">
        <v>0</v>
      </c>
      <c r="AA387" s="62">
        <v>0</v>
      </c>
      <c r="AB387" s="62"/>
      <c r="AC387" s="62">
        <v>0</v>
      </c>
      <c r="AD387" s="62">
        <v>0</v>
      </c>
      <c r="AE387" s="62">
        <v>0</v>
      </c>
      <c r="AF387" s="62">
        <v>0</v>
      </c>
      <c r="AG387" s="62">
        <v>0</v>
      </c>
      <c r="AH387" s="62"/>
      <c r="AI387" s="62">
        <v>-1982.7123014224001</v>
      </c>
      <c r="AJ387" s="62">
        <v>-1764.3660873145163</v>
      </c>
      <c r="AK387" s="62">
        <v>-1306.6737855967087</v>
      </c>
      <c r="AL387" s="62">
        <v>-809.87640000000067</v>
      </c>
      <c r="AM387" s="62">
        <v>0</v>
      </c>
    </row>
    <row r="388" spans="1:39">
      <c r="A388" s="9">
        <v>94011</v>
      </c>
      <c r="B388" s="10" t="s">
        <v>1763</v>
      </c>
      <c r="C388" s="60">
        <v>2.3600000000000001E-5</v>
      </c>
      <c r="E388" s="62">
        <v>1905.9484068603047</v>
      </c>
      <c r="F388" s="62">
        <v>10875.356839225453</v>
      </c>
      <c r="G388" s="62">
        <v>5580.7683866666684</v>
      </c>
      <c r="H388" s="62">
        <v>-3342.3644800000002</v>
      </c>
      <c r="I388" s="62">
        <v>0</v>
      </c>
      <c r="J388" s="62"/>
      <c r="K388" s="62">
        <v>-142.00120000000001</v>
      </c>
      <c r="L388" s="62">
        <v>298.91759999999999</v>
      </c>
      <c r="M388" s="62">
        <v>554.6472</v>
      </c>
      <c r="N388" s="62">
        <v>344.91399999999999</v>
      </c>
      <c r="O388" s="62">
        <v>0</v>
      </c>
      <c r="P388" s="62"/>
      <c r="Q388" s="62">
        <v>519.55399999999997</v>
      </c>
      <c r="R388" s="62">
        <v>8619.6640000000007</v>
      </c>
      <c r="S388" s="62">
        <v>3298.3832000000002</v>
      </c>
      <c r="T388" s="62">
        <v>-3683.5824000000002</v>
      </c>
      <c r="U388" s="62">
        <v>0</v>
      </c>
      <c r="V388" s="62"/>
      <c r="W388" s="62">
        <v>1540.5372</v>
      </c>
      <c r="X388" s="62">
        <v>1540.5372</v>
      </c>
      <c r="Y388" s="62">
        <v>1416.1416000000002</v>
      </c>
      <c r="Z388" s="62">
        <v>651.83199999999999</v>
      </c>
      <c r="AA388" s="62">
        <v>0</v>
      </c>
      <c r="AB388" s="62"/>
      <c r="AC388" s="62">
        <v>1124.563333333333</v>
      </c>
      <c r="AD388" s="62">
        <v>1124.563333333333</v>
      </c>
      <c r="AE388" s="62">
        <v>967.12446666666676</v>
      </c>
      <c r="AF388" s="62">
        <v>0</v>
      </c>
      <c r="AG388" s="62">
        <v>0</v>
      </c>
      <c r="AH388" s="62"/>
      <c r="AI388" s="62">
        <v>-1136.7049264730281</v>
      </c>
      <c r="AJ388" s="62">
        <v>-708.325294107883</v>
      </c>
      <c r="AK388" s="62">
        <v>-655.52807999999936</v>
      </c>
      <c r="AL388" s="62">
        <v>-655.52807999999936</v>
      </c>
      <c r="AM388" s="62">
        <v>0</v>
      </c>
    </row>
    <row r="389" spans="1:39">
      <c r="A389" s="9">
        <v>94021</v>
      </c>
      <c r="B389" s="10" t="s">
        <v>1764</v>
      </c>
      <c r="C389" s="60">
        <v>9.3399999999999993E-5</v>
      </c>
      <c r="E389" s="62">
        <v>16124.285389165856</v>
      </c>
      <c r="F389" s="62">
        <v>46367.749430908589</v>
      </c>
      <c r="G389" s="62">
        <v>24516.110237942383</v>
      </c>
      <c r="H389" s="62">
        <v>-7778.8531599999988</v>
      </c>
      <c r="I389" s="62">
        <v>0</v>
      </c>
      <c r="J389" s="62"/>
      <c r="K389" s="62">
        <v>-561.98779999999999</v>
      </c>
      <c r="L389" s="62">
        <v>1183.0043999999998</v>
      </c>
      <c r="M389" s="62">
        <v>2195.0868</v>
      </c>
      <c r="N389" s="62">
        <v>1365.0409999999999</v>
      </c>
      <c r="O389" s="62">
        <v>0</v>
      </c>
      <c r="P389" s="62"/>
      <c r="Q389" s="62">
        <v>2056.201</v>
      </c>
      <c r="R389" s="62">
        <v>34113.415999999997</v>
      </c>
      <c r="S389" s="62">
        <v>13053.770799999998</v>
      </c>
      <c r="T389" s="62">
        <v>-14578.245599999998</v>
      </c>
      <c r="U389" s="62">
        <v>0</v>
      </c>
      <c r="V389" s="62"/>
      <c r="W389" s="62">
        <v>6096.8717999999999</v>
      </c>
      <c r="X389" s="62">
        <v>6096.8717999999999</v>
      </c>
      <c r="Y389" s="62">
        <v>5604.5603999999994</v>
      </c>
      <c r="Z389" s="62">
        <v>2579.7079999999996</v>
      </c>
      <c r="AA389" s="62">
        <v>0</v>
      </c>
      <c r="AB389" s="62"/>
      <c r="AC389" s="62">
        <v>8533.2003891658551</v>
      </c>
      <c r="AD389" s="62">
        <v>4974.4572309085943</v>
      </c>
      <c r="AE389" s="62">
        <v>3662.6922379423868</v>
      </c>
      <c r="AF389" s="62">
        <v>2854.6434399999998</v>
      </c>
      <c r="AG389" s="62">
        <v>0</v>
      </c>
      <c r="AH389" s="62"/>
      <c r="AI389" s="62">
        <v>0</v>
      </c>
      <c r="AJ389" s="62">
        <v>0</v>
      </c>
      <c r="AK389" s="62">
        <v>0</v>
      </c>
      <c r="AL389" s="62">
        <v>0</v>
      </c>
      <c r="AM389" s="62">
        <v>0</v>
      </c>
    </row>
    <row r="390" spans="1:39">
      <c r="A390" s="9">
        <v>94031</v>
      </c>
      <c r="B390" s="10" t="s">
        <v>1765</v>
      </c>
      <c r="C390" s="60">
        <v>5.4E-6</v>
      </c>
      <c r="E390" s="62">
        <v>3268.1749816259398</v>
      </c>
      <c r="F390" s="62">
        <v>5012.9090438666044</v>
      </c>
      <c r="G390" s="62">
        <v>2536.170923703703</v>
      </c>
      <c r="H390" s="62">
        <v>-203.20668000000063</v>
      </c>
      <c r="I390" s="62">
        <v>0</v>
      </c>
      <c r="J390" s="62"/>
      <c r="K390" s="62">
        <v>-32.491799999999998</v>
      </c>
      <c r="L390" s="62">
        <v>68.3964</v>
      </c>
      <c r="M390" s="62">
        <v>126.91079999999999</v>
      </c>
      <c r="N390" s="62">
        <v>78.921000000000006</v>
      </c>
      <c r="O390" s="62">
        <v>0</v>
      </c>
      <c r="P390" s="62"/>
      <c r="Q390" s="62">
        <v>118.881</v>
      </c>
      <c r="R390" s="62">
        <v>1972.296</v>
      </c>
      <c r="S390" s="62">
        <v>754.71479999999997</v>
      </c>
      <c r="T390" s="62">
        <v>-842.85360000000003</v>
      </c>
      <c r="U390" s="62">
        <v>0</v>
      </c>
      <c r="V390" s="62"/>
      <c r="W390" s="62">
        <v>352.49579999999997</v>
      </c>
      <c r="X390" s="62">
        <v>352.49579999999997</v>
      </c>
      <c r="Y390" s="62">
        <v>324.0324</v>
      </c>
      <c r="Z390" s="62">
        <v>149.148</v>
      </c>
      <c r="AA390" s="62">
        <v>0</v>
      </c>
      <c r="AB390" s="62"/>
      <c r="AC390" s="62">
        <v>2869.8799816259402</v>
      </c>
      <c r="AD390" s="62">
        <v>2619.7208438666048</v>
      </c>
      <c r="AE390" s="62">
        <v>1330.5129237037029</v>
      </c>
      <c r="AF390" s="62">
        <v>411.57791999999932</v>
      </c>
      <c r="AG390" s="62">
        <v>0</v>
      </c>
      <c r="AH390" s="62"/>
      <c r="AI390" s="62">
        <v>-40.590000000000011</v>
      </c>
      <c r="AJ390" s="62">
        <v>0</v>
      </c>
      <c r="AK390" s="62">
        <v>0</v>
      </c>
      <c r="AL390" s="62">
        <v>0</v>
      </c>
      <c r="AM390" s="62">
        <v>0</v>
      </c>
    </row>
    <row r="391" spans="1:39">
      <c r="A391" s="9">
        <v>94101</v>
      </c>
      <c r="B391" s="10" t="s">
        <v>1766</v>
      </c>
      <c r="C391" s="60">
        <v>1.8321799999999999E-2</v>
      </c>
      <c r="E391" s="62">
        <v>1221044.750805859</v>
      </c>
      <c r="F391" s="62">
        <v>8084225.9419469386</v>
      </c>
      <c r="G391" s="62">
        <v>3953473.3118637037</v>
      </c>
      <c r="H391" s="62">
        <v>-2095331.2612400001</v>
      </c>
      <c r="I391" s="62">
        <v>0</v>
      </c>
      <c r="J391" s="62"/>
      <c r="K391" s="62">
        <v>-110242.27059999999</v>
      </c>
      <c r="L391" s="62">
        <v>232063.91879999998</v>
      </c>
      <c r="M391" s="62">
        <v>430598.9436</v>
      </c>
      <c r="N391" s="62">
        <v>267773.10699999996</v>
      </c>
      <c r="O391" s="62">
        <v>0</v>
      </c>
      <c r="P391" s="62"/>
      <c r="Q391" s="62">
        <v>403354.42699999997</v>
      </c>
      <c r="R391" s="62">
        <v>6691854.2319999998</v>
      </c>
      <c r="S391" s="62">
        <v>2560691.4115999998</v>
      </c>
      <c r="T391" s="62">
        <v>-2859739.8311999999</v>
      </c>
      <c r="U391" s="62">
        <v>0</v>
      </c>
      <c r="V391" s="62"/>
      <c r="W391" s="62">
        <v>1195992.1385999999</v>
      </c>
      <c r="X391" s="62">
        <v>1195992.1385999999</v>
      </c>
      <c r="Y391" s="62">
        <v>1099417.9308</v>
      </c>
      <c r="Z391" s="62">
        <v>506048.11599999998</v>
      </c>
      <c r="AA391" s="62">
        <v>0</v>
      </c>
      <c r="AB391" s="62"/>
      <c r="AC391" s="62">
        <v>149218.18477178467</v>
      </c>
      <c r="AD391" s="62">
        <v>122358.91151286347</v>
      </c>
      <c r="AE391" s="62">
        <v>0</v>
      </c>
      <c r="AF391" s="62">
        <v>0</v>
      </c>
      <c r="AG391" s="62">
        <v>0</v>
      </c>
      <c r="AH391" s="62"/>
      <c r="AI391" s="62">
        <v>-417277.7289659254</v>
      </c>
      <c r="AJ391" s="62">
        <v>-158043.25896592531</v>
      </c>
      <c r="AK391" s="62">
        <v>-137234.97413629582</v>
      </c>
      <c r="AL391" s="62">
        <v>-9412.6530400000483</v>
      </c>
      <c r="AM391" s="62">
        <v>0</v>
      </c>
    </row>
    <row r="392" spans="1:39">
      <c r="A392" s="9">
        <v>94102</v>
      </c>
      <c r="B392" s="10" t="s">
        <v>1767</v>
      </c>
      <c r="C392" s="60">
        <v>2.965E-4</v>
      </c>
      <c r="E392" s="62">
        <v>12761.382928788162</v>
      </c>
      <c r="F392" s="62">
        <v>118559.49243999147</v>
      </c>
      <c r="G392" s="62">
        <v>58920.229935884803</v>
      </c>
      <c r="H392" s="62">
        <v>-36582.01625999996</v>
      </c>
      <c r="I392" s="62">
        <v>0</v>
      </c>
      <c r="J392" s="62"/>
      <c r="K392" s="62">
        <v>-1784.0405000000001</v>
      </c>
      <c r="L392" s="62">
        <v>3755.4690000000001</v>
      </c>
      <c r="M392" s="62">
        <v>6968.3429999999998</v>
      </c>
      <c r="N392" s="62">
        <v>4333.3474999999999</v>
      </c>
      <c r="O392" s="62">
        <v>0</v>
      </c>
      <c r="P392" s="62"/>
      <c r="Q392" s="62">
        <v>6527.4475000000002</v>
      </c>
      <c r="R392" s="62">
        <v>108293.66</v>
      </c>
      <c r="S392" s="62">
        <v>41439.432999999997</v>
      </c>
      <c r="T392" s="62">
        <v>-46278.906000000003</v>
      </c>
      <c r="U392" s="62">
        <v>0</v>
      </c>
      <c r="V392" s="62"/>
      <c r="W392" s="62">
        <v>19354.630499999999</v>
      </c>
      <c r="X392" s="62">
        <v>19354.630499999999</v>
      </c>
      <c r="Y392" s="62">
        <v>17791.778999999999</v>
      </c>
      <c r="Z392" s="62">
        <v>8189.33</v>
      </c>
      <c r="AA392" s="62">
        <v>0</v>
      </c>
      <c r="AB392" s="62"/>
      <c r="AC392" s="62">
        <v>2570.0400000000004</v>
      </c>
      <c r="AD392" s="62">
        <v>0</v>
      </c>
      <c r="AE392" s="62">
        <v>0</v>
      </c>
      <c r="AF392" s="62">
        <v>0</v>
      </c>
      <c r="AG392" s="62">
        <v>0</v>
      </c>
      <c r="AH392" s="62"/>
      <c r="AI392" s="62">
        <v>-13906.694571211838</v>
      </c>
      <c r="AJ392" s="62">
        <v>-12844.267060008517</v>
      </c>
      <c r="AK392" s="62">
        <v>-7279.3250641151917</v>
      </c>
      <c r="AL392" s="62">
        <v>-2825.7877599999661</v>
      </c>
      <c r="AM392" s="62">
        <v>0</v>
      </c>
    </row>
    <row r="393" spans="1:39">
      <c r="A393" s="9">
        <v>94108</v>
      </c>
      <c r="B393" s="10" t="s">
        <v>1768</v>
      </c>
      <c r="C393" s="60">
        <v>3.1389999999999999E-4</v>
      </c>
      <c r="E393" s="62">
        <v>-21813.138114723271</v>
      </c>
      <c r="F393" s="62">
        <v>106771.39502967506</v>
      </c>
      <c r="G393" s="62">
        <v>48084.828883374488</v>
      </c>
      <c r="H393" s="62">
        <v>-42675.221180000008</v>
      </c>
      <c r="I393" s="62">
        <v>0</v>
      </c>
      <c r="J393" s="62"/>
      <c r="K393" s="62">
        <v>-1888.7363</v>
      </c>
      <c r="L393" s="62">
        <v>3975.8573999999999</v>
      </c>
      <c r="M393" s="62">
        <v>7377.2777999999998</v>
      </c>
      <c r="N393" s="62">
        <v>4587.6485000000002</v>
      </c>
      <c r="O393" s="62">
        <v>0</v>
      </c>
      <c r="P393" s="62"/>
      <c r="Q393" s="62">
        <v>6910.5084999999999</v>
      </c>
      <c r="R393" s="62">
        <v>114648.836</v>
      </c>
      <c r="S393" s="62">
        <v>43871.291799999999</v>
      </c>
      <c r="T393" s="62">
        <v>-48994.767599999999</v>
      </c>
      <c r="U393" s="62">
        <v>0</v>
      </c>
      <c r="V393" s="62"/>
      <c r="W393" s="62">
        <v>20490.4503</v>
      </c>
      <c r="X393" s="62">
        <v>20490.4503</v>
      </c>
      <c r="Y393" s="62">
        <v>18835.883399999999</v>
      </c>
      <c r="Z393" s="62">
        <v>8669.9179999999997</v>
      </c>
      <c r="AA393" s="62">
        <v>0</v>
      </c>
      <c r="AB393" s="62"/>
      <c r="AC393" s="62">
        <v>0</v>
      </c>
      <c r="AD393" s="62">
        <v>0</v>
      </c>
      <c r="AE393" s="62">
        <v>0</v>
      </c>
      <c r="AF393" s="62">
        <v>0</v>
      </c>
      <c r="AG393" s="62">
        <v>0</v>
      </c>
      <c r="AH393" s="62"/>
      <c r="AI393" s="62">
        <v>-47325.360614723271</v>
      </c>
      <c r="AJ393" s="62">
        <v>-32343.748670324931</v>
      </c>
      <c r="AK393" s="62">
        <v>-21999.624116625517</v>
      </c>
      <c r="AL393" s="62">
        <v>-6938.020080000013</v>
      </c>
      <c r="AM393" s="62">
        <v>0</v>
      </c>
    </row>
    <row r="394" spans="1:39">
      <c r="A394" s="9">
        <v>94109</v>
      </c>
      <c r="B394" s="10" t="s">
        <v>1769</v>
      </c>
      <c r="C394" s="60">
        <v>9.09E-5</v>
      </c>
      <c r="E394" s="62">
        <v>-5509.977519783828</v>
      </c>
      <c r="F394" s="62">
        <v>27051.540998888362</v>
      </c>
      <c r="G394" s="62">
        <v>10128.534464197524</v>
      </c>
      <c r="H394" s="62">
        <v>-14548.771299999999</v>
      </c>
      <c r="I394" s="62">
        <v>0</v>
      </c>
      <c r="J394" s="62"/>
      <c r="K394" s="62">
        <v>-546.94529999999997</v>
      </c>
      <c r="L394" s="62">
        <v>1151.3394000000001</v>
      </c>
      <c r="M394" s="62">
        <v>2136.3317999999999</v>
      </c>
      <c r="N394" s="62">
        <v>1328.5035</v>
      </c>
      <c r="O394" s="62">
        <v>0</v>
      </c>
      <c r="P394" s="62"/>
      <c r="Q394" s="62">
        <v>2001.1635000000001</v>
      </c>
      <c r="R394" s="62">
        <v>33200.315999999999</v>
      </c>
      <c r="S394" s="62">
        <v>12704.3658</v>
      </c>
      <c r="T394" s="62">
        <v>-14188.035599999999</v>
      </c>
      <c r="U394" s="62">
        <v>0</v>
      </c>
      <c r="V394" s="62"/>
      <c r="W394" s="62">
        <v>5933.6792999999998</v>
      </c>
      <c r="X394" s="62">
        <v>5933.6792999999998</v>
      </c>
      <c r="Y394" s="62">
        <v>5454.5454</v>
      </c>
      <c r="Z394" s="62">
        <v>2510.6579999999999</v>
      </c>
      <c r="AA394" s="62">
        <v>0</v>
      </c>
      <c r="AB394" s="62"/>
      <c r="AC394" s="62">
        <v>795.96000000000015</v>
      </c>
      <c r="AD394" s="62">
        <v>0</v>
      </c>
      <c r="AE394" s="62">
        <v>0</v>
      </c>
      <c r="AF394" s="62">
        <v>0</v>
      </c>
      <c r="AG394" s="62">
        <v>0</v>
      </c>
      <c r="AH394" s="62"/>
      <c r="AI394" s="62">
        <v>-13693.835019783828</v>
      </c>
      <c r="AJ394" s="62">
        <v>-13233.79370111163</v>
      </c>
      <c r="AK394" s="62">
        <v>-10166.708535802474</v>
      </c>
      <c r="AL394" s="62">
        <v>-4199.8971999999994</v>
      </c>
      <c r="AM394" s="62">
        <v>0</v>
      </c>
    </row>
    <row r="395" spans="1:39">
      <c r="A395" s="9">
        <v>94111</v>
      </c>
      <c r="B395" s="10" t="s">
        <v>1770</v>
      </c>
      <c r="C395" s="60">
        <v>2.5682299999999998E-2</v>
      </c>
      <c r="E395" s="62">
        <v>1562666.9975499683</v>
      </c>
      <c r="F395" s="62">
        <v>10873616.543674365</v>
      </c>
      <c r="G395" s="62">
        <v>5377159.3372246083</v>
      </c>
      <c r="H395" s="62">
        <v>-3018071.16414</v>
      </c>
      <c r="I395" s="62">
        <v>0</v>
      </c>
      <c r="J395" s="62"/>
      <c r="K395" s="62">
        <v>-154530.39909999998</v>
      </c>
      <c r="L395" s="62">
        <v>325292.01179999998</v>
      </c>
      <c r="M395" s="62">
        <v>603585.4145999999</v>
      </c>
      <c r="N395" s="62">
        <v>375346.81449999998</v>
      </c>
      <c r="O395" s="62">
        <v>0</v>
      </c>
      <c r="P395" s="62"/>
      <c r="Q395" s="62">
        <v>565395.8345</v>
      </c>
      <c r="R395" s="62">
        <v>9380203.2519999985</v>
      </c>
      <c r="S395" s="62">
        <v>3589409.6125999996</v>
      </c>
      <c r="T395" s="62">
        <v>-4008596.1131999996</v>
      </c>
      <c r="U395" s="62">
        <v>0</v>
      </c>
      <c r="V395" s="62"/>
      <c r="W395" s="62">
        <v>1676463.4970999998</v>
      </c>
      <c r="X395" s="62">
        <v>1676463.4970999998</v>
      </c>
      <c r="Y395" s="62">
        <v>1541092.0937999999</v>
      </c>
      <c r="Z395" s="62">
        <v>709345.12599999993</v>
      </c>
      <c r="AA395" s="62">
        <v>0</v>
      </c>
      <c r="AB395" s="62"/>
      <c r="AC395" s="62">
        <v>7527.9600000000019</v>
      </c>
      <c r="AD395" s="62">
        <v>0</v>
      </c>
      <c r="AE395" s="62">
        <v>0</v>
      </c>
      <c r="AF395" s="62">
        <v>0</v>
      </c>
      <c r="AG395" s="62">
        <v>0</v>
      </c>
      <c r="AH395" s="62"/>
      <c r="AI395" s="62">
        <v>-532189.89495003165</v>
      </c>
      <c r="AJ395" s="62">
        <v>-508342.21722563327</v>
      </c>
      <c r="AK395" s="62">
        <v>-356927.78377539059</v>
      </c>
      <c r="AL395" s="62">
        <v>-94166.991440000013</v>
      </c>
      <c r="AM395" s="62">
        <v>0</v>
      </c>
    </row>
    <row r="396" spans="1:39">
      <c r="A396" s="9">
        <v>94112</v>
      </c>
      <c r="B396" s="10" t="s">
        <v>1771</v>
      </c>
      <c r="C396" s="60">
        <v>1.6699999999999999E-4</v>
      </c>
      <c r="E396" s="62">
        <v>5063.2643093332008</v>
      </c>
      <c r="F396" s="62">
        <v>68293.26318941619</v>
      </c>
      <c r="G396" s="62">
        <v>33861.203038600819</v>
      </c>
      <c r="H396" s="62">
        <v>-20333.298039999994</v>
      </c>
      <c r="I396" s="62">
        <v>0</v>
      </c>
      <c r="J396" s="62"/>
      <c r="K396" s="62">
        <v>-1004.8389999999999</v>
      </c>
      <c r="L396" s="62">
        <v>2115.2219999999998</v>
      </c>
      <c r="M396" s="62">
        <v>3924.8339999999998</v>
      </c>
      <c r="N396" s="62">
        <v>2440.7049999999999</v>
      </c>
      <c r="O396" s="62">
        <v>0</v>
      </c>
      <c r="P396" s="62"/>
      <c r="Q396" s="62">
        <v>3676.5049999999997</v>
      </c>
      <c r="R396" s="62">
        <v>60995.079999999994</v>
      </c>
      <c r="S396" s="62">
        <v>23340.254000000001</v>
      </c>
      <c r="T396" s="62">
        <v>-26066.027999999998</v>
      </c>
      <c r="U396" s="62">
        <v>0</v>
      </c>
      <c r="V396" s="62"/>
      <c r="W396" s="62">
        <v>10901.259</v>
      </c>
      <c r="X396" s="62">
        <v>10901.259</v>
      </c>
      <c r="Y396" s="62">
        <v>10021.002</v>
      </c>
      <c r="Z396" s="62">
        <v>4612.54</v>
      </c>
      <c r="AA396" s="62">
        <v>0</v>
      </c>
      <c r="AB396" s="62"/>
      <c r="AC396" s="62">
        <v>0</v>
      </c>
      <c r="AD396" s="62">
        <v>0</v>
      </c>
      <c r="AE396" s="62">
        <v>0</v>
      </c>
      <c r="AF396" s="62">
        <v>0</v>
      </c>
      <c r="AG396" s="62">
        <v>0</v>
      </c>
      <c r="AH396" s="62"/>
      <c r="AI396" s="62">
        <v>-8509.6606906667985</v>
      </c>
      <c r="AJ396" s="62">
        <v>-5718.297810583812</v>
      </c>
      <c r="AK396" s="62">
        <v>-3424.8869613991765</v>
      </c>
      <c r="AL396" s="62">
        <v>-1320.5150399999984</v>
      </c>
      <c r="AM396" s="62">
        <v>0</v>
      </c>
    </row>
    <row r="397" spans="1:39">
      <c r="A397" s="9">
        <v>94117</v>
      </c>
      <c r="B397" s="10" t="s">
        <v>1772</v>
      </c>
      <c r="C397" s="60">
        <v>3.9809999999999997E-4</v>
      </c>
      <c r="E397" s="62">
        <v>32274.862902290857</v>
      </c>
      <c r="F397" s="62">
        <v>175428.3419105896</v>
      </c>
      <c r="G397" s="62">
        <v>84625.107084197516</v>
      </c>
      <c r="H397" s="62">
        <v>-47435.228179999998</v>
      </c>
      <c r="I397" s="62">
        <v>0</v>
      </c>
      <c r="J397" s="62"/>
      <c r="K397" s="62">
        <v>-2395.3676999999998</v>
      </c>
      <c r="L397" s="62">
        <v>5042.3345999999992</v>
      </c>
      <c r="M397" s="62">
        <v>9356.1461999999992</v>
      </c>
      <c r="N397" s="62">
        <v>5818.2314999999999</v>
      </c>
      <c r="O397" s="62">
        <v>0</v>
      </c>
      <c r="P397" s="62"/>
      <c r="Q397" s="62">
        <v>8764.1714999999986</v>
      </c>
      <c r="R397" s="62">
        <v>145402.04399999999</v>
      </c>
      <c r="S397" s="62">
        <v>55639.252199999995</v>
      </c>
      <c r="T397" s="62">
        <v>-62137.040399999998</v>
      </c>
      <c r="U397" s="62">
        <v>0</v>
      </c>
      <c r="V397" s="62"/>
      <c r="W397" s="62">
        <v>25986.773699999998</v>
      </c>
      <c r="X397" s="62">
        <v>25986.773699999998</v>
      </c>
      <c r="Y397" s="62">
        <v>23888.388599999998</v>
      </c>
      <c r="Z397" s="62">
        <v>10995.521999999999</v>
      </c>
      <c r="AA397" s="62">
        <v>0</v>
      </c>
      <c r="AB397" s="62"/>
      <c r="AC397" s="62">
        <v>4527.434398340245</v>
      </c>
      <c r="AD397" s="62">
        <v>3605.3386066390021</v>
      </c>
      <c r="AE397" s="62">
        <v>0</v>
      </c>
      <c r="AF397" s="62">
        <v>0</v>
      </c>
      <c r="AG397" s="62">
        <v>0</v>
      </c>
      <c r="AH397" s="62"/>
      <c r="AI397" s="62">
        <v>-4608.1489960493846</v>
      </c>
      <c r="AJ397" s="62">
        <v>-4608.1489960493846</v>
      </c>
      <c r="AK397" s="62">
        <v>-4258.6799158024714</v>
      </c>
      <c r="AL397" s="62">
        <v>-2111.9412799999991</v>
      </c>
      <c r="AM397" s="62">
        <v>0</v>
      </c>
    </row>
    <row r="398" spans="1:39">
      <c r="A398" s="9">
        <v>94118</v>
      </c>
      <c r="B398" s="10" t="s">
        <v>1773</v>
      </c>
      <c r="C398" s="60">
        <v>1.494E-4</v>
      </c>
      <c r="E398" s="62">
        <v>-12557.854588429549</v>
      </c>
      <c r="F398" s="62">
        <v>49359.586782524813</v>
      </c>
      <c r="G398" s="62">
        <v>22860.423376954739</v>
      </c>
      <c r="H398" s="62">
        <v>-21559.424999999996</v>
      </c>
      <c r="I398" s="62">
        <v>0</v>
      </c>
      <c r="J398" s="62"/>
      <c r="K398" s="62">
        <v>-898.93979999999999</v>
      </c>
      <c r="L398" s="62">
        <v>1892.3004000000001</v>
      </c>
      <c r="M398" s="62">
        <v>3511.1988000000001</v>
      </c>
      <c r="N398" s="62">
        <v>2183.4809999999998</v>
      </c>
      <c r="O398" s="62">
        <v>0</v>
      </c>
      <c r="P398" s="62"/>
      <c r="Q398" s="62">
        <v>3289.0410000000002</v>
      </c>
      <c r="R398" s="62">
        <v>54566.856</v>
      </c>
      <c r="S398" s="62">
        <v>20880.442800000001</v>
      </c>
      <c r="T398" s="62">
        <v>-23318.9496</v>
      </c>
      <c r="U398" s="62">
        <v>0</v>
      </c>
      <c r="V398" s="62"/>
      <c r="W398" s="62">
        <v>9752.3837999999996</v>
      </c>
      <c r="X398" s="62">
        <v>9752.3837999999996</v>
      </c>
      <c r="Y398" s="62">
        <v>8964.8963999999996</v>
      </c>
      <c r="Z398" s="62">
        <v>4126.4279999999999</v>
      </c>
      <c r="AA398" s="62">
        <v>0</v>
      </c>
      <c r="AB398" s="62"/>
      <c r="AC398" s="62">
        <v>0</v>
      </c>
      <c r="AD398" s="62">
        <v>0</v>
      </c>
      <c r="AE398" s="62">
        <v>0</v>
      </c>
      <c r="AF398" s="62">
        <v>0</v>
      </c>
      <c r="AG398" s="62">
        <v>0</v>
      </c>
      <c r="AH398" s="62"/>
      <c r="AI398" s="62">
        <v>-24700.33958842955</v>
      </c>
      <c r="AJ398" s="62">
        <v>-16851.953417475193</v>
      </c>
      <c r="AK398" s="62">
        <v>-10496.114623045261</v>
      </c>
      <c r="AL398" s="62">
        <v>-4550.3843999999954</v>
      </c>
      <c r="AM398" s="62">
        <v>0</v>
      </c>
    </row>
    <row r="399" spans="1:39">
      <c r="A399" s="9">
        <v>94121</v>
      </c>
      <c r="B399" s="10" t="s">
        <v>1774</v>
      </c>
      <c r="C399" s="60">
        <v>1.1246000000000001E-2</v>
      </c>
      <c r="E399" s="62">
        <v>786790.95289970981</v>
      </c>
      <c r="F399" s="62">
        <v>4938812.4424262661</v>
      </c>
      <c r="G399" s="62">
        <v>2462605.4383999179</v>
      </c>
      <c r="H399" s="62">
        <v>-1270875.1926400003</v>
      </c>
      <c r="I399" s="62">
        <v>0</v>
      </c>
      <c r="J399" s="62"/>
      <c r="K399" s="62">
        <v>-67667.182000000001</v>
      </c>
      <c r="L399" s="62">
        <v>142441.83600000001</v>
      </c>
      <c r="M399" s="62">
        <v>264303.49200000003</v>
      </c>
      <c r="N399" s="62">
        <v>164360.29</v>
      </c>
      <c r="O399" s="62">
        <v>0</v>
      </c>
      <c r="P399" s="62"/>
      <c r="Q399" s="62">
        <v>247580.69000000003</v>
      </c>
      <c r="R399" s="62">
        <v>4107489.0400000005</v>
      </c>
      <c r="S399" s="62">
        <v>1571763.452</v>
      </c>
      <c r="T399" s="62">
        <v>-1755320.6640000001</v>
      </c>
      <c r="U399" s="62">
        <v>0</v>
      </c>
      <c r="V399" s="62"/>
      <c r="W399" s="62">
        <v>734105.14200000011</v>
      </c>
      <c r="X399" s="62">
        <v>734105.14200000011</v>
      </c>
      <c r="Y399" s="62">
        <v>674827.47600000002</v>
      </c>
      <c r="Z399" s="62">
        <v>310614.52</v>
      </c>
      <c r="AA399" s="62">
        <v>0</v>
      </c>
      <c r="AB399" s="62"/>
      <c r="AC399" s="62">
        <v>24675.708434688633</v>
      </c>
      <c r="AD399" s="62">
        <v>21938.799961244666</v>
      </c>
      <c r="AE399" s="62">
        <v>9470.6613599998891</v>
      </c>
      <c r="AF399" s="62">
        <v>9470.6613599998891</v>
      </c>
      <c r="AG399" s="62">
        <v>0</v>
      </c>
      <c r="AH399" s="62"/>
      <c r="AI399" s="62">
        <v>-151903.40553497893</v>
      </c>
      <c r="AJ399" s="62">
        <v>-67162.375534978913</v>
      </c>
      <c r="AK399" s="62">
        <v>-57759.642960081888</v>
      </c>
      <c r="AL399" s="62">
        <v>0</v>
      </c>
      <c r="AM399" s="62">
        <v>0</v>
      </c>
    </row>
    <row r="400" spans="1:39">
      <c r="A400" s="9">
        <v>94127</v>
      </c>
      <c r="B400" s="10" t="s">
        <v>1775</v>
      </c>
      <c r="C400" s="60">
        <v>1.7310000000000001E-4</v>
      </c>
      <c r="E400" s="62">
        <v>16668.146436521009</v>
      </c>
      <c r="F400" s="62">
        <v>78759.806200006482</v>
      </c>
      <c r="G400" s="62">
        <v>40774.769243127579</v>
      </c>
      <c r="H400" s="62">
        <v>-18179.562939999996</v>
      </c>
      <c r="I400" s="62">
        <v>0</v>
      </c>
      <c r="J400" s="62"/>
      <c r="K400" s="62">
        <v>-1041.5427</v>
      </c>
      <c r="L400" s="62">
        <v>2192.4846000000002</v>
      </c>
      <c r="M400" s="62">
        <v>4068.1962000000003</v>
      </c>
      <c r="N400" s="62">
        <v>2529.8564999999999</v>
      </c>
      <c r="O400" s="62">
        <v>0</v>
      </c>
      <c r="P400" s="62"/>
      <c r="Q400" s="62">
        <v>3810.7964999999999</v>
      </c>
      <c r="R400" s="62">
        <v>63223.044000000002</v>
      </c>
      <c r="S400" s="62">
        <v>24192.802200000002</v>
      </c>
      <c r="T400" s="62">
        <v>-27018.1404</v>
      </c>
      <c r="U400" s="62">
        <v>0</v>
      </c>
      <c r="V400" s="62"/>
      <c r="W400" s="62">
        <v>11299.448700000001</v>
      </c>
      <c r="X400" s="62">
        <v>11299.448700000001</v>
      </c>
      <c r="Y400" s="62">
        <v>10387.0386</v>
      </c>
      <c r="Z400" s="62">
        <v>4781.0219999999999</v>
      </c>
      <c r="AA400" s="62">
        <v>0</v>
      </c>
      <c r="AB400" s="62"/>
      <c r="AC400" s="62">
        <v>2818.2492892181062</v>
      </c>
      <c r="AD400" s="62">
        <v>2224.2492892181062</v>
      </c>
      <c r="AE400" s="62">
        <v>2126.7322431275725</v>
      </c>
      <c r="AF400" s="62">
        <v>1527.6989600000059</v>
      </c>
      <c r="AG400" s="62">
        <v>0</v>
      </c>
      <c r="AH400" s="62"/>
      <c r="AI400" s="62">
        <v>-218.80535269709799</v>
      </c>
      <c r="AJ400" s="62">
        <v>-179.4203892116204</v>
      </c>
      <c r="AK400" s="62">
        <v>0</v>
      </c>
      <c r="AL400" s="62">
        <v>0</v>
      </c>
      <c r="AM400" s="62">
        <v>0</v>
      </c>
    </row>
    <row r="401" spans="1:39">
      <c r="A401" s="9">
        <v>94131</v>
      </c>
      <c r="B401" s="10" t="s">
        <v>1776</v>
      </c>
      <c r="C401" s="60">
        <v>1.7479999999999999E-4</v>
      </c>
      <c r="E401" s="62">
        <v>13064.880820275595</v>
      </c>
      <c r="F401" s="62">
        <v>76640.651002848201</v>
      </c>
      <c r="G401" s="62">
        <v>37065.595672839503</v>
      </c>
      <c r="H401" s="62">
        <v>-22026.969600000004</v>
      </c>
      <c r="I401" s="62">
        <v>0</v>
      </c>
      <c r="J401" s="62"/>
      <c r="K401" s="62">
        <v>-1051.7716</v>
      </c>
      <c r="L401" s="62">
        <v>2214.0167999999999</v>
      </c>
      <c r="M401" s="62">
        <v>4108.1495999999997</v>
      </c>
      <c r="N401" s="62">
        <v>2554.7019999999998</v>
      </c>
      <c r="O401" s="62">
        <v>0</v>
      </c>
      <c r="P401" s="62"/>
      <c r="Q401" s="62">
        <v>3848.2219999999998</v>
      </c>
      <c r="R401" s="62">
        <v>63843.951999999997</v>
      </c>
      <c r="S401" s="62">
        <v>24430.3976</v>
      </c>
      <c r="T401" s="62">
        <v>-27283.483199999999</v>
      </c>
      <c r="U401" s="62">
        <v>0</v>
      </c>
      <c r="V401" s="62"/>
      <c r="W401" s="62">
        <v>11410.419599999999</v>
      </c>
      <c r="X401" s="62">
        <v>11410.419599999999</v>
      </c>
      <c r="Y401" s="62">
        <v>10489.0488</v>
      </c>
      <c r="Z401" s="62">
        <v>4827.9759999999997</v>
      </c>
      <c r="AA401" s="62">
        <v>0</v>
      </c>
      <c r="AB401" s="62"/>
      <c r="AC401" s="62">
        <v>1541.5452202756028</v>
      </c>
      <c r="AD401" s="62">
        <v>1298.4270028482169</v>
      </c>
      <c r="AE401" s="62">
        <v>164.16407283950682</v>
      </c>
      <c r="AF401" s="62">
        <v>0</v>
      </c>
      <c r="AG401" s="62">
        <v>0</v>
      </c>
      <c r="AH401" s="62"/>
      <c r="AI401" s="62">
        <v>-2683.5344000000059</v>
      </c>
      <c r="AJ401" s="62">
        <v>-2126.164400000006</v>
      </c>
      <c r="AK401" s="62">
        <v>-2126.164400000006</v>
      </c>
      <c r="AL401" s="62">
        <v>-2126.164400000006</v>
      </c>
      <c r="AM401" s="62">
        <v>0</v>
      </c>
    </row>
    <row r="402" spans="1:39">
      <c r="A402" s="9">
        <v>94151</v>
      </c>
      <c r="B402" s="10" t="s">
        <v>1777</v>
      </c>
      <c r="C402" s="60">
        <v>4.1590000000000003E-4</v>
      </c>
      <c r="E402" s="62">
        <v>20950.275914577796</v>
      </c>
      <c r="F402" s="62">
        <v>174435.57097856124</v>
      </c>
      <c r="G402" s="62">
        <v>85005.878286502048</v>
      </c>
      <c r="H402" s="62">
        <v>-53433.089260000001</v>
      </c>
      <c r="I402" s="62">
        <v>0</v>
      </c>
      <c r="J402" s="62"/>
      <c r="K402" s="62">
        <v>-2502.4703</v>
      </c>
      <c r="L402" s="62">
        <v>5267.7894000000006</v>
      </c>
      <c r="M402" s="62">
        <v>9774.4818000000014</v>
      </c>
      <c r="N402" s="62">
        <v>6078.3785000000007</v>
      </c>
      <c r="O402" s="62">
        <v>0</v>
      </c>
      <c r="P402" s="62"/>
      <c r="Q402" s="62">
        <v>9156.0385000000006</v>
      </c>
      <c r="R402" s="62">
        <v>151903.31600000002</v>
      </c>
      <c r="S402" s="62">
        <v>58127.015800000001</v>
      </c>
      <c r="T402" s="62">
        <v>-64915.335600000006</v>
      </c>
      <c r="U402" s="62">
        <v>0</v>
      </c>
      <c r="V402" s="62"/>
      <c r="W402" s="62">
        <v>27148.704300000001</v>
      </c>
      <c r="X402" s="62">
        <v>27148.704300000001</v>
      </c>
      <c r="Y402" s="62">
        <v>24956.4954</v>
      </c>
      <c r="Z402" s="62">
        <v>11487.158000000001</v>
      </c>
      <c r="AA402" s="62">
        <v>0</v>
      </c>
      <c r="AB402" s="62"/>
      <c r="AC402" s="62">
        <v>0</v>
      </c>
      <c r="AD402" s="62">
        <v>0</v>
      </c>
      <c r="AE402" s="62">
        <v>0</v>
      </c>
      <c r="AF402" s="62">
        <v>0</v>
      </c>
      <c r="AG402" s="62">
        <v>0</v>
      </c>
      <c r="AH402" s="62"/>
      <c r="AI402" s="62">
        <v>-12851.996585422201</v>
      </c>
      <c r="AJ402" s="62">
        <v>-9884.2387214387982</v>
      </c>
      <c r="AK402" s="62">
        <v>-7852.1147134979528</v>
      </c>
      <c r="AL402" s="62">
        <v>-6083.2901599999987</v>
      </c>
      <c r="AM402" s="62">
        <v>0</v>
      </c>
    </row>
    <row r="403" spans="1:39">
      <c r="A403" s="9">
        <v>94157</v>
      </c>
      <c r="B403" s="10" t="s">
        <v>1778</v>
      </c>
      <c r="C403" s="60">
        <v>8.8999999999999995E-6</v>
      </c>
      <c r="E403" s="62">
        <v>2797.9135298318051</v>
      </c>
      <c r="F403" s="62">
        <v>5004.1910070102285</v>
      </c>
      <c r="G403" s="62">
        <v>2464.0362989300411</v>
      </c>
      <c r="H403" s="62">
        <v>-877.06602000000055</v>
      </c>
      <c r="I403" s="62">
        <v>0</v>
      </c>
      <c r="J403" s="62"/>
      <c r="K403" s="62">
        <v>-53.551299999999998</v>
      </c>
      <c r="L403" s="62">
        <v>112.72739999999999</v>
      </c>
      <c r="M403" s="62">
        <v>209.1678</v>
      </c>
      <c r="N403" s="62">
        <v>130.0735</v>
      </c>
      <c r="O403" s="62">
        <v>0</v>
      </c>
      <c r="P403" s="62"/>
      <c r="Q403" s="62">
        <v>195.93349999999998</v>
      </c>
      <c r="R403" s="62">
        <v>3250.636</v>
      </c>
      <c r="S403" s="62">
        <v>1243.8817999999999</v>
      </c>
      <c r="T403" s="62">
        <v>-1389.1476</v>
      </c>
      <c r="U403" s="62">
        <v>0</v>
      </c>
      <c r="V403" s="62"/>
      <c r="W403" s="62">
        <v>580.96529999999996</v>
      </c>
      <c r="X403" s="62">
        <v>580.96529999999996</v>
      </c>
      <c r="Y403" s="62">
        <v>534.05340000000001</v>
      </c>
      <c r="Z403" s="62">
        <v>245.81799999999998</v>
      </c>
      <c r="AA403" s="62">
        <v>0</v>
      </c>
      <c r="AB403" s="62"/>
      <c r="AC403" s="62">
        <v>2074.5660298318053</v>
      </c>
      <c r="AD403" s="62">
        <v>1059.8623070102285</v>
      </c>
      <c r="AE403" s="62">
        <v>476.93329893004113</v>
      </c>
      <c r="AF403" s="62">
        <v>136.19007999999951</v>
      </c>
      <c r="AG403" s="62">
        <v>0</v>
      </c>
      <c r="AH403" s="62"/>
      <c r="AI403" s="62">
        <v>0</v>
      </c>
      <c r="AJ403" s="62">
        <v>0</v>
      </c>
      <c r="AK403" s="62">
        <v>0</v>
      </c>
      <c r="AL403" s="62">
        <v>0</v>
      </c>
      <c r="AM403" s="62">
        <v>0</v>
      </c>
    </row>
    <row r="404" spans="1:39">
      <c r="A404" s="9">
        <v>94161</v>
      </c>
      <c r="B404" s="10" t="s">
        <v>1779</v>
      </c>
      <c r="C404" s="60">
        <v>5.1900000000000001E-5</v>
      </c>
      <c r="E404" s="62">
        <v>6514.6881883636406</v>
      </c>
      <c r="F404" s="62">
        <v>24336.018007450781</v>
      </c>
      <c r="G404" s="62">
        <v>11053.189611275719</v>
      </c>
      <c r="H404" s="62">
        <v>-6694.8178200000011</v>
      </c>
      <c r="I404" s="62">
        <v>0</v>
      </c>
      <c r="J404" s="62"/>
      <c r="K404" s="62">
        <v>-312.28230000000002</v>
      </c>
      <c r="L404" s="62">
        <v>657.36540000000002</v>
      </c>
      <c r="M404" s="62">
        <v>1219.7538</v>
      </c>
      <c r="N404" s="62">
        <v>758.51850000000002</v>
      </c>
      <c r="O404" s="62">
        <v>0</v>
      </c>
      <c r="P404" s="62"/>
      <c r="Q404" s="62">
        <v>1142.5785000000001</v>
      </c>
      <c r="R404" s="62">
        <v>18955.956000000002</v>
      </c>
      <c r="S404" s="62">
        <v>7253.6477999999997</v>
      </c>
      <c r="T404" s="62">
        <v>-8100.7596000000003</v>
      </c>
      <c r="U404" s="62">
        <v>0</v>
      </c>
      <c r="V404" s="62"/>
      <c r="W404" s="62">
        <v>3387.8762999999999</v>
      </c>
      <c r="X404" s="62">
        <v>3387.8762999999999</v>
      </c>
      <c r="Y404" s="62">
        <v>3114.3114</v>
      </c>
      <c r="Z404" s="62">
        <v>1433.4780000000001</v>
      </c>
      <c r="AA404" s="62">
        <v>0</v>
      </c>
      <c r="AB404" s="62"/>
      <c r="AC404" s="62">
        <v>3082.5704083636415</v>
      </c>
      <c r="AD404" s="62">
        <v>2120.8750274507788</v>
      </c>
      <c r="AE404" s="62">
        <v>251.53133127571923</v>
      </c>
      <c r="AF404" s="62">
        <v>0</v>
      </c>
      <c r="AG404" s="62">
        <v>0</v>
      </c>
      <c r="AH404" s="62"/>
      <c r="AI404" s="62">
        <v>-786.05472000000077</v>
      </c>
      <c r="AJ404" s="62">
        <v>-786.05472000000077</v>
      </c>
      <c r="AK404" s="62">
        <v>-786.05472000000077</v>
      </c>
      <c r="AL404" s="62">
        <v>-786.05472000000077</v>
      </c>
      <c r="AM404" s="62">
        <v>0</v>
      </c>
    </row>
    <row r="405" spans="1:39">
      <c r="A405" s="9">
        <v>94168</v>
      </c>
      <c r="B405" s="10" t="s">
        <v>1780</v>
      </c>
      <c r="C405" s="60">
        <v>2.5899999999999999E-5</v>
      </c>
      <c r="E405" s="62">
        <v>-3318.3682283370053</v>
      </c>
      <c r="F405" s="62">
        <v>8104.9472363932855</v>
      </c>
      <c r="G405" s="62">
        <v>3714.5407415637846</v>
      </c>
      <c r="H405" s="62">
        <v>-3747.2063000000016</v>
      </c>
      <c r="I405" s="62">
        <v>0</v>
      </c>
      <c r="J405" s="62"/>
      <c r="K405" s="62">
        <v>-155.84029999999998</v>
      </c>
      <c r="L405" s="62">
        <v>328.04939999999999</v>
      </c>
      <c r="M405" s="62">
        <v>608.70179999999993</v>
      </c>
      <c r="N405" s="62">
        <v>378.52850000000001</v>
      </c>
      <c r="O405" s="62">
        <v>0</v>
      </c>
      <c r="P405" s="62"/>
      <c r="Q405" s="62">
        <v>570.18849999999998</v>
      </c>
      <c r="R405" s="62">
        <v>9459.7160000000003</v>
      </c>
      <c r="S405" s="62">
        <v>3619.8357999999998</v>
      </c>
      <c r="T405" s="62">
        <v>-4042.5756000000001</v>
      </c>
      <c r="U405" s="62">
        <v>0</v>
      </c>
      <c r="V405" s="62"/>
      <c r="W405" s="62">
        <v>1690.6742999999999</v>
      </c>
      <c r="X405" s="62">
        <v>1690.6742999999999</v>
      </c>
      <c r="Y405" s="62">
        <v>1554.1553999999999</v>
      </c>
      <c r="Z405" s="62">
        <v>715.35799999999995</v>
      </c>
      <c r="AA405" s="62">
        <v>0</v>
      </c>
      <c r="AB405" s="62"/>
      <c r="AC405" s="62">
        <v>0</v>
      </c>
      <c r="AD405" s="62">
        <v>0</v>
      </c>
      <c r="AE405" s="62">
        <v>0</v>
      </c>
      <c r="AF405" s="62">
        <v>0</v>
      </c>
      <c r="AG405" s="62">
        <v>0</v>
      </c>
      <c r="AH405" s="62"/>
      <c r="AI405" s="62">
        <v>-5423.3907283370054</v>
      </c>
      <c r="AJ405" s="62">
        <v>-3373.4924636067153</v>
      </c>
      <c r="AK405" s="62">
        <v>-2068.1522584362147</v>
      </c>
      <c r="AL405" s="62">
        <v>-798.51720000000137</v>
      </c>
      <c r="AM405" s="62">
        <v>0</v>
      </c>
    </row>
    <row r="406" spans="1:39">
      <c r="A406" s="9">
        <v>94171</v>
      </c>
      <c r="B406" s="10" t="s">
        <v>1781</v>
      </c>
      <c r="C406" s="60">
        <v>6.9800000000000003E-5</v>
      </c>
      <c r="E406" s="62">
        <v>8461.8568333418716</v>
      </c>
      <c r="F406" s="62">
        <v>34229.659678155149</v>
      </c>
      <c r="G406" s="62">
        <v>17226.188870781894</v>
      </c>
      <c r="H406" s="62">
        <v>-6509.2081999999964</v>
      </c>
      <c r="I406" s="62">
        <v>0</v>
      </c>
      <c r="J406" s="62"/>
      <c r="K406" s="62">
        <v>-419.98660000000001</v>
      </c>
      <c r="L406" s="62">
        <v>884.08680000000004</v>
      </c>
      <c r="M406" s="62">
        <v>1640.4396000000002</v>
      </c>
      <c r="N406" s="62">
        <v>1020.1270000000001</v>
      </c>
      <c r="O406" s="62">
        <v>0</v>
      </c>
      <c r="P406" s="62"/>
      <c r="Q406" s="62">
        <v>1536.6470000000002</v>
      </c>
      <c r="R406" s="62">
        <v>25493.752</v>
      </c>
      <c r="S406" s="62">
        <v>9755.3876</v>
      </c>
      <c r="T406" s="62">
        <v>-10894.663200000001</v>
      </c>
      <c r="U406" s="62">
        <v>0</v>
      </c>
      <c r="V406" s="62"/>
      <c r="W406" s="62">
        <v>4556.3346000000001</v>
      </c>
      <c r="X406" s="62">
        <v>4556.3346000000001</v>
      </c>
      <c r="Y406" s="62">
        <v>4188.4188000000004</v>
      </c>
      <c r="Z406" s="62">
        <v>1927.876</v>
      </c>
      <c r="AA406" s="62">
        <v>0</v>
      </c>
      <c r="AB406" s="62"/>
      <c r="AC406" s="62">
        <v>3651.1518333418721</v>
      </c>
      <c r="AD406" s="62">
        <v>3295.486278155151</v>
      </c>
      <c r="AE406" s="62">
        <v>1641.9428707818956</v>
      </c>
      <c r="AF406" s="62">
        <v>1437.4520000000039</v>
      </c>
      <c r="AG406" s="62">
        <v>0</v>
      </c>
      <c r="AH406" s="62"/>
      <c r="AI406" s="62">
        <v>-862.29000000000019</v>
      </c>
      <c r="AJ406" s="62">
        <v>0</v>
      </c>
      <c r="AK406" s="62">
        <v>0</v>
      </c>
      <c r="AL406" s="62">
        <v>0</v>
      </c>
      <c r="AM406" s="62">
        <v>0</v>
      </c>
    </row>
    <row r="407" spans="1:39">
      <c r="A407" s="9">
        <v>94172</v>
      </c>
      <c r="B407" s="10" t="s">
        <v>1782</v>
      </c>
      <c r="C407" s="60">
        <v>2.6289999999999999E-4</v>
      </c>
      <c r="E407" s="62">
        <v>-19665.011536401831</v>
      </c>
      <c r="F407" s="62">
        <v>91265.317277706039</v>
      </c>
      <c r="G407" s="62">
        <v>41433.527654320991</v>
      </c>
      <c r="H407" s="62">
        <v>-36446.229699999996</v>
      </c>
      <c r="I407" s="62">
        <v>0</v>
      </c>
      <c r="J407" s="62"/>
      <c r="K407" s="62">
        <v>-1581.8693000000001</v>
      </c>
      <c r="L407" s="62">
        <v>3329.8914</v>
      </c>
      <c r="M407" s="62">
        <v>6178.6758</v>
      </c>
      <c r="N407" s="62">
        <v>3842.2835</v>
      </c>
      <c r="O407" s="62">
        <v>0</v>
      </c>
      <c r="P407" s="62"/>
      <c r="Q407" s="62">
        <v>5787.7434999999996</v>
      </c>
      <c r="R407" s="62">
        <v>96021.59599999999</v>
      </c>
      <c r="S407" s="62">
        <v>36743.429799999998</v>
      </c>
      <c r="T407" s="62">
        <v>-41034.4836</v>
      </c>
      <c r="U407" s="62">
        <v>0</v>
      </c>
      <c r="V407" s="62"/>
      <c r="W407" s="62">
        <v>17161.3233</v>
      </c>
      <c r="X407" s="62">
        <v>17161.3233</v>
      </c>
      <c r="Y407" s="62">
        <v>15775.5774</v>
      </c>
      <c r="Z407" s="62">
        <v>7261.2979999999998</v>
      </c>
      <c r="AA407" s="62">
        <v>0</v>
      </c>
      <c r="AB407" s="62"/>
      <c r="AC407" s="62">
        <v>0</v>
      </c>
      <c r="AD407" s="62">
        <v>0</v>
      </c>
      <c r="AE407" s="62">
        <v>0</v>
      </c>
      <c r="AF407" s="62">
        <v>0</v>
      </c>
      <c r="AG407" s="62">
        <v>0</v>
      </c>
      <c r="AH407" s="62"/>
      <c r="AI407" s="62">
        <v>-41032.20903640183</v>
      </c>
      <c r="AJ407" s="62">
        <v>-25247.493422293945</v>
      </c>
      <c r="AK407" s="62">
        <v>-17264.155345679006</v>
      </c>
      <c r="AL407" s="62">
        <v>-6515.3275999999951</v>
      </c>
      <c r="AM407" s="62">
        <v>0</v>
      </c>
    </row>
    <row r="408" spans="1:39">
      <c r="A408" s="9">
        <v>94201</v>
      </c>
      <c r="B408" s="10" t="s">
        <v>1783</v>
      </c>
      <c r="C408" s="60">
        <v>3.3658999999999998E-3</v>
      </c>
      <c r="E408" s="62">
        <v>272640.56276955723</v>
      </c>
      <c r="F408" s="62">
        <v>1490242.9285535405</v>
      </c>
      <c r="G408" s="62">
        <v>738494.99446658441</v>
      </c>
      <c r="H408" s="62">
        <v>-400372.47893999988</v>
      </c>
      <c r="I408" s="62">
        <v>0</v>
      </c>
      <c r="J408" s="62"/>
      <c r="K408" s="62">
        <v>-20252.620299999999</v>
      </c>
      <c r="L408" s="62">
        <v>42632.489399999999</v>
      </c>
      <c r="M408" s="62">
        <v>79105.381799999988</v>
      </c>
      <c r="N408" s="62">
        <v>49192.628499999999</v>
      </c>
      <c r="O408" s="62">
        <v>0</v>
      </c>
      <c r="P408" s="62"/>
      <c r="Q408" s="62">
        <v>74100.288499999995</v>
      </c>
      <c r="R408" s="62">
        <v>1229361.3159999999</v>
      </c>
      <c r="S408" s="62">
        <v>470424.91579999996</v>
      </c>
      <c r="T408" s="62">
        <v>-525363.13559999992</v>
      </c>
      <c r="U408" s="62">
        <v>0</v>
      </c>
      <c r="V408" s="62"/>
      <c r="W408" s="62">
        <v>219715.85429999998</v>
      </c>
      <c r="X408" s="62">
        <v>219715.85429999998</v>
      </c>
      <c r="Y408" s="62">
        <v>201974.1954</v>
      </c>
      <c r="Z408" s="62">
        <v>92966.157999999996</v>
      </c>
      <c r="AA408" s="62">
        <v>0</v>
      </c>
      <c r="AB408" s="62"/>
      <c r="AC408" s="62">
        <v>18086.570109557233</v>
      </c>
      <c r="AD408" s="62">
        <v>15701.398693540657</v>
      </c>
      <c r="AE408" s="62">
        <v>4158.6313065844524</v>
      </c>
      <c r="AF408" s="62">
        <v>0</v>
      </c>
      <c r="AG408" s="62">
        <v>0</v>
      </c>
      <c r="AH408" s="62"/>
      <c r="AI408" s="62">
        <v>-19009.529839999974</v>
      </c>
      <c r="AJ408" s="62">
        <v>-17168.129839999972</v>
      </c>
      <c r="AK408" s="62">
        <v>-17168.129839999972</v>
      </c>
      <c r="AL408" s="62">
        <v>-17168.129839999972</v>
      </c>
      <c r="AM408" s="62">
        <v>0</v>
      </c>
    </row>
    <row r="409" spans="1:39">
      <c r="A409" s="9">
        <v>94204</v>
      </c>
      <c r="B409" s="10" t="s">
        <v>1784</v>
      </c>
      <c r="C409" s="60">
        <v>2.5899999999999999E-5</v>
      </c>
      <c r="E409" s="62">
        <v>7090.4201917992586</v>
      </c>
      <c r="F409" s="62">
        <v>15115.238523749467</v>
      </c>
      <c r="G409" s="62">
        <v>8075.7000672427985</v>
      </c>
      <c r="H409" s="62">
        <v>-1673.4594200000006</v>
      </c>
      <c r="I409" s="62">
        <v>0</v>
      </c>
      <c r="J409" s="62"/>
      <c r="K409" s="62">
        <v>-155.84029999999998</v>
      </c>
      <c r="L409" s="62">
        <v>328.04939999999999</v>
      </c>
      <c r="M409" s="62">
        <v>608.70179999999993</v>
      </c>
      <c r="N409" s="62">
        <v>378.52850000000001</v>
      </c>
      <c r="O409" s="62">
        <v>0</v>
      </c>
      <c r="P409" s="62"/>
      <c r="Q409" s="62">
        <v>570.18849999999998</v>
      </c>
      <c r="R409" s="62">
        <v>9459.7160000000003</v>
      </c>
      <c r="S409" s="62">
        <v>3619.8357999999998</v>
      </c>
      <c r="T409" s="62">
        <v>-4042.5756000000001</v>
      </c>
      <c r="U409" s="62">
        <v>0</v>
      </c>
      <c r="V409" s="62"/>
      <c r="W409" s="62">
        <v>1690.6742999999999</v>
      </c>
      <c r="X409" s="62">
        <v>1690.6742999999999</v>
      </c>
      <c r="Y409" s="62">
        <v>1554.1553999999999</v>
      </c>
      <c r="Z409" s="62">
        <v>715.35799999999995</v>
      </c>
      <c r="AA409" s="62">
        <v>0</v>
      </c>
      <c r="AB409" s="62"/>
      <c r="AC409" s="62">
        <v>4985.3976917992586</v>
      </c>
      <c r="AD409" s="62">
        <v>3636.7988237494665</v>
      </c>
      <c r="AE409" s="62">
        <v>2293.0070672427992</v>
      </c>
      <c r="AF409" s="62">
        <v>1275.2296799999999</v>
      </c>
      <c r="AG409" s="62">
        <v>0</v>
      </c>
      <c r="AH409" s="62"/>
      <c r="AI409" s="62">
        <v>0</v>
      </c>
      <c r="AJ409" s="62">
        <v>0</v>
      </c>
      <c r="AK409" s="62">
        <v>0</v>
      </c>
      <c r="AL409" s="62">
        <v>0</v>
      </c>
      <c r="AM409" s="62">
        <v>0</v>
      </c>
    </row>
    <row r="410" spans="1:39">
      <c r="A410" s="9">
        <v>94205</v>
      </c>
      <c r="B410" s="10" t="s">
        <v>1785</v>
      </c>
      <c r="C410" s="60">
        <v>2.0699999999999998E-5</v>
      </c>
      <c r="E410" s="62">
        <v>-1309.3917002158364</v>
      </c>
      <c r="F410" s="62">
        <v>9428.2632309044948</v>
      </c>
      <c r="G410" s="62">
        <v>4388.9648759670781</v>
      </c>
      <c r="H410" s="62">
        <v>-2782.0287799999992</v>
      </c>
      <c r="I410" s="62">
        <v>0</v>
      </c>
      <c r="J410" s="62"/>
      <c r="K410" s="62">
        <v>-124.55189999999999</v>
      </c>
      <c r="L410" s="62">
        <v>262.18619999999999</v>
      </c>
      <c r="M410" s="62">
        <v>486.49139999999994</v>
      </c>
      <c r="N410" s="62">
        <v>302.53049999999996</v>
      </c>
      <c r="O410" s="62">
        <v>0</v>
      </c>
      <c r="P410" s="62"/>
      <c r="Q410" s="62">
        <v>455.71049999999997</v>
      </c>
      <c r="R410" s="62">
        <v>7560.4679999999989</v>
      </c>
      <c r="S410" s="62">
        <v>2893.0733999999998</v>
      </c>
      <c r="T410" s="62">
        <v>-3230.9387999999999</v>
      </c>
      <c r="U410" s="62">
        <v>0</v>
      </c>
      <c r="V410" s="62"/>
      <c r="W410" s="62">
        <v>1351.2338999999999</v>
      </c>
      <c r="X410" s="62">
        <v>1351.2338999999999</v>
      </c>
      <c r="Y410" s="62">
        <v>1242.1242</v>
      </c>
      <c r="Z410" s="62">
        <v>571.73399999999992</v>
      </c>
      <c r="AA410" s="62">
        <v>0</v>
      </c>
      <c r="AB410" s="62"/>
      <c r="AC410" s="62">
        <v>779.77027978416345</v>
      </c>
      <c r="AD410" s="62">
        <v>679.72961090449553</v>
      </c>
      <c r="AE410" s="62">
        <v>192.6303559670778</v>
      </c>
      <c r="AF410" s="62">
        <v>0</v>
      </c>
      <c r="AG410" s="62">
        <v>0</v>
      </c>
      <c r="AH410" s="62"/>
      <c r="AI410" s="62">
        <v>-3771.5544799999998</v>
      </c>
      <c r="AJ410" s="62">
        <v>-425.35447999999917</v>
      </c>
      <c r="AK410" s="62">
        <v>-425.35447999999917</v>
      </c>
      <c r="AL410" s="62">
        <v>-425.35447999999917</v>
      </c>
      <c r="AM410" s="62">
        <v>0</v>
      </c>
    </row>
    <row r="411" spans="1:39">
      <c r="A411" s="9">
        <v>94209</v>
      </c>
      <c r="B411" s="10" t="s">
        <v>1786</v>
      </c>
      <c r="C411" s="60">
        <v>3.4190000000000002E-4</v>
      </c>
      <c r="E411" s="62">
        <v>36886.490648789499</v>
      </c>
      <c r="F411" s="62">
        <v>156516.95655916294</v>
      </c>
      <c r="G411" s="62">
        <v>76326.001296543211</v>
      </c>
      <c r="H411" s="62">
        <v>-36771.097980000013</v>
      </c>
      <c r="I411" s="62">
        <v>0</v>
      </c>
      <c r="J411" s="62"/>
      <c r="K411" s="62">
        <v>-2057.2123000000001</v>
      </c>
      <c r="L411" s="62">
        <v>4330.5054</v>
      </c>
      <c r="M411" s="62">
        <v>8035.3338000000003</v>
      </c>
      <c r="N411" s="62">
        <v>4996.8685000000005</v>
      </c>
      <c r="O411" s="62">
        <v>0</v>
      </c>
      <c r="P411" s="62"/>
      <c r="Q411" s="62">
        <v>7526.9285</v>
      </c>
      <c r="R411" s="62">
        <v>124875.55600000001</v>
      </c>
      <c r="S411" s="62">
        <v>47784.627800000002</v>
      </c>
      <c r="T411" s="62">
        <v>-53365.119600000005</v>
      </c>
      <c r="U411" s="62">
        <v>0</v>
      </c>
      <c r="V411" s="62"/>
      <c r="W411" s="62">
        <v>22318.206300000002</v>
      </c>
      <c r="X411" s="62">
        <v>22318.206300000002</v>
      </c>
      <c r="Y411" s="62">
        <v>20516.0514</v>
      </c>
      <c r="Z411" s="62">
        <v>9443.2780000000002</v>
      </c>
      <c r="AA411" s="62">
        <v>0</v>
      </c>
      <c r="AB411" s="62"/>
      <c r="AC411" s="62">
        <v>11614.715617925307</v>
      </c>
      <c r="AD411" s="62">
        <v>7508.8363282987521</v>
      </c>
      <c r="AE411" s="62">
        <v>2153.8751199999997</v>
      </c>
      <c r="AF411" s="62">
        <v>2153.8751199999997</v>
      </c>
      <c r="AG411" s="62">
        <v>0</v>
      </c>
      <c r="AH411" s="62"/>
      <c r="AI411" s="62">
        <v>-2516.147469135808</v>
      </c>
      <c r="AJ411" s="62">
        <v>-2516.147469135808</v>
      </c>
      <c r="AK411" s="62">
        <v>-2163.8868234567958</v>
      </c>
      <c r="AL411" s="62">
        <v>0</v>
      </c>
      <c r="AM411" s="62">
        <v>0</v>
      </c>
    </row>
    <row r="412" spans="1:39">
      <c r="A412" s="9">
        <v>94211</v>
      </c>
      <c r="B412" s="10" t="s">
        <v>1787</v>
      </c>
      <c r="C412" s="60">
        <v>1.3660000000000001E-4</v>
      </c>
      <c r="E412" s="62">
        <v>-363.0972147021057</v>
      </c>
      <c r="F412" s="62">
        <v>58656.174216833177</v>
      </c>
      <c r="G412" s="62">
        <v>32475.491113580261</v>
      </c>
      <c r="H412" s="62">
        <v>-13649.292599999995</v>
      </c>
      <c r="I412" s="62">
        <v>0</v>
      </c>
      <c r="J412" s="62"/>
      <c r="K412" s="62">
        <v>-821.92220000000009</v>
      </c>
      <c r="L412" s="62">
        <v>1730.1756000000003</v>
      </c>
      <c r="M412" s="62">
        <v>3210.3732000000005</v>
      </c>
      <c r="N412" s="62">
        <v>1996.4090000000001</v>
      </c>
      <c r="O412" s="62">
        <v>0</v>
      </c>
      <c r="P412" s="62"/>
      <c r="Q412" s="62">
        <v>3007.2490000000003</v>
      </c>
      <c r="R412" s="62">
        <v>49891.784000000007</v>
      </c>
      <c r="S412" s="62">
        <v>19091.489200000004</v>
      </c>
      <c r="T412" s="62">
        <v>-21321.074400000001</v>
      </c>
      <c r="U412" s="62">
        <v>0</v>
      </c>
      <c r="V412" s="62"/>
      <c r="W412" s="62">
        <v>8916.8382000000001</v>
      </c>
      <c r="X412" s="62">
        <v>8916.8382000000001</v>
      </c>
      <c r="Y412" s="62">
        <v>8196.8196000000007</v>
      </c>
      <c r="Z412" s="62">
        <v>3772.8920000000003</v>
      </c>
      <c r="AA412" s="62">
        <v>0</v>
      </c>
      <c r="AB412" s="62"/>
      <c r="AC412" s="62">
        <v>1988.9090716049436</v>
      </c>
      <c r="AD412" s="62">
        <v>1988.9090716049436</v>
      </c>
      <c r="AE412" s="62">
        <v>1976.8091135802524</v>
      </c>
      <c r="AF412" s="62">
        <v>1902.4808000000064</v>
      </c>
      <c r="AG412" s="62">
        <v>0</v>
      </c>
      <c r="AH412" s="62"/>
      <c r="AI412" s="62">
        <v>-13454.17128630705</v>
      </c>
      <c r="AJ412" s="62">
        <v>-3871.5326547717805</v>
      </c>
      <c r="AK412" s="62">
        <v>0</v>
      </c>
      <c r="AL412" s="62">
        <v>0</v>
      </c>
      <c r="AM412" s="62">
        <v>0</v>
      </c>
    </row>
    <row r="413" spans="1:39">
      <c r="A413" s="9">
        <v>94221</v>
      </c>
      <c r="B413" s="10" t="s">
        <v>1788</v>
      </c>
      <c r="C413" s="60">
        <v>1.0436E-3</v>
      </c>
      <c r="E413" s="62">
        <v>60339.612349605624</v>
      </c>
      <c r="F413" s="62">
        <v>463361.74252412841</v>
      </c>
      <c r="G413" s="62">
        <v>207861.72878995878</v>
      </c>
      <c r="H413" s="62">
        <v>-127292.97448000002</v>
      </c>
      <c r="I413" s="62">
        <v>0</v>
      </c>
      <c r="J413" s="62"/>
      <c r="K413" s="62">
        <v>-6279.3411999999998</v>
      </c>
      <c r="L413" s="62">
        <v>13218.2376</v>
      </c>
      <c r="M413" s="62">
        <v>24526.6872</v>
      </c>
      <c r="N413" s="62">
        <v>15252.214</v>
      </c>
      <c r="O413" s="62">
        <v>0</v>
      </c>
      <c r="P413" s="62"/>
      <c r="Q413" s="62">
        <v>22974.853999999999</v>
      </c>
      <c r="R413" s="62">
        <v>381164.46399999998</v>
      </c>
      <c r="S413" s="62">
        <v>145855.6232</v>
      </c>
      <c r="T413" s="62">
        <v>-162889.26240000001</v>
      </c>
      <c r="U413" s="62">
        <v>0</v>
      </c>
      <c r="V413" s="62"/>
      <c r="W413" s="62">
        <v>68123.0772</v>
      </c>
      <c r="X413" s="62">
        <v>68123.0772</v>
      </c>
      <c r="Y413" s="62">
        <v>62622.261599999998</v>
      </c>
      <c r="Z413" s="62">
        <v>28824.232</v>
      </c>
      <c r="AA413" s="62">
        <v>0</v>
      </c>
      <c r="AB413" s="62"/>
      <c r="AC413" s="62">
        <v>35013.825697095432</v>
      </c>
      <c r="AD413" s="62">
        <v>28711.337071618265</v>
      </c>
      <c r="AE413" s="62">
        <v>0</v>
      </c>
      <c r="AF413" s="62">
        <v>0</v>
      </c>
      <c r="AG413" s="62">
        <v>0</v>
      </c>
      <c r="AH413" s="62"/>
      <c r="AI413" s="62">
        <v>-59492.803347489797</v>
      </c>
      <c r="AJ413" s="62">
        <v>-27855.373347489789</v>
      </c>
      <c r="AK413" s="62">
        <v>-25142.843210041228</v>
      </c>
      <c r="AL413" s="62">
        <v>-8480.1580800000229</v>
      </c>
      <c r="AM413" s="62">
        <v>0</v>
      </c>
    </row>
    <row r="414" spans="1:39">
      <c r="A414" s="9">
        <v>94231</v>
      </c>
      <c r="B414" s="10" t="s">
        <v>1789</v>
      </c>
      <c r="C414" s="60">
        <v>2.2609999999999999E-4</v>
      </c>
      <c r="E414" s="62">
        <v>15607.180755183659</v>
      </c>
      <c r="F414" s="62">
        <v>100729.34109111728</v>
      </c>
      <c r="G414" s="62">
        <v>52644.442058518529</v>
      </c>
      <c r="H414" s="62">
        <v>-24020.750259999986</v>
      </c>
      <c r="I414" s="62">
        <v>0</v>
      </c>
      <c r="J414" s="62"/>
      <c r="K414" s="62">
        <v>-1360.4437</v>
      </c>
      <c r="L414" s="62">
        <v>2863.7826</v>
      </c>
      <c r="M414" s="62">
        <v>5313.8022000000001</v>
      </c>
      <c r="N414" s="62">
        <v>3304.4515000000001</v>
      </c>
      <c r="O414" s="62">
        <v>0</v>
      </c>
      <c r="P414" s="62"/>
      <c r="Q414" s="62">
        <v>4977.5914999999995</v>
      </c>
      <c r="R414" s="62">
        <v>82580.763999999996</v>
      </c>
      <c r="S414" s="62">
        <v>31600.188200000001</v>
      </c>
      <c r="T414" s="62">
        <v>-35290.592400000001</v>
      </c>
      <c r="U414" s="62">
        <v>0</v>
      </c>
      <c r="V414" s="62"/>
      <c r="W414" s="62">
        <v>14759.1297</v>
      </c>
      <c r="X414" s="62">
        <v>14759.1297</v>
      </c>
      <c r="Y414" s="62">
        <v>13567.356599999999</v>
      </c>
      <c r="Z414" s="62">
        <v>6244.8819999999996</v>
      </c>
      <c r="AA414" s="62">
        <v>0</v>
      </c>
      <c r="AB414" s="62"/>
      <c r="AC414" s="62">
        <v>2235.1440103703771</v>
      </c>
      <c r="AD414" s="62">
        <v>2235.1440103703771</v>
      </c>
      <c r="AE414" s="62">
        <v>2163.0950585185265</v>
      </c>
      <c r="AF414" s="62">
        <v>1720.5086400000146</v>
      </c>
      <c r="AG414" s="62">
        <v>0</v>
      </c>
      <c r="AH414" s="62"/>
      <c r="AI414" s="62">
        <v>-5004.2407551867163</v>
      </c>
      <c r="AJ414" s="62">
        <v>-1709.479219253107</v>
      </c>
      <c r="AK414" s="62">
        <v>0</v>
      </c>
      <c r="AL414" s="62">
        <v>0</v>
      </c>
      <c r="AM414" s="62">
        <v>0</v>
      </c>
    </row>
    <row r="415" spans="1:39">
      <c r="A415" s="9">
        <v>94241</v>
      </c>
      <c r="B415" s="10" t="s">
        <v>1790</v>
      </c>
      <c r="C415" s="60">
        <v>1.2669999999999999E-4</v>
      </c>
      <c r="E415" s="62">
        <v>17126.085514011585</v>
      </c>
      <c r="F415" s="62">
        <v>62420.038721978395</v>
      </c>
      <c r="G415" s="62">
        <v>34875.152133580254</v>
      </c>
      <c r="H415" s="62">
        <v>-8254.0851799999891</v>
      </c>
      <c r="I415" s="62">
        <v>0</v>
      </c>
      <c r="J415" s="62"/>
      <c r="K415" s="62">
        <v>-762.35389999999995</v>
      </c>
      <c r="L415" s="62">
        <v>1604.7821999999999</v>
      </c>
      <c r="M415" s="62">
        <v>2977.7033999999999</v>
      </c>
      <c r="N415" s="62">
        <v>1851.7204999999999</v>
      </c>
      <c r="O415" s="62">
        <v>0</v>
      </c>
      <c r="P415" s="62"/>
      <c r="Q415" s="62">
        <v>2789.3004999999998</v>
      </c>
      <c r="R415" s="62">
        <v>46275.907999999996</v>
      </c>
      <c r="S415" s="62">
        <v>17707.845399999998</v>
      </c>
      <c r="T415" s="62">
        <v>-19775.842799999999</v>
      </c>
      <c r="U415" s="62">
        <v>0</v>
      </c>
      <c r="V415" s="62"/>
      <c r="W415" s="62">
        <v>8270.5958999999984</v>
      </c>
      <c r="X415" s="62">
        <v>8270.5958999999984</v>
      </c>
      <c r="Y415" s="62">
        <v>7602.7601999999997</v>
      </c>
      <c r="Z415" s="62">
        <v>3499.4539999999997</v>
      </c>
      <c r="AA415" s="62">
        <v>0</v>
      </c>
      <c r="AB415" s="62"/>
      <c r="AC415" s="62">
        <v>7299.0963916049514</v>
      </c>
      <c r="AD415" s="62">
        <v>6654.6063916049516</v>
      </c>
      <c r="AE415" s="62">
        <v>6586.8431335802597</v>
      </c>
      <c r="AF415" s="62">
        <v>6170.5831200000102</v>
      </c>
      <c r="AG415" s="62">
        <v>0</v>
      </c>
      <c r="AH415" s="62"/>
      <c r="AI415" s="62">
        <v>-470.55337759336317</v>
      </c>
      <c r="AJ415" s="62">
        <v>-385.85376962655795</v>
      </c>
      <c r="AK415" s="62">
        <v>0</v>
      </c>
      <c r="AL415" s="62">
        <v>0</v>
      </c>
      <c r="AM415" s="62">
        <v>0</v>
      </c>
    </row>
    <row r="416" spans="1:39">
      <c r="A416" s="9">
        <v>94251</v>
      </c>
      <c r="B416" s="10" t="s">
        <v>1791</v>
      </c>
      <c r="C416" s="60">
        <v>1.95E-5</v>
      </c>
      <c r="E416" s="62">
        <v>-708.08240660655929</v>
      </c>
      <c r="F416" s="62">
        <v>7003.804356878919</v>
      </c>
      <c r="G416" s="62">
        <v>4244.1226156378616</v>
      </c>
      <c r="H416" s="62">
        <v>-1397.5366999999992</v>
      </c>
      <c r="I416" s="62">
        <v>0</v>
      </c>
      <c r="J416" s="62"/>
      <c r="K416" s="62">
        <v>-117.33149999999999</v>
      </c>
      <c r="L416" s="62">
        <v>246.98699999999999</v>
      </c>
      <c r="M416" s="62">
        <v>458.28899999999999</v>
      </c>
      <c r="N416" s="62">
        <v>284.99250000000001</v>
      </c>
      <c r="O416" s="62">
        <v>0</v>
      </c>
      <c r="P416" s="62"/>
      <c r="Q416" s="62">
        <v>429.29250000000002</v>
      </c>
      <c r="R416" s="62">
        <v>7122.18</v>
      </c>
      <c r="S416" s="62">
        <v>2725.3589999999999</v>
      </c>
      <c r="T416" s="62">
        <v>-3043.6379999999999</v>
      </c>
      <c r="U416" s="62">
        <v>0</v>
      </c>
      <c r="V416" s="62"/>
      <c r="W416" s="62">
        <v>1272.9014999999999</v>
      </c>
      <c r="X416" s="62">
        <v>1272.9014999999999</v>
      </c>
      <c r="Y416" s="62">
        <v>1170.117</v>
      </c>
      <c r="Z416" s="62">
        <v>538.59</v>
      </c>
      <c r="AA416" s="62">
        <v>0</v>
      </c>
      <c r="AB416" s="62"/>
      <c r="AC416" s="62">
        <v>822.51880000000085</v>
      </c>
      <c r="AD416" s="62">
        <v>822.51880000000085</v>
      </c>
      <c r="AE416" s="62">
        <v>822.51880000000085</v>
      </c>
      <c r="AF416" s="62">
        <v>822.51880000000085</v>
      </c>
      <c r="AG416" s="62">
        <v>0</v>
      </c>
      <c r="AH416" s="62"/>
      <c r="AI416" s="62">
        <v>-3115.4637066065602</v>
      </c>
      <c r="AJ416" s="62">
        <v>-2460.7829431210839</v>
      </c>
      <c r="AK416" s="62">
        <v>-932.16118436213981</v>
      </c>
      <c r="AL416" s="62">
        <v>0</v>
      </c>
      <c r="AM416" s="62">
        <v>0</v>
      </c>
    </row>
    <row r="417" spans="1:39">
      <c r="A417" s="9">
        <v>94261</v>
      </c>
      <c r="B417" s="10" t="s">
        <v>1792</v>
      </c>
      <c r="C417" s="60">
        <v>3.9199999999999997E-5</v>
      </c>
      <c r="E417" s="62">
        <v>8687.6459351331014</v>
      </c>
      <c r="F417" s="62">
        <v>22041.578001772104</v>
      </c>
      <c r="G417" s="62">
        <v>12327.836034156375</v>
      </c>
      <c r="H417" s="62">
        <v>-2691.050400000001</v>
      </c>
      <c r="I417" s="62">
        <v>0</v>
      </c>
      <c r="J417" s="62"/>
      <c r="K417" s="62">
        <v>-235.86639999999997</v>
      </c>
      <c r="L417" s="62">
        <v>496.50719999999995</v>
      </c>
      <c r="M417" s="62">
        <v>921.27839999999992</v>
      </c>
      <c r="N417" s="62">
        <v>572.90800000000002</v>
      </c>
      <c r="O417" s="62">
        <v>0</v>
      </c>
      <c r="P417" s="62"/>
      <c r="Q417" s="62">
        <v>862.98799999999994</v>
      </c>
      <c r="R417" s="62">
        <v>14317.407999999999</v>
      </c>
      <c r="S417" s="62">
        <v>5478.6704</v>
      </c>
      <c r="T417" s="62">
        <v>-6118.4928</v>
      </c>
      <c r="U417" s="62">
        <v>0</v>
      </c>
      <c r="V417" s="62"/>
      <c r="W417" s="62">
        <v>2558.8583999999996</v>
      </c>
      <c r="X417" s="62">
        <v>2558.8583999999996</v>
      </c>
      <c r="Y417" s="62">
        <v>2352.2351999999996</v>
      </c>
      <c r="Z417" s="62">
        <v>1082.704</v>
      </c>
      <c r="AA417" s="62">
        <v>0</v>
      </c>
      <c r="AB417" s="62"/>
      <c r="AC417" s="62">
        <v>5501.6659351331018</v>
      </c>
      <c r="AD417" s="62">
        <v>4668.8044017721049</v>
      </c>
      <c r="AE417" s="62">
        <v>3575.6520341563764</v>
      </c>
      <c r="AF417" s="62">
        <v>1771.8303999999989</v>
      </c>
      <c r="AG417" s="62">
        <v>0</v>
      </c>
      <c r="AH417" s="62"/>
      <c r="AI417" s="62">
        <v>0</v>
      </c>
      <c r="AJ417" s="62">
        <v>0</v>
      </c>
      <c r="AK417" s="62">
        <v>0</v>
      </c>
      <c r="AL417" s="62">
        <v>0</v>
      </c>
      <c r="AM417" s="62">
        <v>0</v>
      </c>
    </row>
    <row r="418" spans="1:39">
      <c r="A418" s="9">
        <v>94301</v>
      </c>
      <c r="B418" s="10" t="s">
        <v>1793</v>
      </c>
      <c r="C418" s="60">
        <v>6.2988999999999996E-3</v>
      </c>
      <c r="E418" s="62">
        <v>489138.64239485783</v>
      </c>
      <c r="F418" s="62">
        <v>2764362.7329891315</v>
      </c>
      <c r="G418" s="62">
        <v>1405218.3617811527</v>
      </c>
      <c r="H418" s="62">
        <v>-697976.68705999933</v>
      </c>
      <c r="I418" s="62">
        <v>0</v>
      </c>
      <c r="J418" s="62"/>
      <c r="K418" s="62">
        <v>-37900.481299999999</v>
      </c>
      <c r="L418" s="62">
        <v>79781.867399999988</v>
      </c>
      <c r="M418" s="62">
        <v>148036.74779999998</v>
      </c>
      <c r="N418" s="62">
        <v>92058.42349999999</v>
      </c>
      <c r="O418" s="62">
        <v>0</v>
      </c>
      <c r="P418" s="62"/>
      <c r="Q418" s="62">
        <v>138670.28349999999</v>
      </c>
      <c r="R418" s="62">
        <v>2300610.236</v>
      </c>
      <c r="S418" s="62">
        <v>880346.86179999996</v>
      </c>
      <c r="T418" s="62">
        <v>-983157.5075999999</v>
      </c>
      <c r="U418" s="62">
        <v>0</v>
      </c>
      <c r="V418" s="62"/>
      <c r="W418" s="62">
        <v>411173.2953</v>
      </c>
      <c r="X418" s="62">
        <v>411173.2953</v>
      </c>
      <c r="Y418" s="62">
        <v>377971.79339999997</v>
      </c>
      <c r="Z418" s="62">
        <v>173975.61799999999</v>
      </c>
      <c r="AA418" s="62">
        <v>0</v>
      </c>
      <c r="AB418" s="62"/>
      <c r="AC418" s="62">
        <v>28541.879040000498</v>
      </c>
      <c r="AD418" s="62">
        <v>19146.779040000496</v>
      </c>
      <c r="AE418" s="62">
        <v>19146.779040000496</v>
      </c>
      <c r="AF418" s="62">
        <v>19146.779040000496</v>
      </c>
      <c r="AG418" s="62">
        <v>0</v>
      </c>
      <c r="AH418" s="62"/>
      <c r="AI418" s="62">
        <v>-51346.334145142668</v>
      </c>
      <c r="AJ418" s="62">
        <v>-46349.444750868817</v>
      </c>
      <c r="AK418" s="62">
        <v>-20283.820258847638</v>
      </c>
      <c r="AL418" s="62">
        <v>0</v>
      </c>
      <c r="AM418" s="62">
        <v>0</v>
      </c>
    </row>
    <row r="419" spans="1:39">
      <c r="A419" s="9">
        <v>94311</v>
      </c>
      <c r="B419" s="10" t="s">
        <v>1794</v>
      </c>
      <c r="C419" s="60">
        <v>7.8540000000000001E-4</v>
      </c>
      <c r="E419" s="62">
        <v>50440.60163378586</v>
      </c>
      <c r="F419" s="62">
        <v>333780.28412888956</v>
      </c>
      <c r="G419" s="62">
        <v>171237.69788477369</v>
      </c>
      <c r="H419" s="62">
        <v>-83574.761799999978</v>
      </c>
      <c r="I419" s="62">
        <v>0</v>
      </c>
      <c r="J419" s="62"/>
      <c r="K419" s="62">
        <v>-4725.7518</v>
      </c>
      <c r="L419" s="62">
        <v>9947.876400000001</v>
      </c>
      <c r="M419" s="62">
        <v>18458.470799999999</v>
      </c>
      <c r="N419" s="62">
        <v>11478.621000000001</v>
      </c>
      <c r="O419" s="62">
        <v>0</v>
      </c>
      <c r="P419" s="62"/>
      <c r="Q419" s="62">
        <v>17290.581000000002</v>
      </c>
      <c r="R419" s="62">
        <v>286859.49599999998</v>
      </c>
      <c r="S419" s="62">
        <v>109769.0748</v>
      </c>
      <c r="T419" s="62">
        <v>-122588.37360000001</v>
      </c>
      <c r="U419" s="62">
        <v>0</v>
      </c>
      <c r="V419" s="62"/>
      <c r="W419" s="62">
        <v>51268.555800000002</v>
      </c>
      <c r="X419" s="62">
        <v>51268.555800000002</v>
      </c>
      <c r="Y419" s="62">
        <v>47128.712400000004</v>
      </c>
      <c r="Z419" s="62">
        <v>21692.748</v>
      </c>
      <c r="AA419" s="62">
        <v>0</v>
      </c>
      <c r="AB419" s="62"/>
      <c r="AC419" s="62">
        <v>8623.1528000000326</v>
      </c>
      <c r="AD419" s="62">
        <v>5842.2428000000309</v>
      </c>
      <c r="AE419" s="62">
        <v>5842.2428000000309</v>
      </c>
      <c r="AF419" s="62">
        <v>5842.2428000000309</v>
      </c>
      <c r="AG419" s="62">
        <v>0</v>
      </c>
      <c r="AH419" s="62"/>
      <c r="AI419" s="62">
        <v>-22015.936166214178</v>
      </c>
      <c r="AJ419" s="62">
        <v>-20137.886871110444</v>
      </c>
      <c r="AK419" s="62">
        <v>-9960.8029152263498</v>
      </c>
      <c r="AL419" s="62">
        <v>0</v>
      </c>
      <c r="AM419" s="62">
        <v>0</v>
      </c>
    </row>
    <row r="420" spans="1:39">
      <c r="A420" s="9">
        <v>94313</v>
      </c>
      <c r="B420" s="10" t="s">
        <v>1795</v>
      </c>
      <c r="C420" s="60">
        <v>1.8700000000000001E-5</v>
      </c>
      <c r="E420" s="62">
        <v>4635.9523835694908</v>
      </c>
      <c r="F420" s="62">
        <v>10537.474015104761</v>
      </c>
      <c r="G420" s="62">
        <v>5682.8838204938274</v>
      </c>
      <c r="H420" s="62">
        <v>-1581.5933399999999</v>
      </c>
      <c r="I420" s="62">
        <v>0</v>
      </c>
      <c r="J420" s="62"/>
      <c r="K420" s="62">
        <v>-112.5179</v>
      </c>
      <c r="L420" s="62">
        <v>236.85420000000002</v>
      </c>
      <c r="M420" s="62">
        <v>439.48740000000004</v>
      </c>
      <c r="N420" s="62">
        <v>273.3005</v>
      </c>
      <c r="O420" s="62">
        <v>0</v>
      </c>
      <c r="P420" s="62"/>
      <c r="Q420" s="62">
        <v>411.68049999999999</v>
      </c>
      <c r="R420" s="62">
        <v>6829.9880000000003</v>
      </c>
      <c r="S420" s="62">
        <v>2613.5493999999999</v>
      </c>
      <c r="T420" s="62">
        <v>-2918.7708000000002</v>
      </c>
      <c r="U420" s="62">
        <v>0</v>
      </c>
      <c r="V420" s="62"/>
      <c r="W420" s="62">
        <v>1220.6799000000001</v>
      </c>
      <c r="X420" s="62">
        <v>1220.6799000000001</v>
      </c>
      <c r="Y420" s="62">
        <v>1122.1122</v>
      </c>
      <c r="Z420" s="62">
        <v>516.49400000000003</v>
      </c>
      <c r="AA420" s="62">
        <v>0</v>
      </c>
      <c r="AB420" s="62"/>
      <c r="AC420" s="62">
        <v>3116.1098835694906</v>
      </c>
      <c r="AD420" s="62">
        <v>2249.9519151047602</v>
      </c>
      <c r="AE420" s="62">
        <v>1507.734820493828</v>
      </c>
      <c r="AF420" s="62">
        <v>547.38296000000048</v>
      </c>
      <c r="AG420" s="62">
        <v>0</v>
      </c>
      <c r="AH420" s="62"/>
      <c r="AI420" s="62">
        <v>0</v>
      </c>
      <c r="AJ420" s="62">
        <v>0</v>
      </c>
      <c r="AK420" s="62">
        <v>0</v>
      </c>
      <c r="AL420" s="62">
        <v>0</v>
      </c>
      <c r="AM420" s="62">
        <v>0</v>
      </c>
    </row>
    <row r="421" spans="1:39">
      <c r="A421" s="9">
        <v>94317</v>
      </c>
      <c r="B421" s="10" t="s">
        <v>1796</v>
      </c>
      <c r="C421" s="60">
        <v>1.2E-5</v>
      </c>
      <c r="E421" s="62">
        <v>4097.8525803042867</v>
      </c>
      <c r="F421" s="62">
        <v>7574.5231454495151</v>
      </c>
      <c r="G421" s="62">
        <v>4158.4518866666667</v>
      </c>
      <c r="H421" s="62">
        <v>-561.13728000000037</v>
      </c>
      <c r="I421" s="62">
        <v>0</v>
      </c>
      <c r="J421" s="62"/>
      <c r="K421" s="62">
        <v>-72.204000000000008</v>
      </c>
      <c r="L421" s="62">
        <v>151.99199999999999</v>
      </c>
      <c r="M421" s="62">
        <v>282.024</v>
      </c>
      <c r="N421" s="62">
        <v>175.38</v>
      </c>
      <c r="O421" s="62">
        <v>0</v>
      </c>
      <c r="P421" s="62"/>
      <c r="Q421" s="62">
        <v>264.18</v>
      </c>
      <c r="R421" s="62">
        <v>4382.88</v>
      </c>
      <c r="S421" s="62">
        <v>1677.144</v>
      </c>
      <c r="T421" s="62">
        <v>-1873.008</v>
      </c>
      <c r="U421" s="62">
        <v>0</v>
      </c>
      <c r="V421" s="62"/>
      <c r="W421" s="62">
        <v>783.32400000000007</v>
      </c>
      <c r="X421" s="62">
        <v>783.32400000000007</v>
      </c>
      <c r="Y421" s="62">
        <v>720.072</v>
      </c>
      <c r="Z421" s="62">
        <v>331.44</v>
      </c>
      <c r="AA421" s="62">
        <v>0</v>
      </c>
      <c r="AB421" s="62"/>
      <c r="AC421" s="62">
        <v>3122.5525803042869</v>
      </c>
      <c r="AD421" s="62">
        <v>2256.3271454495157</v>
      </c>
      <c r="AE421" s="62">
        <v>1479.2118866666665</v>
      </c>
      <c r="AF421" s="62">
        <v>805.05071999999973</v>
      </c>
      <c r="AG421" s="62">
        <v>0</v>
      </c>
      <c r="AH421" s="62"/>
      <c r="AI421" s="62">
        <v>0</v>
      </c>
      <c r="AJ421" s="62">
        <v>0</v>
      </c>
      <c r="AK421" s="62">
        <v>0</v>
      </c>
      <c r="AL421" s="62">
        <v>0</v>
      </c>
      <c r="AM421" s="62">
        <v>0</v>
      </c>
    </row>
    <row r="422" spans="1:39">
      <c r="A422" s="9">
        <v>94321</v>
      </c>
      <c r="B422" s="10" t="s">
        <v>1797</v>
      </c>
      <c r="C422" s="60">
        <v>2.7760000000000003E-4</v>
      </c>
      <c r="E422" s="62">
        <v>16899.330430939695</v>
      </c>
      <c r="F422" s="62">
        <v>116112.32169508908</v>
      </c>
      <c r="G422" s="62">
        <v>57578.056172921832</v>
      </c>
      <c r="H422" s="62">
        <v>-32857.356159999988</v>
      </c>
      <c r="I422" s="62">
        <v>0</v>
      </c>
      <c r="J422" s="62"/>
      <c r="K422" s="62">
        <v>-1670.3192000000001</v>
      </c>
      <c r="L422" s="62">
        <v>3516.0816000000004</v>
      </c>
      <c r="M422" s="62">
        <v>6524.1552000000001</v>
      </c>
      <c r="N422" s="62">
        <v>4057.1240000000003</v>
      </c>
      <c r="O422" s="62">
        <v>0</v>
      </c>
      <c r="P422" s="62"/>
      <c r="Q422" s="62">
        <v>6111.3640000000005</v>
      </c>
      <c r="R422" s="62">
        <v>101390.62400000001</v>
      </c>
      <c r="S422" s="62">
        <v>38797.931200000006</v>
      </c>
      <c r="T422" s="62">
        <v>-43328.918400000002</v>
      </c>
      <c r="U422" s="62">
        <v>0</v>
      </c>
      <c r="V422" s="62"/>
      <c r="W422" s="62">
        <v>18120.895200000003</v>
      </c>
      <c r="X422" s="62">
        <v>18120.895200000003</v>
      </c>
      <c r="Y422" s="62">
        <v>16657.6656</v>
      </c>
      <c r="Z422" s="62">
        <v>7667.3120000000008</v>
      </c>
      <c r="AA422" s="62">
        <v>0</v>
      </c>
      <c r="AB422" s="62"/>
      <c r="AC422" s="62">
        <v>1691.9100000000003</v>
      </c>
      <c r="AD422" s="62">
        <v>0</v>
      </c>
      <c r="AE422" s="62">
        <v>0</v>
      </c>
      <c r="AF422" s="62">
        <v>0</v>
      </c>
      <c r="AG422" s="62">
        <v>0</v>
      </c>
      <c r="AH422" s="62"/>
      <c r="AI422" s="62">
        <v>-7354.5195690603068</v>
      </c>
      <c r="AJ422" s="62">
        <v>-6915.2791049109319</v>
      </c>
      <c r="AK422" s="62">
        <v>-4401.6958270781797</v>
      </c>
      <c r="AL422" s="62">
        <v>-1252.8737599999904</v>
      </c>
      <c r="AM422" s="62">
        <v>0</v>
      </c>
    </row>
    <row r="423" spans="1:39">
      <c r="A423" s="9">
        <v>94331</v>
      </c>
      <c r="B423" s="10" t="s">
        <v>1798</v>
      </c>
      <c r="C423" s="60">
        <v>1.3569999999999999E-4</v>
      </c>
      <c r="E423" s="62">
        <v>13969.711108809654</v>
      </c>
      <c r="F423" s="62">
        <v>58715.331776942432</v>
      </c>
      <c r="G423" s="62">
        <v>27424.267706255137</v>
      </c>
      <c r="H423" s="62">
        <v>-16933.919860000009</v>
      </c>
      <c r="I423" s="62">
        <v>0</v>
      </c>
      <c r="J423" s="62"/>
      <c r="K423" s="62">
        <v>-816.50689999999997</v>
      </c>
      <c r="L423" s="62">
        <v>1718.7761999999998</v>
      </c>
      <c r="M423" s="62">
        <v>3189.2213999999999</v>
      </c>
      <c r="N423" s="62">
        <v>1983.2555</v>
      </c>
      <c r="O423" s="62">
        <v>0</v>
      </c>
      <c r="P423" s="62"/>
      <c r="Q423" s="62">
        <v>2987.4354999999996</v>
      </c>
      <c r="R423" s="62">
        <v>49563.067999999999</v>
      </c>
      <c r="S423" s="62">
        <v>18965.703399999999</v>
      </c>
      <c r="T423" s="62">
        <v>-21180.5988</v>
      </c>
      <c r="U423" s="62">
        <v>0</v>
      </c>
      <c r="V423" s="62"/>
      <c r="W423" s="62">
        <v>8858.0888999999988</v>
      </c>
      <c r="X423" s="62">
        <v>8858.0888999999988</v>
      </c>
      <c r="Y423" s="62">
        <v>8142.8141999999998</v>
      </c>
      <c r="Z423" s="62">
        <v>3748.0339999999997</v>
      </c>
      <c r="AA423" s="62">
        <v>0</v>
      </c>
      <c r="AB423" s="62"/>
      <c r="AC423" s="62">
        <v>6040.2585103734446</v>
      </c>
      <c r="AD423" s="62">
        <v>1674.9635785062244</v>
      </c>
      <c r="AE423" s="62">
        <v>0</v>
      </c>
      <c r="AF423" s="62">
        <v>0</v>
      </c>
      <c r="AG423" s="62">
        <v>0</v>
      </c>
      <c r="AH423" s="62"/>
      <c r="AI423" s="62">
        <v>-3099.5649015637905</v>
      </c>
      <c r="AJ423" s="62">
        <v>-3099.5649015637905</v>
      </c>
      <c r="AK423" s="62">
        <v>-2873.4712937448612</v>
      </c>
      <c r="AL423" s="62">
        <v>-1484.6105600000067</v>
      </c>
      <c r="AM423" s="62">
        <v>0</v>
      </c>
    </row>
    <row r="424" spans="1:39">
      <c r="A424" s="9">
        <v>94341</v>
      </c>
      <c r="B424" s="10" t="s">
        <v>1799</v>
      </c>
      <c r="C424" s="60">
        <v>9.4699999999999998E-5</v>
      </c>
      <c r="E424" s="62">
        <v>5933.6633781414903</v>
      </c>
      <c r="F424" s="62">
        <v>42104.107107187141</v>
      </c>
      <c r="G424" s="62">
        <v>21314.350864197535</v>
      </c>
      <c r="H424" s="62">
        <v>-9473.3371000000006</v>
      </c>
      <c r="I424" s="62">
        <v>0</v>
      </c>
      <c r="J424" s="62"/>
      <c r="K424" s="62">
        <v>-569.80989999999997</v>
      </c>
      <c r="L424" s="62">
        <v>1199.4702</v>
      </c>
      <c r="M424" s="62">
        <v>2225.6394</v>
      </c>
      <c r="N424" s="62">
        <v>1384.0405000000001</v>
      </c>
      <c r="O424" s="62">
        <v>0</v>
      </c>
      <c r="P424" s="62"/>
      <c r="Q424" s="62">
        <v>2084.8204999999998</v>
      </c>
      <c r="R424" s="62">
        <v>34588.228000000003</v>
      </c>
      <c r="S424" s="62">
        <v>13235.4614</v>
      </c>
      <c r="T424" s="62">
        <v>-14781.1548</v>
      </c>
      <c r="U424" s="62">
        <v>0</v>
      </c>
      <c r="V424" s="62"/>
      <c r="W424" s="62">
        <v>6181.7318999999998</v>
      </c>
      <c r="X424" s="62">
        <v>6181.7318999999998</v>
      </c>
      <c r="Y424" s="62">
        <v>5682.5681999999997</v>
      </c>
      <c r="Z424" s="62">
        <v>2615.614</v>
      </c>
      <c r="AA424" s="62">
        <v>0</v>
      </c>
      <c r="AB424" s="62"/>
      <c r="AC424" s="62">
        <v>1490.0735941908731</v>
      </c>
      <c r="AD424" s="62">
        <v>1457.3297232365162</v>
      </c>
      <c r="AE424" s="62">
        <v>1308.1632000000013</v>
      </c>
      <c r="AF424" s="62">
        <v>1308.1632000000013</v>
      </c>
      <c r="AG424" s="62">
        <v>0</v>
      </c>
      <c r="AH424" s="62"/>
      <c r="AI424" s="62">
        <v>-3253.1527160493815</v>
      </c>
      <c r="AJ424" s="62">
        <v>-1322.6527160493808</v>
      </c>
      <c r="AK424" s="62">
        <v>-1137.481335802468</v>
      </c>
      <c r="AL424" s="62">
        <v>0</v>
      </c>
      <c r="AM424" s="62">
        <v>0</v>
      </c>
    </row>
    <row r="425" spans="1:39">
      <c r="A425" s="9">
        <v>94347</v>
      </c>
      <c r="B425" s="10" t="s">
        <v>1800</v>
      </c>
      <c r="C425" s="60">
        <v>1.22E-5</v>
      </c>
      <c r="E425" s="62">
        <v>2874.1015291511712</v>
      </c>
      <c r="F425" s="62">
        <v>6350.4887698150715</v>
      </c>
      <c r="G425" s="62">
        <v>3567.7395908641988</v>
      </c>
      <c r="H425" s="62">
        <v>-787.71443999999974</v>
      </c>
      <c r="I425" s="62">
        <v>0</v>
      </c>
      <c r="J425" s="62"/>
      <c r="K425" s="62">
        <v>-73.407399999999996</v>
      </c>
      <c r="L425" s="62">
        <v>154.52520000000001</v>
      </c>
      <c r="M425" s="62">
        <v>286.7244</v>
      </c>
      <c r="N425" s="62">
        <v>178.303</v>
      </c>
      <c r="O425" s="62">
        <v>0</v>
      </c>
      <c r="P425" s="62"/>
      <c r="Q425" s="62">
        <v>268.58300000000003</v>
      </c>
      <c r="R425" s="62">
        <v>4455.9279999999999</v>
      </c>
      <c r="S425" s="62">
        <v>1705.0963999999999</v>
      </c>
      <c r="T425" s="62">
        <v>-1904.2248</v>
      </c>
      <c r="U425" s="62">
        <v>0</v>
      </c>
      <c r="V425" s="62"/>
      <c r="W425" s="62">
        <v>796.37940000000003</v>
      </c>
      <c r="X425" s="62">
        <v>796.37940000000003</v>
      </c>
      <c r="Y425" s="62">
        <v>732.07320000000004</v>
      </c>
      <c r="Z425" s="62">
        <v>336.964</v>
      </c>
      <c r="AA425" s="62">
        <v>0</v>
      </c>
      <c r="AB425" s="62"/>
      <c r="AC425" s="62">
        <v>1882.5465291511712</v>
      </c>
      <c r="AD425" s="62">
        <v>943.65616981507151</v>
      </c>
      <c r="AE425" s="62">
        <v>843.84559086419858</v>
      </c>
      <c r="AF425" s="62">
        <v>601.24336000000039</v>
      </c>
      <c r="AG425" s="62">
        <v>0</v>
      </c>
      <c r="AH425" s="62"/>
      <c r="AI425" s="62">
        <v>0</v>
      </c>
      <c r="AJ425" s="62">
        <v>0</v>
      </c>
      <c r="AK425" s="62">
        <v>0</v>
      </c>
      <c r="AL425" s="62">
        <v>0</v>
      </c>
      <c r="AM425" s="62">
        <v>0</v>
      </c>
    </row>
    <row r="426" spans="1:39">
      <c r="A426" s="9">
        <v>94351</v>
      </c>
      <c r="B426" s="10" t="s">
        <v>1801</v>
      </c>
      <c r="C426" s="60">
        <v>2.433E-4</v>
      </c>
      <c r="E426" s="62">
        <v>18108.010271311567</v>
      </c>
      <c r="F426" s="62">
        <v>107660.06551952734</v>
      </c>
      <c r="G426" s="62">
        <v>53495.607432181081</v>
      </c>
      <c r="H426" s="62">
        <v>-28172.135060000008</v>
      </c>
      <c r="I426" s="62">
        <v>0</v>
      </c>
      <c r="J426" s="62"/>
      <c r="K426" s="62">
        <v>-1463.9361000000001</v>
      </c>
      <c r="L426" s="62">
        <v>3081.6378</v>
      </c>
      <c r="M426" s="62">
        <v>5718.0366000000004</v>
      </c>
      <c r="N426" s="62">
        <v>3555.8295000000003</v>
      </c>
      <c r="O426" s="62">
        <v>0</v>
      </c>
      <c r="P426" s="62"/>
      <c r="Q426" s="62">
        <v>5356.2494999999999</v>
      </c>
      <c r="R426" s="62">
        <v>88862.892000000007</v>
      </c>
      <c r="S426" s="62">
        <v>34004.094600000004</v>
      </c>
      <c r="T426" s="62">
        <v>-37975.237200000003</v>
      </c>
      <c r="U426" s="62">
        <v>0</v>
      </c>
      <c r="V426" s="62"/>
      <c r="W426" s="62">
        <v>15881.8941</v>
      </c>
      <c r="X426" s="62">
        <v>15881.8941</v>
      </c>
      <c r="Y426" s="62">
        <v>14599.459800000001</v>
      </c>
      <c r="Z426" s="62">
        <v>6719.9459999999999</v>
      </c>
      <c r="AA426" s="62">
        <v>0</v>
      </c>
      <c r="AB426" s="62"/>
      <c r="AC426" s="62">
        <v>874.5619543568248</v>
      </c>
      <c r="AD426" s="62">
        <v>717.14080257259661</v>
      </c>
      <c r="AE426" s="62">
        <v>0</v>
      </c>
      <c r="AF426" s="62">
        <v>0</v>
      </c>
      <c r="AG426" s="62">
        <v>0</v>
      </c>
      <c r="AH426" s="62"/>
      <c r="AI426" s="62">
        <v>-2540.7591830452579</v>
      </c>
      <c r="AJ426" s="62">
        <v>-883.49918304525761</v>
      </c>
      <c r="AK426" s="62">
        <v>-825.98356781892221</v>
      </c>
      <c r="AL426" s="62">
        <v>-472.67336000000364</v>
      </c>
      <c r="AM426" s="62">
        <v>0</v>
      </c>
    </row>
    <row r="427" spans="1:39">
      <c r="A427" s="9">
        <v>94401</v>
      </c>
      <c r="B427" s="10" t="s">
        <v>1802</v>
      </c>
      <c r="C427" s="60">
        <v>3.2718000000000001E-3</v>
      </c>
      <c r="E427" s="62">
        <v>254635.47861688802</v>
      </c>
      <c r="F427" s="62">
        <v>1437740.1897371374</v>
      </c>
      <c r="G427" s="62">
        <v>711925.22956024657</v>
      </c>
      <c r="H427" s="62">
        <v>-393356.12052000029</v>
      </c>
      <c r="I427" s="62">
        <v>0</v>
      </c>
      <c r="J427" s="62"/>
      <c r="K427" s="62">
        <v>-19686.420600000001</v>
      </c>
      <c r="L427" s="62">
        <v>41440.618800000004</v>
      </c>
      <c r="M427" s="62">
        <v>76893.843600000007</v>
      </c>
      <c r="N427" s="62">
        <v>47817.357000000004</v>
      </c>
      <c r="O427" s="62">
        <v>0</v>
      </c>
      <c r="P427" s="62"/>
      <c r="Q427" s="62">
        <v>72028.676999999996</v>
      </c>
      <c r="R427" s="62">
        <v>1194992.2320000001</v>
      </c>
      <c r="S427" s="62">
        <v>457273.31160000002</v>
      </c>
      <c r="T427" s="62">
        <v>-510675.6312</v>
      </c>
      <c r="U427" s="62">
        <v>0</v>
      </c>
      <c r="V427" s="62"/>
      <c r="W427" s="62">
        <v>213573.2886</v>
      </c>
      <c r="X427" s="62">
        <v>213573.2886</v>
      </c>
      <c r="Y427" s="62">
        <v>196327.63080000001</v>
      </c>
      <c r="Z427" s="62">
        <v>90367.115999999995</v>
      </c>
      <c r="AA427" s="62">
        <v>0</v>
      </c>
      <c r="AB427" s="62"/>
      <c r="AC427" s="62">
        <v>9900.7059368883056</v>
      </c>
      <c r="AD427" s="62">
        <v>8599.0126571372766</v>
      </c>
      <c r="AE427" s="62">
        <v>2295.4058802467935</v>
      </c>
      <c r="AF427" s="62">
        <v>0</v>
      </c>
      <c r="AG427" s="62">
        <v>0</v>
      </c>
      <c r="AH427" s="62"/>
      <c r="AI427" s="62">
        <v>-21180.772320000262</v>
      </c>
      <c r="AJ427" s="62">
        <v>-20864.962320000261</v>
      </c>
      <c r="AK427" s="62">
        <v>-20864.962320000261</v>
      </c>
      <c r="AL427" s="62">
        <v>-20864.962320000261</v>
      </c>
      <c r="AM427" s="62">
        <v>0</v>
      </c>
    </row>
    <row r="428" spans="1:39">
      <c r="A428" s="9">
        <v>94402</v>
      </c>
      <c r="B428" s="10" t="s">
        <v>1803</v>
      </c>
      <c r="C428" s="60">
        <v>0</v>
      </c>
      <c r="E428" s="62">
        <v>-1006718.0691286308</v>
      </c>
      <c r="F428" s="62">
        <v>-767649.39528547751</v>
      </c>
      <c r="G428" s="62">
        <v>0</v>
      </c>
      <c r="H428" s="62">
        <v>0</v>
      </c>
      <c r="I428" s="62">
        <v>0</v>
      </c>
      <c r="J428" s="62"/>
      <c r="K428" s="62">
        <v>0</v>
      </c>
      <c r="L428" s="62">
        <v>0</v>
      </c>
      <c r="M428" s="62">
        <v>0</v>
      </c>
      <c r="N428" s="62">
        <v>0</v>
      </c>
      <c r="O428" s="62">
        <v>0</v>
      </c>
      <c r="P428" s="62"/>
      <c r="Q428" s="62">
        <v>0</v>
      </c>
      <c r="R428" s="62">
        <v>0</v>
      </c>
      <c r="S428" s="62">
        <v>0</v>
      </c>
      <c r="T428" s="62">
        <v>0</v>
      </c>
      <c r="U428" s="62">
        <v>0</v>
      </c>
      <c r="V428" s="62"/>
      <c r="W428" s="62">
        <v>0</v>
      </c>
      <c r="X428" s="62">
        <v>0</v>
      </c>
      <c r="Y428" s="62">
        <v>0</v>
      </c>
      <c r="Z428" s="62">
        <v>0</v>
      </c>
      <c r="AA428" s="62">
        <v>0</v>
      </c>
      <c r="AB428" s="62"/>
      <c r="AC428" s="62">
        <v>0</v>
      </c>
      <c r="AD428" s="62">
        <v>0</v>
      </c>
      <c r="AE428" s="62">
        <v>0</v>
      </c>
      <c r="AF428" s="62">
        <v>0</v>
      </c>
      <c r="AG428" s="62">
        <v>0</v>
      </c>
      <c r="AH428" s="62"/>
      <c r="AI428" s="62">
        <v>-1006718.0691286308</v>
      </c>
      <c r="AJ428" s="62">
        <v>-767649.39528547751</v>
      </c>
      <c r="AK428" s="62">
        <v>0</v>
      </c>
      <c r="AL428" s="62">
        <v>0</v>
      </c>
      <c r="AM428" s="62">
        <v>0</v>
      </c>
    </row>
    <row r="429" spans="1:39">
      <c r="A429" s="9">
        <v>94403</v>
      </c>
      <c r="B429" s="10" t="s">
        <v>1804</v>
      </c>
      <c r="C429" s="60">
        <v>2.2099999999999998E-5</v>
      </c>
      <c r="E429" s="62">
        <v>5452.0895000000037</v>
      </c>
      <c r="F429" s="62">
        <v>13450.256300000003</v>
      </c>
      <c r="G429" s="62">
        <v>8590.1790000000037</v>
      </c>
      <c r="H429" s="62">
        <v>1139.849100000004</v>
      </c>
      <c r="I429" s="62">
        <v>0</v>
      </c>
      <c r="J429" s="62"/>
      <c r="K429" s="62">
        <v>-132.97569999999999</v>
      </c>
      <c r="L429" s="62">
        <v>279.91859999999997</v>
      </c>
      <c r="M429" s="62">
        <v>519.39419999999996</v>
      </c>
      <c r="N429" s="62">
        <v>322.99149999999997</v>
      </c>
      <c r="O429" s="62">
        <v>0</v>
      </c>
      <c r="P429" s="62"/>
      <c r="Q429" s="62">
        <v>486.53149999999999</v>
      </c>
      <c r="R429" s="62">
        <v>8071.8039999999992</v>
      </c>
      <c r="S429" s="62">
        <v>3088.7401999999997</v>
      </c>
      <c r="T429" s="62">
        <v>-3449.4563999999996</v>
      </c>
      <c r="U429" s="62">
        <v>0</v>
      </c>
      <c r="V429" s="62"/>
      <c r="W429" s="62">
        <v>1442.6216999999999</v>
      </c>
      <c r="X429" s="62">
        <v>1442.6216999999999</v>
      </c>
      <c r="Y429" s="62">
        <v>1326.1325999999999</v>
      </c>
      <c r="Z429" s="62">
        <v>610.40199999999993</v>
      </c>
      <c r="AA429" s="62">
        <v>0</v>
      </c>
      <c r="AB429" s="62"/>
      <c r="AC429" s="62">
        <v>3655.9120000000034</v>
      </c>
      <c r="AD429" s="62">
        <v>3655.9120000000034</v>
      </c>
      <c r="AE429" s="62">
        <v>3655.9120000000034</v>
      </c>
      <c r="AF429" s="62">
        <v>3655.9120000000034</v>
      </c>
      <c r="AG429" s="62">
        <v>0</v>
      </c>
      <c r="AH429" s="62"/>
      <c r="AI429" s="62">
        <v>0</v>
      </c>
      <c r="AJ429" s="62">
        <v>0</v>
      </c>
      <c r="AK429" s="62">
        <v>0</v>
      </c>
      <c r="AL429" s="62">
        <v>0</v>
      </c>
      <c r="AM429" s="62">
        <v>0</v>
      </c>
    </row>
    <row r="430" spans="1:39">
      <c r="A430" s="9">
        <v>94408</v>
      </c>
      <c r="B430" s="10" t="s">
        <v>1805</v>
      </c>
      <c r="C430" s="60">
        <v>4.2400000000000001E-5</v>
      </c>
      <c r="E430" s="62">
        <v>3846.3919700008564</v>
      </c>
      <c r="F430" s="62">
        <v>20955.025494482183</v>
      </c>
      <c r="G430" s="62">
        <v>10972.575120411526</v>
      </c>
      <c r="H430" s="62">
        <v>-5384.6492799999987</v>
      </c>
      <c r="I430" s="62">
        <v>0</v>
      </c>
      <c r="J430" s="62"/>
      <c r="K430" s="62">
        <v>-255.1208</v>
      </c>
      <c r="L430" s="62">
        <v>537.03840000000002</v>
      </c>
      <c r="M430" s="62">
        <v>996.48480000000006</v>
      </c>
      <c r="N430" s="62">
        <v>619.67600000000004</v>
      </c>
      <c r="O430" s="62">
        <v>0</v>
      </c>
      <c r="P430" s="62"/>
      <c r="Q430" s="62">
        <v>933.43600000000004</v>
      </c>
      <c r="R430" s="62">
        <v>15486.175999999999</v>
      </c>
      <c r="S430" s="62">
        <v>5925.9088000000002</v>
      </c>
      <c r="T430" s="62">
        <v>-6617.9616000000005</v>
      </c>
      <c r="U430" s="62">
        <v>0</v>
      </c>
      <c r="V430" s="62"/>
      <c r="W430" s="62">
        <v>2767.7447999999999</v>
      </c>
      <c r="X430" s="62">
        <v>2767.7447999999999</v>
      </c>
      <c r="Y430" s="62">
        <v>2544.2544000000003</v>
      </c>
      <c r="Z430" s="62">
        <v>1171.088</v>
      </c>
      <c r="AA430" s="62">
        <v>0</v>
      </c>
      <c r="AB430" s="62"/>
      <c r="AC430" s="62">
        <v>2792.2536500008546</v>
      </c>
      <c r="AD430" s="62">
        <v>2721.5179744821826</v>
      </c>
      <c r="AE430" s="62">
        <v>2063.378800411524</v>
      </c>
      <c r="AF430" s="62">
        <v>0</v>
      </c>
      <c r="AG430" s="62">
        <v>0</v>
      </c>
      <c r="AH430" s="62"/>
      <c r="AI430" s="62">
        <v>-2391.9216799999986</v>
      </c>
      <c r="AJ430" s="62">
        <v>-557.4516799999983</v>
      </c>
      <c r="AK430" s="62">
        <v>-557.4516799999983</v>
      </c>
      <c r="AL430" s="62">
        <v>-557.4516799999983</v>
      </c>
      <c r="AM430" s="62">
        <v>0</v>
      </c>
    </row>
    <row r="431" spans="1:39">
      <c r="A431" s="9">
        <v>94411</v>
      </c>
      <c r="B431" s="10" t="s">
        <v>1806</v>
      </c>
      <c r="C431" s="60">
        <v>1.2672E-3</v>
      </c>
      <c r="E431" s="62">
        <v>121106.12565549438</v>
      </c>
      <c r="F431" s="62">
        <v>578548.29330263135</v>
      </c>
      <c r="G431" s="62">
        <v>294479.1015083128</v>
      </c>
      <c r="H431" s="62">
        <v>-131495.87535999995</v>
      </c>
      <c r="I431" s="62">
        <v>0</v>
      </c>
      <c r="J431" s="62"/>
      <c r="K431" s="62">
        <v>-7624.7424000000001</v>
      </c>
      <c r="L431" s="62">
        <v>16050.3552</v>
      </c>
      <c r="M431" s="62">
        <v>29781.734400000001</v>
      </c>
      <c r="N431" s="62">
        <v>18520.128000000001</v>
      </c>
      <c r="O431" s="62">
        <v>0</v>
      </c>
      <c r="P431" s="62"/>
      <c r="Q431" s="62">
        <v>27897.407999999999</v>
      </c>
      <c r="R431" s="62">
        <v>462832.12800000003</v>
      </c>
      <c r="S431" s="62">
        <v>177106.40640000001</v>
      </c>
      <c r="T431" s="62">
        <v>-197789.64480000001</v>
      </c>
      <c r="U431" s="62">
        <v>0</v>
      </c>
      <c r="V431" s="62"/>
      <c r="W431" s="62">
        <v>82719.0144</v>
      </c>
      <c r="X431" s="62">
        <v>82719.0144</v>
      </c>
      <c r="Y431" s="62">
        <v>76039.603199999998</v>
      </c>
      <c r="Z431" s="62">
        <v>35000.063999999998</v>
      </c>
      <c r="AA431" s="62">
        <v>0</v>
      </c>
      <c r="AB431" s="62"/>
      <c r="AC431" s="62">
        <v>19596.02162257264</v>
      </c>
      <c r="AD431" s="62">
        <v>18367.981669709581</v>
      </c>
      <c r="AE431" s="62">
        <v>12773.57744000007</v>
      </c>
      <c r="AF431" s="62">
        <v>12773.57744000007</v>
      </c>
      <c r="AG431" s="62">
        <v>0</v>
      </c>
      <c r="AH431" s="62"/>
      <c r="AI431" s="62">
        <v>-1481.5759670782545</v>
      </c>
      <c r="AJ431" s="62">
        <v>-1421.1859670782544</v>
      </c>
      <c r="AK431" s="62">
        <v>-1222.2199316872993</v>
      </c>
      <c r="AL431" s="62">
        <v>0</v>
      </c>
      <c r="AM431" s="62">
        <v>0</v>
      </c>
    </row>
    <row r="432" spans="1:39">
      <c r="A432" s="9">
        <v>94412</v>
      </c>
      <c r="B432" s="10" t="s">
        <v>1807</v>
      </c>
      <c r="C432" s="60">
        <v>1.5099999999999999E-5</v>
      </c>
      <c r="E432" s="62">
        <v>7099.0543710291477</v>
      </c>
      <c r="F432" s="62">
        <v>10173.082420821678</v>
      </c>
      <c r="G432" s="62">
        <v>5527.4227760493832</v>
      </c>
      <c r="H432" s="62">
        <v>-694.89374000000089</v>
      </c>
      <c r="I432" s="62">
        <v>0</v>
      </c>
      <c r="J432" s="62"/>
      <c r="K432" s="62">
        <v>-90.856700000000004</v>
      </c>
      <c r="L432" s="62">
        <v>191.25659999999999</v>
      </c>
      <c r="M432" s="62">
        <v>354.8802</v>
      </c>
      <c r="N432" s="62">
        <v>220.6865</v>
      </c>
      <c r="O432" s="62">
        <v>0</v>
      </c>
      <c r="P432" s="62"/>
      <c r="Q432" s="62">
        <v>332.42649999999998</v>
      </c>
      <c r="R432" s="62">
        <v>5515.1239999999998</v>
      </c>
      <c r="S432" s="62">
        <v>2110.4061999999999</v>
      </c>
      <c r="T432" s="62">
        <v>-2356.8683999999998</v>
      </c>
      <c r="U432" s="62">
        <v>0</v>
      </c>
      <c r="V432" s="62"/>
      <c r="W432" s="62">
        <v>985.68269999999995</v>
      </c>
      <c r="X432" s="62">
        <v>985.68269999999995</v>
      </c>
      <c r="Y432" s="62">
        <v>906.09059999999999</v>
      </c>
      <c r="Z432" s="62">
        <v>417.06200000000001</v>
      </c>
      <c r="AA432" s="62">
        <v>0</v>
      </c>
      <c r="AB432" s="62"/>
      <c r="AC432" s="62">
        <v>5871.8018710291472</v>
      </c>
      <c r="AD432" s="62">
        <v>3481.0191208216784</v>
      </c>
      <c r="AE432" s="62">
        <v>2156.0457760493828</v>
      </c>
      <c r="AF432" s="62">
        <v>1024.2261599999993</v>
      </c>
      <c r="AG432" s="62">
        <v>0</v>
      </c>
      <c r="AH432" s="62"/>
      <c r="AI432" s="62">
        <v>0</v>
      </c>
      <c r="AJ432" s="62">
        <v>0</v>
      </c>
      <c r="AK432" s="62">
        <v>0</v>
      </c>
      <c r="AL432" s="62">
        <v>0</v>
      </c>
      <c r="AM432" s="62">
        <v>0</v>
      </c>
    </row>
    <row r="433" spans="1:39">
      <c r="A433" s="9">
        <v>94421</v>
      </c>
      <c r="B433" s="10" t="s">
        <v>1808</v>
      </c>
      <c r="C433" s="60">
        <v>1.6679999999999999E-4</v>
      </c>
      <c r="E433" s="62">
        <v>9736.2051754589174</v>
      </c>
      <c r="F433" s="62">
        <v>74761.903644172591</v>
      </c>
      <c r="G433" s="62">
        <v>37146.395771193427</v>
      </c>
      <c r="H433" s="62">
        <v>-18520.130399999995</v>
      </c>
      <c r="I433" s="62">
        <v>0</v>
      </c>
      <c r="J433" s="62"/>
      <c r="K433" s="62">
        <v>-1003.6356</v>
      </c>
      <c r="L433" s="62">
        <v>2112.6887999999999</v>
      </c>
      <c r="M433" s="62">
        <v>3920.1335999999997</v>
      </c>
      <c r="N433" s="62">
        <v>2437.7819999999997</v>
      </c>
      <c r="O433" s="62">
        <v>0</v>
      </c>
      <c r="P433" s="62"/>
      <c r="Q433" s="62">
        <v>3672.1019999999999</v>
      </c>
      <c r="R433" s="62">
        <v>60922.031999999999</v>
      </c>
      <c r="S433" s="62">
        <v>23312.301599999999</v>
      </c>
      <c r="T433" s="62">
        <v>-26034.811199999996</v>
      </c>
      <c r="U433" s="62">
        <v>0</v>
      </c>
      <c r="V433" s="62"/>
      <c r="W433" s="62">
        <v>10888.203599999999</v>
      </c>
      <c r="X433" s="62">
        <v>10888.203599999999</v>
      </c>
      <c r="Y433" s="62">
        <v>10009.0008</v>
      </c>
      <c r="Z433" s="62">
        <v>4607.0159999999996</v>
      </c>
      <c r="AA433" s="62">
        <v>0</v>
      </c>
      <c r="AB433" s="62"/>
      <c r="AC433" s="62">
        <v>1721.0824182572715</v>
      </c>
      <c r="AD433" s="62">
        <v>1495.8664869709637</v>
      </c>
      <c r="AE433" s="62">
        <v>469.88280000000373</v>
      </c>
      <c r="AF433" s="62">
        <v>469.88280000000373</v>
      </c>
      <c r="AG433" s="62">
        <v>0</v>
      </c>
      <c r="AH433" s="62"/>
      <c r="AI433" s="62">
        <v>-5541.5472427983532</v>
      </c>
      <c r="AJ433" s="62">
        <v>-656.88724279835264</v>
      </c>
      <c r="AK433" s="62">
        <v>-564.92302880658349</v>
      </c>
      <c r="AL433" s="62">
        <v>0</v>
      </c>
      <c r="AM433" s="62">
        <v>0</v>
      </c>
    </row>
    <row r="434" spans="1:39">
      <c r="A434" s="9">
        <v>94427</v>
      </c>
      <c r="B434" s="10" t="s">
        <v>1809</v>
      </c>
      <c r="C434" s="60">
        <v>1.5699999999999999E-5</v>
      </c>
      <c r="E434" s="62">
        <v>2219.5457698570776</v>
      </c>
      <c r="F434" s="62">
        <v>7949.3857316828035</v>
      </c>
      <c r="G434" s="62">
        <v>4286.9840911111114</v>
      </c>
      <c r="H434" s="62">
        <v>-891.63401999999928</v>
      </c>
      <c r="I434" s="62">
        <v>0</v>
      </c>
      <c r="J434" s="62"/>
      <c r="K434" s="62">
        <v>-94.466899999999995</v>
      </c>
      <c r="L434" s="62">
        <v>198.85619999999997</v>
      </c>
      <c r="M434" s="62">
        <v>368.98139999999995</v>
      </c>
      <c r="N434" s="62">
        <v>229.45549999999997</v>
      </c>
      <c r="O434" s="62">
        <v>0</v>
      </c>
      <c r="P434" s="62"/>
      <c r="Q434" s="62">
        <v>345.63549999999998</v>
      </c>
      <c r="R434" s="62">
        <v>5734.2679999999991</v>
      </c>
      <c r="S434" s="62">
        <v>2194.2633999999998</v>
      </c>
      <c r="T434" s="62">
        <v>-2450.5187999999998</v>
      </c>
      <c r="U434" s="62">
        <v>0</v>
      </c>
      <c r="V434" s="62"/>
      <c r="W434" s="62">
        <v>1024.8489</v>
      </c>
      <c r="X434" s="62">
        <v>1024.8489</v>
      </c>
      <c r="Y434" s="62">
        <v>942.09419999999989</v>
      </c>
      <c r="Z434" s="62">
        <v>433.63399999999996</v>
      </c>
      <c r="AA434" s="62">
        <v>0</v>
      </c>
      <c r="AB434" s="62"/>
      <c r="AC434" s="62">
        <v>1174.2710476348554</v>
      </c>
      <c r="AD434" s="62">
        <v>1124.1454094605817</v>
      </c>
      <c r="AE434" s="62">
        <v>895.7952800000005</v>
      </c>
      <c r="AF434" s="62">
        <v>895.7952800000005</v>
      </c>
      <c r="AG434" s="62">
        <v>0</v>
      </c>
      <c r="AH434" s="62"/>
      <c r="AI434" s="62">
        <v>-230.74277777777777</v>
      </c>
      <c r="AJ434" s="62">
        <v>-132.73277777777776</v>
      </c>
      <c r="AK434" s="62">
        <v>-114.15018888888891</v>
      </c>
      <c r="AL434" s="62">
        <v>0</v>
      </c>
      <c r="AM434" s="62">
        <v>0</v>
      </c>
    </row>
    <row r="435" spans="1:39">
      <c r="A435" s="9">
        <v>94428</v>
      </c>
      <c r="B435" s="10" t="s">
        <v>1810</v>
      </c>
      <c r="C435" s="60">
        <v>6.5199999999999999E-5</v>
      </c>
      <c r="E435" s="62">
        <v>5664.3346402513571</v>
      </c>
      <c r="F435" s="62">
        <v>28994.751487554266</v>
      </c>
      <c r="G435" s="62">
        <v>13898.371721152271</v>
      </c>
      <c r="H435" s="62">
        <v>-8259.4007199999978</v>
      </c>
      <c r="I435" s="62">
        <v>0</v>
      </c>
      <c r="J435" s="62"/>
      <c r="K435" s="62">
        <v>-392.30840000000001</v>
      </c>
      <c r="L435" s="62">
        <v>825.82320000000004</v>
      </c>
      <c r="M435" s="62">
        <v>1532.3304000000001</v>
      </c>
      <c r="N435" s="62">
        <v>952.89800000000002</v>
      </c>
      <c r="O435" s="62">
        <v>0</v>
      </c>
      <c r="P435" s="62"/>
      <c r="Q435" s="62">
        <v>1435.3779999999999</v>
      </c>
      <c r="R435" s="62">
        <v>23813.648000000001</v>
      </c>
      <c r="S435" s="62">
        <v>9112.4824000000008</v>
      </c>
      <c r="T435" s="62">
        <v>-10176.676799999999</v>
      </c>
      <c r="U435" s="62">
        <v>0</v>
      </c>
      <c r="V435" s="62"/>
      <c r="W435" s="62">
        <v>4256.0604000000003</v>
      </c>
      <c r="X435" s="62">
        <v>4256.0604000000003</v>
      </c>
      <c r="Y435" s="62">
        <v>3912.3912</v>
      </c>
      <c r="Z435" s="62">
        <v>1800.8240000000001</v>
      </c>
      <c r="AA435" s="62">
        <v>0</v>
      </c>
      <c r="AB435" s="62"/>
      <c r="AC435" s="62">
        <v>1201.6505602513555</v>
      </c>
      <c r="AD435" s="62">
        <v>935.66580755426094</v>
      </c>
      <c r="AE435" s="62">
        <v>177.61364115226812</v>
      </c>
      <c r="AF435" s="62">
        <v>0</v>
      </c>
      <c r="AG435" s="62">
        <v>0</v>
      </c>
      <c r="AH435" s="62"/>
      <c r="AI435" s="62">
        <v>-836.4459199999983</v>
      </c>
      <c r="AJ435" s="62">
        <v>-836.4459199999983</v>
      </c>
      <c r="AK435" s="62">
        <v>-836.4459199999983</v>
      </c>
      <c r="AL435" s="62">
        <v>-836.4459199999983</v>
      </c>
      <c r="AM435" s="62">
        <v>0</v>
      </c>
    </row>
    <row r="436" spans="1:39">
      <c r="A436" s="9">
        <v>94431</v>
      </c>
      <c r="B436" s="10" t="s">
        <v>1811</v>
      </c>
      <c r="C436" s="60">
        <v>4.2440000000000002E-4</v>
      </c>
      <c r="E436" s="62">
        <v>102826.98159292455</v>
      </c>
      <c r="F436" s="62">
        <v>253901.04835126482</v>
      </c>
      <c r="G436" s="62">
        <v>142986.04480962968</v>
      </c>
      <c r="H436" s="62">
        <v>-20497.980719999956</v>
      </c>
      <c r="I436" s="62">
        <v>0</v>
      </c>
      <c r="J436" s="62"/>
      <c r="K436" s="62">
        <v>-2553.6148000000003</v>
      </c>
      <c r="L436" s="62">
        <v>5375.4504000000006</v>
      </c>
      <c r="M436" s="62">
        <v>9974.2488000000012</v>
      </c>
      <c r="N436" s="62">
        <v>6202.6060000000007</v>
      </c>
      <c r="O436" s="62">
        <v>0</v>
      </c>
      <c r="P436" s="62"/>
      <c r="Q436" s="62">
        <v>9343.1660000000011</v>
      </c>
      <c r="R436" s="62">
        <v>155007.856</v>
      </c>
      <c r="S436" s="62">
        <v>59314.9928</v>
      </c>
      <c r="T436" s="62">
        <v>-66242.049599999998</v>
      </c>
      <c r="U436" s="62">
        <v>0</v>
      </c>
      <c r="V436" s="62"/>
      <c r="W436" s="62">
        <v>27703.558800000003</v>
      </c>
      <c r="X436" s="62">
        <v>27703.558800000003</v>
      </c>
      <c r="Y436" s="62">
        <v>25466.546399999999</v>
      </c>
      <c r="Z436" s="62">
        <v>11721.928</v>
      </c>
      <c r="AA436" s="62">
        <v>0</v>
      </c>
      <c r="AB436" s="62"/>
      <c r="AC436" s="62">
        <v>68944.701592924554</v>
      </c>
      <c r="AD436" s="62">
        <v>65814.18315126482</v>
      </c>
      <c r="AE436" s="62">
        <v>48230.256809629675</v>
      </c>
      <c r="AF436" s="62">
        <v>27819.534880000043</v>
      </c>
      <c r="AG436" s="62">
        <v>0</v>
      </c>
      <c r="AH436" s="62"/>
      <c r="AI436" s="62">
        <v>-610.83000000000015</v>
      </c>
      <c r="AJ436" s="62">
        <v>0</v>
      </c>
      <c r="AK436" s="62">
        <v>0</v>
      </c>
      <c r="AL436" s="62">
        <v>0</v>
      </c>
      <c r="AM436" s="62">
        <v>0</v>
      </c>
    </row>
    <row r="437" spans="1:39">
      <c r="A437" s="9">
        <v>94437</v>
      </c>
      <c r="B437" s="10" t="s">
        <v>1812</v>
      </c>
      <c r="C437" s="60">
        <v>1.5299999999999999E-5</v>
      </c>
      <c r="E437" s="62">
        <v>6870.4266013684401</v>
      </c>
      <c r="F437" s="62">
        <v>10819.620320040638</v>
      </c>
      <c r="G437" s="62">
        <v>6135.1267795884769</v>
      </c>
      <c r="H437" s="62">
        <v>-258.54282000000057</v>
      </c>
      <c r="I437" s="62">
        <v>0</v>
      </c>
      <c r="J437" s="62"/>
      <c r="K437" s="62">
        <v>-92.060099999999991</v>
      </c>
      <c r="L437" s="62">
        <v>193.78979999999999</v>
      </c>
      <c r="M437" s="62">
        <v>359.5806</v>
      </c>
      <c r="N437" s="62">
        <v>223.6095</v>
      </c>
      <c r="O437" s="62">
        <v>0</v>
      </c>
      <c r="P437" s="62"/>
      <c r="Q437" s="62">
        <v>336.8295</v>
      </c>
      <c r="R437" s="62">
        <v>5588.1719999999996</v>
      </c>
      <c r="S437" s="62">
        <v>2138.3586</v>
      </c>
      <c r="T437" s="62">
        <v>-2388.0852</v>
      </c>
      <c r="U437" s="62">
        <v>0</v>
      </c>
      <c r="V437" s="62"/>
      <c r="W437" s="62">
        <v>998.73809999999992</v>
      </c>
      <c r="X437" s="62">
        <v>998.73809999999992</v>
      </c>
      <c r="Y437" s="62">
        <v>918.09179999999992</v>
      </c>
      <c r="Z437" s="62">
        <v>422.58599999999996</v>
      </c>
      <c r="AA437" s="62">
        <v>0</v>
      </c>
      <c r="AB437" s="62"/>
      <c r="AC437" s="62">
        <v>5626.9191013684404</v>
      </c>
      <c r="AD437" s="62">
        <v>4038.9204200406393</v>
      </c>
      <c r="AE437" s="62">
        <v>2719.0957795884769</v>
      </c>
      <c r="AF437" s="62">
        <v>1483.3468799999994</v>
      </c>
      <c r="AG437" s="62">
        <v>0</v>
      </c>
      <c r="AH437" s="62"/>
      <c r="AI437" s="62">
        <v>0</v>
      </c>
      <c r="AJ437" s="62">
        <v>0</v>
      </c>
      <c r="AK437" s="62">
        <v>0</v>
      </c>
      <c r="AL437" s="62">
        <v>0</v>
      </c>
      <c r="AM437" s="62">
        <v>0</v>
      </c>
    </row>
    <row r="438" spans="1:39">
      <c r="A438" s="9">
        <v>94501</v>
      </c>
      <c r="B438" s="10" t="s">
        <v>1813</v>
      </c>
      <c r="C438" s="60">
        <v>5.6991000000000003E-3</v>
      </c>
      <c r="E438" s="62">
        <v>562411.89023636689</v>
      </c>
      <c r="F438" s="62">
        <v>2560798.8215936287</v>
      </c>
      <c r="G438" s="62">
        <v>1274928.8074487245</v>
      </c>
      <c r="H438" s="62">
        <v>-651729.0462199999</v>
      </c>
      <c r="I438" s="62">
        <v>0</v>
      </c>
      <c r="J438" s="62"/>
      <c r="K438" s="62">
        <v>-34291.484700000001</v>
      </c>
      <c r="L438" s="62">
        <v>72184.800600000002</v>
      </c>
      <c r="M438" s="62">
        <v>133940.2482</v>
      </c>
      <c r="N438" s="62">
        <v>83292.3465</v>
      </c>
      <c r="O438" s="62">
        <v>0</v>
      </c>
      <c r="P438" s="62"/>
      <c r="Q438" s="62">
        <v>125465.68650000001</v>
      </c>
      <c r="R438" s="62">
        <v>2081539.2840000002</v>
      </c>
      <c r="S438" s="62">
        <v>796517.61420000007</v>
      </c>
      <c r="T438" s="62">
        <v>-889538.32440000004</v>
      </c>
      <c r="U438" s="62">
        <v>0</v>
      </c>
      <c r="V438" s="62"/>
      <c r="W438" s="62">
        <v>372020.1507</v>
      </c>
      <c r="X438" s="62">
        <v>372020.1507</v>
      </c>
      <c r="Y438" s="62">
        <v>341980.19460000005</v>
      </c>
      <c r="Z438" s="62">
        <v>157409.14200000002</v>
      </c>
      <c r="AA438" s="62">
        <v>0</v>
      </c>
      <c r="AB438" s="62"/>
      <c r="AC438" s="62">
        <v>102109.74805636672</v>
      </c>
      <c r="AD438" s="62">
        <v>37946.79661362811</v>
      </c>
      <c r="AE438" s="62">
        <v>5382.9607687242169</v>
      </c>
      <c r="AF438" s="62">
        <v>0</v>
      </c>
      <c r="AG438" s="62">
        <v>0</v>
      </c>
      <c r="AH438" s="62"/>
      <c r="AI438" s="62">
        <v>-2892.210319999791</v>
      </c>
      <c r="AJ438" s="62">
        <v>-2892.210319999791</v>
      </c>
      <c r="AK438" s="62">
        <v>-2892.210319999791</v>
      </c>
      <c r="AL438" s="62">
        <v>-2892.210319999791</v>
      </c>
      <c r="AM438" s="62">
        <v>0</v>
      </c>
    </row>
    <row r="439" spans="1:39">
      <c r="A439" s="9">
        <v>94511</v>
      </c>
      <c r="B439" s="10" t="s">
        <v>1814</v>
      </c>
      <c r="C439" s="60">
        <v>1.8538999999999999E-3</v>
      </c>
      <c r="E439" s="62">
        <v>223545.47252930369</v>
      </c>
      <c r="F439" s="62">
        <v>876285.15208722895</v>
      </c>
      <c r="G439" s="62">
        <v>407346.83028444438</v>
      </c>
      <c r="H439" s="62">
        <v>-208125.9668600001</v>
      </c>
      <c r="I439" s="62">
        <v>0</v>
      </c>
      <c r="J439" s="62"/>
      <c r="K439" s="62">
        <v>-11154.916299999999</v>
      </c>
      <c r="L439" s="62">
        <v>23481.4974</v>
      </c>
      <c r="M439" s="62">
        <v>43570.357799999998</v>
      </c>
      <c r="N439" s="62">
        <v>27094.748499999998</v>
      </c>
      <c r="O439" s="62">
        <v>0</v>
      </c>
      <c r="P439" s="62"/>
      <c r="Q439" s="62">
        <v>40813.608499999995</v>
      </c>
      <c r="R439" s="62">
        <v>677118.43599999999</v>
      </c>
      <c r="S439" s="62">
        <v>259104.77179999999</v>
      </c>
      <c r="T439" s="62">
        <v>-289364.12760000001</v>
      </c>
      <c r="U439" s="62">
        <v>0</v>
      </c>
      <c r="V439" s="62"/>
      <c r="W439" s="62">
        <v>121017.0303</v>
      </c>
      <c r="X439" s="62">
        <v>121017.0303</v>
      </c>
      <c r="Y439" s="62">
        <v>111245.1234</v>
      </c>
      <c r="Z439" s="62">
        <v>51204.718000000001</v>
      </c>
      <c r="AA439" s="62">
        <v>0</v>
      </c>
      <c r="AB439" s="62"/>
      <c r="AC439" s="62">
        <v>83930.351140414772</v>
      </c>
      <c r="AD439" s="62">
        <v>65728.78949834012</v>
      </c>
      <c r="AE439" s="62">
        <v>2938.6942399999116</v>
      </c>
      <c r="AF439" s="62">
        <v>2938.6942399999116</v>
      </c>
      <c r="AG439" s="62">
        <v>0</v>
      </c>
      <c r="AH439" s="62"/>
      <c r="AI439" s="62">
        <v>-11060.60111111108</v>
      </c>
      <c r="AJ439" s="62">
        <v>-11060.60111111108</v>
      </c>
      <c r="AK439" s="62">
        <v>-9512.1169555555316</v>
      </c>
      <c r="AL439" s="62">
        <v>0</v>
      </c>
      <c r="AM439" s="62">
        <v>0</v>
      </c>
    </row>
    <row r="440" spans="1:39">
      <c r="A440" s="9">
        <v>94512</v>
      </c>
      <c r="B440" s="10" t="s">
        <v>1815</v>
      </c>
      <c r="C440" s="60">
        <v>0</v>
      </c>
      <c r="E440" s="62">
        <v>-78656.820124481339</v>
      </c>
      <c r="F440" s="62">
        <v>-59922.475902074715</v>
      </c>
      <c r="G440" s="62">
        <v>0</v>
      </c>
      <c r="H440" s="62">
        <v>0</v>
      </c>
      <c r="I440" s="62">
        <v>0</v>
      </c>
      <c r="J440" s="62"/>
      <c r="K440" s="62">
        <v>0</v>
      </c>
      <c r="L440" s="62">
        <v>0</v>
      </c>
      <c r="M440" s="62">
        <v>0</v>
      </c>
      <c r="N440" s="62">
        <v>0</v>
      </c>
      <c r="O440" s="62">
        <v>0</v>
      </c>
      <c r="P440" s="62"/>
      <c r="Q440" s="62">
        <v>0</v>
      </c>
      <c r="R440" s="62">
        <v>0</v>
      </c>
      <c r="S440" s="62">
        <v>0</v>
      </c>
      <c r="T440" s="62">
        <v>0</v>
      </c>
      <c r="U440" s="62">
        <v>0</v>
      </c>
      <c r="V440" s="62"/>
      <c r="W440" s="62">
        <v>0</v>
      </c>
      <c r="X440" s="62">
        <v>0</v>
      </c>
      <c r="Y440" s="62">
        <v>0</v>
      </c>
      <c r="Z440" s="62">
        <v>0</v>
      </c>
      <c r="AA440" s="62">
        <v>0</v>
      </c>
      <c r="AB440" s="62"/>
      <c r="AC440" s="62">
        <v>0</v>
      </c>
      <c r="AD440" s="62">
        <v>0</v>
      </c>
      <c r="AE440" s="62">
        <v>0</v>
      </c>
      <c r="AF440" s="62">
        <v>0</v>
      </c>
      <c r="AG440" s="62">
        <v>0</v>
      </c>
      <c r="AH440" s="62"/>
      <c r="AI440" s="62">
        <v>-78656.820124481339</v>
      </c>
      <c r="AJ440" s="62">
        <v>-59922.475902074715</v>
      </c>
      <c r="AK440" s="62">
        <v>0</v>
      </c>
      <c r="AL440" s="62">
        <v>0</v>
      </c>
      <c r="AM440" s="62">
        <v>0</v>
      </c>
    </row>
    <row r="441" spans="1:39">
      <c r="A441" s="9">
        <v>94517</v>
      </c>
      <c r="B441" s="10" t="s">
        <v>1816</v>
      </c>
      <c r="C441" s="60">
        <v>4.7599999999999998E-5</v>
      </c>
      <c r="E441" s="62">
        <v>12852.524627415944</v>
      </c>
      <c r="F441" s="62">
        <v>26071.037072229221</v>
      </c>
      <c r="G441" s="62">
        <v>13725.772294485596</v>
      </c>
      <c r="H441" s="62">
        <v>-3775.0116799999996</v>
      </c>
      <c r="I441" s="62">
        <v>0</v>
      </c>
      <c r="J441" s="62"/>
      <c r="K441" s="62">
        <v>-286.4092</v>
      </c>
      <c r="L441" s="62">
        <v>602.90160000000003</v>
      </c>
      <c r="M441" s="62">
        <v>1118.6951999999999</v>
      </c>
      <c r="N441" s="62">
        <v>695.67399999999998</v>
      </c>
      <c r="O441" s="62">
        <v>0</v>
      </c>
      <c r="P441" s="62"/>
      <c r="Q441" s="62">
        <v>1047.914</v>
      </c>
      <c r="R441" s="62">
        <v>17385.423999999999</v>
      </c>
      <c r="S441" s="62">
        <v>6652.6711999999998</v>
      </c>
      <c r="T441" s="62">
        <v>-7429.5983999999999</v>
      </c>
      <c r="U441" s="62">
        <v>0</v>
      </c>
      <c r="V441" s="62"/>
      <c r="W441" s="62">
        <v>3107.1851999999999</v>
      </c>
      <c r="X441" s="62">
        <v>3107.1851999999999</v>
      </c>
      <c r="Y441" s="62">
        <v>2856.2855999999997</v>
      </c>
      <c r="Z441" s="62">
        <v>1314.712</v>
      </c>
      <c r="AA441" s="62">
        <v>0</v>
      </c>
      <c r="AB441" s="62"/>
      <c r="AC441" s="62">
        <v>8983.8346274159449</v>
      </c>
      <c r="AD441" s="62">
        <v>4975.5262722292227</v>
      </c>
      <c r="AE441" s="62">
        <v>3098.1202944855968</v>
      </c>
      <c r="AF441" s="62">
        <v>1644.2007200000007</v>
      </c>
      <c r="AG441" s="62">
        <v>0</v>
      </c>
      <c r="AH441" s="62"/>
      <c r="AI441" s="62">
        <v>0</v>
      </c>
      <c r="AJ441" s="62">
        <v>0</v>
      </c>
      <c r="AK441" s="62">
        <v>0</v>
      </c>
      <c r="AL441" s="62">
        <v>0</v>
      </c>
      <c r="AM441" s="62">
        <v>0</v>
      </c>
    </row>
    <row r="442" spans="1:39">
      <c r="A442" s="9">
        <v>94521</v>
      </c>
      <c r="B442" s="10" t="s">
        <v>1817</v>
      </c>
      <c r="C442" s="60">
        <v>1.517E-4</v>
      </c>
      <c r="E442" s="62">
        <v>12750.25934663627</v>
      </c>
      <c r="F442" s="62">
        <v>66563.670935101007</v>
      </c>
      <c r="G442" s="62">
        <v>32658.842258683126</v>
      </c>
      <c r="H442" s="62">
        <v>-14315.510180000008</v>
      </c>
      <c r="I442" s="62">
        <v>0</v>
      </c>
      <c r="J442" s="62"/>
      <c r="K442" s="62">
        <v>-912.77890000000002</v>
      </c>
      <c r="L442" s="62">
        <v>1921.4322</v>
      </c>
      <c r="M442" s="62">
        <v>3565.2534000000001</v>
      </c>
      <c r="N442" s="62">
        <v>2217.0954999999999</v>
      </c>
      <c r="O442" s="62">
        <v>0</v>
      </c>
      <c r="P442" s="62"/>
      <c r="Q442" s="62">
        <v>3339.6754999999998</v>
      </c>
      <c r="R442" s="62">
        <v>55406.908000000003</v>
      </c>
      <c r="S442" s="62">
        <v>21201.895400000001</v>
      </c>
      <c r="T442" s="62">
        <v>-23677.942800000001</v>
      </c>
      <c r="U442" s="62">
        <v>0</v>
      </c>
      <c r="V442" s="62"/>
      <c r="W442" s="62">
        <v>9902.5208999999995</v>
      </c>
      <c r="X442" s="62">
        <v>9902.5208999999995</v>
      </c>
      <c r="Y442" s="62">
        <v>9102.9102000000003</v>
      </c>
      <c r="Z442" s="62">
        <v>4189.9539999999997</v>
      </c>
      <c r="AA442" s="62">
        <v>0</v>
      </c>
      <c r="AB442" s="62"/>
      <c r="AC442" s="62">
        <v>5265.7254063070523</v>
      </c>
      <c r="AD442" s="62">
        <v>4177.6933947717826</v>
      </c>
      <c r="AE442" s="62">
        <v>2955.3831199999959</v>
      </c>
      <c r="AF442" s="62">
        <v>2955.3831199999959</v>
      </c>
      <c r="AG442" s="62">
        <v>0</v>
      </c>
      <c r="AH442" s="62"/>
      <c r="AI442" s="62">
        <v>-4844.8835596707822</v>
      </c>
      <c r="AJ442" s="62">
        <v>-4844.8835596707822</v>
      </c>
      <c r="AK442" s="62">
        <v>-4166.599861316874</v>
      </c>
      <c r="AL442" s="62">
        <v>0</v>
      </c>
      <c r="AM442" s="62">
        <v>0</v>
      </c>
    </row>
    <row r="443" spans="1:39">
      <c r="A443" s="9">
        <v>94527</v>
      </c>
      <c r="B443" s="10" t="s">
        <v>1818</v>
      </c>
      <c r="C443" s="60">
        <v>5.4E-6</v>
      </c>
      <c r="E443" s="62">
        <v>-514.15150287314509</v>
      </c>
      <c r="F443" s="62">
        <v>1438.4145925625398</v>
      </c>
      <c r="G443" s="62">
        <v>239.08273514403254</v>
      </c>
      <c r="H443" s="62">
        <v>-801.82012000000009</v>
      </c>
      <c r="I443" s="62">
        <v>0</v>
      </c>
      <c r="J443" s="62"/>
      <c r="K443" s="62">
        <v>-32.491799999999998</v>
      </c>
      <c r="L443" s="62">
        <v>68.3964</v>
      </c>
      <c r="M443" s="62">
        <v>126.91079999999999</v>
      </c>
      <c r="N443" s="62">
        <v>78.921000000000006</v>
      </c>
      <c r="O443" s="62">
        <v>0</v>
      </c>
      <c r="P443" s="62"/>
      <c r="Q443" s="62">
        <v>118.881</v>
      </c>
      <c r="R443" s="62">
        <v>1972.296</v>
      </c>
      <c r="S443" s="62">
        <v>754.71479999999997</v>
      </c>
      <c r="T443" s="62">
        <v>-842.85360000000003</v>
      </c>
      <c r="U443" s="62">
        <v>0</v>
      </c>
      <c r="V443" s="62"/>
      <c r="W443" s="62">
        <v>352.49579999999997</v>
      </c>
      <c r="X443" s="62">
        <v>352.49579999999997</v>
      </c>
      <c r="Y443" s="62">
        <v>324.0324</v>
      </c>
      <c r="Z443" s="62">
        <v>149.148</v>
      </c>
      <c r="AA443" s="62">
        <v>0</v>
      </c>
      <c r="AB443" s="62"/>
      <c r="AC443" s="62">
        <v>169.15058091286318</v>
      </c>
      <c r="AD443" s="62">
        <v>138.70347634854787</v>
      </c>
      <c r="AE443" s="62">
        <v>0</v>
      </c>
      <c r="AF443" s="62">
        <v>0</v>
      </c>
      <c r="AG443" s="62">
        <v>0</v>
      </c>
      <c r="AH443" s="62"/>
      <c r="AI443" s="62">
        <v>-1122.1870837860083</v>
      </c>
      <c r="AJ443" s="62">
        <v>-1093.4770837860083</v>
      </c>
      <c r="AK443" s="62">
        <v>-966.57526485596736</v>
      </c>
      <c r="AL443" s="62">
        <v>-187.03552000000008</v>
      </c>
      <c r="AM443" s="62">
        <v>0</v>
      </c>
    </row>
    <row r="444" spans="1:39">
      <c r="A444" s="9">
        <v>94531</v>
      </c>
      <c r="B444" s="10" t="s">
        <v>1819</v>
      </c>
      <c r="C444" s="60">
        <v>1.5E-5</v>
      </c>
      <c r="E444" s="62">
        <v>3893.2540776394653</v>
      </c>
      <c r="F444" s="62">
        <v>8495.5747116643615</v>
      </c>
      <c r="G444" s="62">
        <v>4673.9895222222221</v>
      </c>
      <c r="H444" s="62">
        <v>-889.62740000000031</v>
      </c>
      <c r="I444" s="62">
        <v>0</v>
      </c>
      <c r="J444" s="62"/>
      <c r="K444" s="62">
        <v>-90.254999999999995</v>
      </c>
      <c r="L444" s="62">
        <v>189.99</v>
      </c>
      <c r="M444" s="62">
        <v>352.53000000000003</v>
      </c>
      <c r="N444" s="62">
        <v>219.22499999999999</v>
      </c>
      <c r="O444" s="62">
        <v>0</v>
      </c>
      <c r="P444" s="62"/>
      <c r="Q444" s="62">
        <v>330.22500000000002</v>
      </c>
      <c r="R444" s="62">
        <v>5478.6</v>
      </c>
      <c r="S444" s="62">
        <v>2096.4299999999998</v>
      </c>
      <c r="T444" s="62">
        <v>-2341.2600000000002</v>
      </c>
      <c r="U444" s="62">
        <v>0</v>
      </c>
      <c r="V444" s="62"/>
      <c r="W444" s="62">
        <v>979.15499999999997</v>
      </c>
      <c r="X444" s="62">
        <v>979.15499999999997</v>
      </c>
      <c r="Y444" s="62">
        <v>900.09</v>
      </c>
      <c r="Z444" s="62">
        <v>414.3</v>
      </c>
      <c r="AA444" s="62">
        <v>0</v>
      </c>
      <c r="AB444" s="62"/>
      <c r="AC444" s="62">
        <v>2674.1290776394653</v>
      </c>
      <c r="AD444" s="62">
        <v>1847.8297116643616</v>
      </c>
      <c r="AE444" s="62">
        <v>1324.939522222222</v>
      </c>
      <c r="AF444" s="62">
        <v>818.10760000000005</v>
      </c>
      <c r="AG444" s="62">
        <v>0</v>
      </c>
      <c r="AH444" s="62"/>
      <c r="AI444" s="62">
        <v>0</v>
      </c>
      <c r="AJ444" s="62">
        <v>0</v>
      </c>
      <c r="AK444" s="62">
        <v>0</v>
      </c>
      <c r="AL444" s="62">
        <v>0</v>
      </c>
      <c r="AM444" s="62">
        <v>0</v>
      </c>
    </row>
    <row r="445" spans="1:39">
      <c r="A445" s="9">
        <v>94532</v>
      </c>
      <c r="B445" s="10" t="s">
        <v>1820</v>
      </c>
      <c r="C445" s="60">
        <v>8.7800000000000006E-5</v>
      </c>
      <c r="E445" s="62">
        <v>1639.9437295999114</v>
      </c>
      <c r="F445" s="62">
        <v>36305.642597649705</v>
      </c>
      <c r="G445" s="62">
        <v>17452.205447160486</v>
      </c>
      <c r="H445" s="62">
        <v>-10110.579080000003</v>
      </c>
      <c r="I445" s="62">
        <v>0</v>
      </c>
      <c r="J445" s="62"/>
      <c r="K445" s="62">
        <v>-528.29259999999999</v>
      </c>
      <c r="L445" s="62">
        <v>1112.0748000000001</v>
      </c>
      <c r="M445" s="62">
        <v>2063.4756000000002</v>
      </c>
      <c r="N445" s="62">
        <v>1283.1970000000001</v>
      </c>
      <c r="O445" s="62">
        <v>0</v>
      </c>
      <c r="P445" s="62"/>
      <c r="Q445" s="62">
        <v>1932.9170000000001</v>
      </c>
      <c r="R445" s="62">
        <v>32068.072000000004</v>
      </c>
      <c r="S445" s="62">
        <v>12271.1036</v>
      </c>
      <c r="T445" s="62">
        <v>-13704.175200000001</v>
      </c>
      <c r="U445" s="62">
        <v>0</v>
      </c>
      <c r="V445" s="62"/>
      <c r="W445" s="62">
        <v>5731.3206</v>
      </c>
      <c r="X445" s="62">
        <v>5731.3206</v>
      </c>
      <c r="Y445" s="62">
        <v>5268.5268000000005</v>
      </c>
      <c r="Z445" s="62">
        <v>2425.0360000000001</v>
      </c>
      <c r="AA445" s="62">
        <v>0</v>
      </c>
      <c r="AB445" s="62"/>
      <c r="AC445" s="62">
        <v>0</v>
      </c>
      <c r="AD445" s="62">
        <v>0</v>
      </c>
      <c r="AE445" s="62">
        <v>0</v>
      </c>
      <c r="AF445" s="62">
        <v>0</v>
      </c>
      <c r="AG445" s="62">
        <v>0</v>
      </c>
      <c r="AH445" s="62"/>
      <c r="AI445" s="62">
        <v>-5496.0012704000883</v>
      </c>
      <c r="AJ445" s="62">
        <v>-2605.8248023502947</v>
      </c>
      <c r="AK445" s="62">
        <v>-2150.9005528395119</v>
      </c>
      <c r="AL445" s="62">
        <v>-114.63688000000104</v>
      </c>
      <c r="AM445" s="62">
        <v>0</v>
      </c>
    </row>
    <row r="446" spans="1:39">
      <c r="A446" s="9">
        <v>94541</v>
      </c>
      <c r="B446" s="10" t="s">
        <v>1821</v>
      </c>
      <c r="C446" s="60">
        <v>2.9300000000000002E-4</v>
      </c>
      <c r="E446" s="62">
        <v>13192.589419282484</v>
      </c>
      <c r="F446" s="62">
        <v>120536.8304251746</v>
      </c>
      <c r="G446" s="62">
        <v>60674.295614156385</v>
      </c>
      <c r="H446" s="62">
        <v>-36290.800119999985</v>
      </c>
      <c r="I446" s="62">
        <v>0</v>
      </c>
      <c r="J446" s="62"/>
      <c r="K446" s="62">
        <v>-1762.9810000000002</v>
      </c>
      <c r="L446" s="62">
        <v>3711.1380000000004</v>
      </c>
      <c r="M446" s="62">
        <v>6886.0860000000002</v>
      </c>
      <c r="N446" s="62">
        <v>4282.1950000000006</v>
      </c>
      <c r="O446" s="62">
        <v>0</v>
      </c>
      <c r="P446" s="62"/>
      <c r="Q446" s="62">
        <v>6450.3950000000004</v>
      </c>
      <c r="R446" s="62">
        <v>107015.32</v>
      </c>
      <c r="S446" s="62">
        <v>40950.266000000003</v>
      </c>
      <c r="T446" s="62">
        <v>-45732.612000000001</v>
      </c>
      <c r="U446" s="62">
        <v>0</v>
      </c>
      <c r="V446" s="62"/>
      <c r="W446" s="62">
        <v>19126.161</v>
      </c>
      <c r="X446" s="62">
        <v>19126.161</v>
      </c>
      <c r="Y446" s="62">
        <v>17581.758000000002</v>
      </c>
      <c r="Z446" s="62">
        <v>8092.6600000000008</v>
      </c>
      <c r="AA446" s="62">
        <v>0</v>
      </c>
      <c r="AB446" s="62"/>
      <c r="AC446" s="62">
        <v>0</v>
      </c>
      <c r="AD446" s="62">
        <v>0</v>
      </c>
      <c r="AE446" s="62">
        <v>0</v>
      </c>
      <c r="AF446" s="62">
        <v>0</v>
      </c>
      <c r="AG446" s="62">
        <v>0</v>
      </c>
      <c r="AH446" s="62"/>
      <c r="AI446" s="62">
        <v>-10620.985580717517</v>
      </c>
      <c r="AJ446" s="62">
        <v>-9315.7885748254048</v>
      </c>
      <c r="AK446" s="62">
        <v>-4743.8143858436224</v>
      </c>
      <c r="AL446" s="62">
        <v>-2933.0431199999903</v>
      </c>
      <c r="AM446" s="62">
        <v>0</v>
      </c>
    </row>
    <row r="447" spans="1:39">
      <c r="A447" s="9">
        <v>94547</v>
      </c>
      <c r="B447" s="10" t="s">
        <v>1822</v>
      </c>
      <c r="C447" s="60">
        <v>1.08E-5</v>
      </c>
      <c r="E447" s="62">
        <v>1877.6376792486717</v>
      </c>
      <c r="F447" s="62">
        <v>5682.2685356802067</v>
      </c>
      <c r="G447" s="62">
        <v>3024.2843178600815</v>
      </c>
      <c r="H447" s="62">
        <v>-885.51952000000074</v>
      </c>
      <c r="I447" s="62">
        <v>0</v>
      </c>
      <c r="J447" s="62"/>
      <c r="K447" s="62">
        <v>-64.983599999999996</v>
      </c>
      <c r="L447" s="62">
        <v>136.7928</v>
      </c>
      <c r="M447" s="62">
        <v>253.82159999999999</v>
      </c>
      <c r="N447" s="62">
        <v>157.84200000000001</v>
      </c>
      <c r="O447" s="62">
        <v>0</v>
      </c>
      <c r="P447" s="62"/>
      <c r="Q447" s="62">
        <v>237.762</v>
      </c>
      <c r="R447" s="62">
        <v>3944.5920000000001</v>
      </c>
      <c r="S447" s="62">
        <v>1509.4295999999999</v>
      </c>
      <c r="T447" s="62">
        <v>-1685.7072000000001</v>
      </c>
      <c r="U447" s="62">
        <v>0</v>
      </c>
      <c r="V447" s="62"/>
      <c r="W447" s="62">
        <v>704.99159999999995</v>
      </c>
      <c r="X447" s="62">
        <v>704.99159999999995</v>
      </c>
      <c r="Y447" s="62">
        <v>648.06479999999999</v>
      </c>
      <c r="Z447" s="62">
        <v>298.29599999999999</v>
      </c>
      <c r="AA447" s="62">
        <v>0</v>
      </c>
      <c r="AB447" s="62"/>
      <c r="AC447" s="62">
        <v>999.86767924867161</v>
      </c>
      <c r="AD447" s="62">
        <v>895.89213568020693</v>
      </c>
      <c r="AE447" s="62">
        <v>612.9683178600817</v>
      </c>
      <c r="AF447" s="62">
        <v>344.04967999999917</v>
      </c>
      <c r="AG447" s="62">
        <v>0</v>
      </c>
      <c r="AH447" s="62"/>
      <c r="AI447" s="62">
        <v>0</v>
      </c>
      <c r="AJ447" s="62">
        <v>0</v>
      </c>
      <c r="AK447" s="62">
        <v>0</v>
      </c>
      <c r="AL447" s="62">
        <v>0</v>
      </c>
      <c r="AM447" s="62">
        <v>0</v>
      </c>
    </row>
    <row r="448" spans="1:39">
      <c r="A448" s="9">
        <v>94551</v>
      </c>
      <c r="B448" s="10" t="s">
        <v>1823</v>
      </c>
      <c r="C448" s="60">
        <v>4.1900000000000002E-5</v>
      </c>
      <c r="E448" s="62">
        <v>7504.6244035643658</v>
      </c>
      <c r="F448" s="62">
        <v>21139.488888211668</v>
      </c>
      <c r="G448" s="62">
        <v>12241.644938024689</v>
      </c>
      <c r="H448" s="62">
        <v>-4302.0662200000006</v>
      </c>
      <c r="I448" s="62">
        <v>0</v>
      </c>
      <c r="J448" s="62"/>
      <c r="K448" s="62">
        <v>-252.1123</v>
      </c>
      <c r="L448" s="62">
        <v>530.70540000000005</v>
      </c>
      <c r="M448" s="62">
        <v>984.73380000000009</v>
      </c>
      <c r="N448" s="62">
        <v>612.36850000000004</v>
      </c>
      <c r="O448" s="62">
        <v>0</v>
      </c>
      <c r="P448" s="62"/>
      <c r="Q448" s="62">
        <v>922.4285000000001</v>
      </c>
      <c r="R448" s="62">
        <v>15303.556</v>
      </c>
      <c r="S448" s="62">
        <v>5856.0277999999998</v>
      </c>
      <c r="T448" s="62">
        <v>-6539.9196000000002</v>
      </c>
      <c r="U448" s="62">
        <v>0</v>
      </c>
      <c r="V448" s="62"/>
      <c r="W448" s="62">
        <v>2735.1062999999999</v>
      </c>
      <c r="X448" s="62">
        <v>2735.1062999999999</v>
      </c>
      <c r="Y448" s="62">
        <v>2514.2514000000001</v>
      </c>
      <c r="Z448" s="62">
        <v>1157.278</v>
      </c>
      <c r="AA448" s="62">
        <v>0</v>
      </c>
      <c r="AB448" s="62"/>
      <c r="AC448" s="62">
        <v>4965.3090404938257</v>
      </c>
      <c r="AD448" s="62">
        <v>3280.3290404938252</v>
      </c>
      <c r="AE448" s="62">
        <v>2886.6319380246905</v>
      </c>
      <c r="AF448" s="62">
        <v>468.2068799999995</v>
      </c>
      <c r="AG448" s="62">
        <v>0</v>
      </c>
      <c r="AH448" s="62"/>
      <c r="AI448" s="62">
        <v>-866.10713692945956</v>
      </c>
      <c r="AJ448" s="62">
        <v>-710.20785228215709</v>
      </c>
      <c r="AK448" s="62">
        <v>0</v>
      </c>
      <c r="AL448" s="62">
        <v>0</v>
      </c>
      <c r="AM448" s="62">
        <v>0</v>
      </c>
    </row>
    <row r="449" spans="1:39">
      <c r="A449" s="9">
        <v>94601</v>
      </c>
      <c r="B449" s="10" t="s">
        <v>1824</v>
      </c>
      <c r="C449" s="60">
        <v>1.0602999999999999E-3</v>
      </c>
      <c r="E449" s="62">
        <v>107802.89619254923</v>
      </c>
      <c r="F449" s="62">
        <v>490429.12470889773</v>
      </c>
      <c r="G449" s="62">
        <v>257027.50778872424</v>
      </c>
      <c r="H449" s="62">
        <v>-107859.48318000002</v>
      </c>
      <c r="I449" s="62">
        <v>0</v>
      </c>
      <c r="J449" s="62"/>
      <c r="K449" s="62">
        <v>-6379.8250999999991</v>
      </c>
      <c r="L449" s="62">
        <v>13429.7598</v>
      </c>
      <c r="M449" s="62">
        <v>24919.170599999998</v>
      </c>
      <c r="N449" s="62">
        <v>15496.284499999998</v>
      </c>
      <c r="O449" s="62">
        <v>0</v>
      </c>
      <c r="P449" s="62"/>
      <c r="Q449" s="62">
        <v>23342.504499999999</v>
      </c>
      <c r="R449" s="62">
        <v>387263.97199999995</v>
      </c>
      <c r="S449" s="62">
        <v>148189.64859999999</v>
      </c>
      <c r="T449" s="62">
        <v>-165495.8652</v>
      </c>
      <c r="U449" s="62">
        <v>0</v>
      </c>
      <c r="V449" s="62"/>
      <c r="W449" s="62">
        <v>69213.203099999999</v>
      </c>
      <c r="X449" s="62">
        <v>69213.203099999999</v>
      </c>
      <c r="Y449" s="62">
        <v>63624.361799999991</v>
      </c>
      <c r="Z449" s="62">
        <v>29285.485999999997</v>
      </c>
      <c r="AA449" s="62">
        <v>0</v>
      </c>
      <c r="AB449" s="62"/>
      <c r="AC449" s="62">
        <v>22826.103227818934</v>
      </c>
      <c r="AD449" s="62">
        <v>21505.443227818934</v>
      </c>
      <c r="AE449" s="62">
        <v>20294.326788724284</v>
      </c>
      <c r="AF449" s="62">
        <v>12854.611519999966</v>
      </c>
      <c r="AG449" s="62">
        <v>0</v>
      </c>
      <c r="AH449" s="62"/>
      <c r="AI449" s="62">
        <v>-1199.089535269708</v>
      </c>
      <c r="AJ449" s="62">
        <v>-983.25341892116091</v>
      </c>
      <c r="AK449" s="62">
        <v>0</v>
      </c>
      <c r="AL449" s="62">
        <v>0</v>
      </c>
      <c r="AM449" s="62">
        <v>0</v>
      </c>
    </row>
    <row r="450" spans="1:39">
      <c r="A450" s="9">
        <v>94604</v>
      </c>
      <c r="B450" s="10" t="s">
        <v>1825</v>
      </c>
      <c r="C450" s="60">
        <v>2.62E-5</v>
      </c>
      <c r="E450" s="62">
        <v>2826.9587014053241</v>
      </c>
      <c r="F450" s="62">
        <v>12320.265797670887</v>
      </c>
      <c r="G450" s="62">
        <v>6462.3999773662572</v>
      </c>
      <c r="H450" s="62">
        <v>-2557.1229999999991</v>
      </c>
      <c r="I450" s="62">
        <v>0</v>
      </c>
      <c r="J450" s="62"/>
      <c r="K450" s="62">
        <v>-157.6454</v>
      </c>
      <c r="L450" s="62">
        <v>331.8492</v>
      </c>
      <c r="M450" s="62">
        <v>615.75239999999997</v>
      </c>
      <c r="N450" s="62">
        <v>382.91300000000001</v>
      </c>
      <c r="O450" s="62">
        <v>0</v>
      </c>
      <c r="P450" s="62"/>
      <c r="Q450" s="62">
        <v>576.79300000000001</v>
      </c>
      <c r="R450" s="62">
        <v>9569.2880000000005</v>
      </c>
      <c r="S450" s="62">
        <v>3661.7644</v>
      </c>
      <c r="T450" s="62">
        <v>-4089.4007999999999</v>
      </c>
      <c r="U450" s="62">
        <v>0</v>
      </c>
      <c r="V450" s="62"/>
      <c r="W450" s="62">
        <v>1710.2574</v>
      </c>
      <c r="X450" s="62">
        <v>1710.2574</v>
      </c>
      <c r="Y450" s="62">
        <v>1572.1572000000001</v>
      </c>
      <c r="Z450" s="62">
        <v>723.64400000000001</v>
      </c>
      <c r="AA450" s="62">
        <v>0</v>
      </c>
      <c r="AB450" s="62"/>
      <c r="AC450" s="62">
        <v>723.29370140532433</v>
      </c>
      <c r="AD450" s="62">
        <v>708.87119767088461</v>
      </c>
      <c r="AE450" s="62">
        <v>612.72597736625596</v>
      </c>
      <c r="AF450" s="62">
        <v>425.72080000000062</v>
      </c>
      <c r="AG450" s="62">
        <v>0</v>
      </c>
      <c r="AH450" s="62"/>
      <c r="AI450" s="62">
        <v>-25.740000000000006</v>
      </c>
      <c r="AJ450" s="62">
        <v>0</v>
      </c>
      <c r="AK450" s="62">
        <v>0</v>
      </c>
      <c r="AL450" s="62">
        <v>0</v>
      </c>
      <c r="AM450" s="62">
        <v>0</v>
      </c>
    </row>
    <row r="451" spans="1:39">
      <c r="A451" s="9">
        <v>94606</v>
      </c>
      <c r="B451" s="10" t="s">
        <v>1826</v>
      </c>
      <c r="C451" s="60">
        <v>2.3550000000000001E-4</v>
      </c>
      <c r="E451" s="62">
        <v>-4939.0181426467425</v>
      </c>
      <c r="F451" s="62">
        <v>90196.690165237073</v>
      </c>
      <c r="G451" s="62">
        <v>43861.353784279818</v>
      </c>
      <c r="H451" s="62">
        <v>-31543.170140000009</v>
      </c>
      <c r="I451" s="62">
        <v>0</v>
      </c>
      <c r="J451" s="62"/>
      <c r="K451" s="62">
        <v>-1417.0035</v>
      </c>
      <c r="L451" s="62">
        <v>2982.8429999999998</v>
      </c>
      <c r="M451" s="62">
        <v>5534.7210000000005</v>
      </c>
      <c r="N451" s="62">
        <v>3441.8325</v>
      </c>
      <c r="O451" s="62">
        <v>0</v>
      </c>
      <c r="P451" s="62"/>
      <c r="Q451" s="62">
        <v>5184.5325000000003</v>
      </c>
      <c r="R451" s="62">
        <v>86014.02</v>
      </c>
      <c r="S451" s="62">
        <v>32913.951000000001</v>
      </c>
      <c r="T451" s="62">
        <v>-36757.781999999999</v>
      </c>
      <c r="U451" s="62">
        <v>0</v>
      </c>
      <c r="V451" s="62"/>
      <c r="W451" s="62">
        <v>15372.7335</v>
      </c>
      <c r="X451" s="62">
        <v>15372.7335</v>
      </c>
      <c r="Y451" s="62">
        <v>14131.413</v>
      </c>
      <c r="Z451" s="62">
        <v>6504.51</v>
      </c>
      <c r="AA451" s="62">
        <v>0</v>
      </c>
      <c r="AB451" s="62"/>
      <c r="AC451" s="62">
        <v>0</v>
      </c>
      <c r="AD451" s="62">
        <v>0</v>
      </c>
      <c r="AE451" s="62">
        <v>0</v>
      </c>
      <c r="AF451" s="62">
        <v>0</v>
      </c>
      <c r="AG451" s="62">
        <v>0</v>
      </c>
      <c r="AH451" s="62"/>
      <c r="AI451" s="62">
        <v>-24079.280642646743</v>
      </c>
      <c r="AJ451" s="62">
        <v>-14172.906334762927</v>
      </c>
      <c r="AK451" s="62">
        <v>-8718.7312157201795</v>
      </c>
      <c r="AL451" s="62">
        <v>-4731.7306400000089</v>
      </c>
      <c r="AM451" s="62">
        <v>0</v>
      </c>
    </row>
    <row r="452" spans="1:39">
      <c r="A452" s="9">
        <v>94611</v>
      </c>
      <c r="B452" s="10" t="s">
        <v>1827</v>
      </c>
      <c r="C452" s="60">
        <v>3.6850000000000001E-4</v>
      </c>
      <c r="E452" s="62">
        <v>20651.823476387828</v>
      </c>
      <c r="F452" s="62">
        <v>156215.3157207862</v>
      </c>
      <c r="G452" s="62">
        <v>74057.231918930047</v>
      </c>
      <c r="H452" s="62">
        <v>-50198.526099999995</v>
      </c>
      <c r="I452" s="62">
        <v>0</v>
      </c>
      <c r="J452" s="62"/>
      <c r="K452" s="62">
        <v>-2217.2645000000002</v>
      </c>
      <c r="L452" s="62">
        <v>4667.4210000000003</v>
      </c>
      <c r="M452" s="62">
        <v>8660.487000000001</v>
      </c>
      <c r="N452" s="62">
        <v>5385.6275000000005</v>
      </c>
      <c r="O452" s="62">
        <v>0</v>
      </c>
      <c r="P452" s="62"/>
      <c r="Q452" s="62">
        <v>8112.5275000000001</v>
      </c>
      <c r="R452" s="62">
        <v>134590.94</v>
      </c>
      <c r="S452" s="62">
        <v>51502.296999999999</v>
      </c>
      <c r="T452" s="62">
        <v>-57516.954000000005</v>
      </c>
      <c r="U452" s="62">
        <v>0</v>
      </c>
      <c r="V452" s="62"/>
      <c r="W452" s="62">
        <v>24054.574500000002</v>
      </c>
      <c r="X452" s="62">
        <v>24054.574500000002</v>
      </c>
      <c r="Y452" s="62">
        <v>22112.210999999999</v>
      </c>
      <c r="Z452" s="62">
        <v>10177.970000000001</v>
      </c>
      <c r="AA452" s="62">
        <v>0</v>
      </c>
      <c r="AB452" s="62"/>
      <c r="AC452" s="62">
        <v>1392.455576387822</v>
      </c>
      <c r="AD452" s="62">
        <v>1147.5498207861626</v>
      </c>
      <c r="AE452" s="62">
        <v>27.406518930041265</v>
      </c>
      <c r="AF452" s="62">
        <v>0</v>
      </c>
      <c r="AG452" s="62">
        <v>0</v>
      </c>
      <c r="AH452" s="62"/>
      <c r="AI452" s="62">
        <v>-10690.469599999995</v>
      </c>
      <c r="AJ452" s="62">
        <v>-8245.1695999999938</v>
      </c>
      <c r="AK452" s="62">
        <v>-8245.1695999999938</v>
      </c>
      <c r="AL452" s="62">
        <v>-8245.1695999999938</v>
      </c>
      <c r="AM452" s="62">
        <v>0</v>
      </c>
    </row>
    <row r="453" spans="1:39">
      <c r="A453" s="9">
        <v>94621</v>
      </c>
      <c r="B453" s="10" t="s">
        <v>1828</v>
      </c>
      <c r="C453" s="60">
        <v>9.7600000000000001E-5</v>
      </c>
      <c r="E453" s="62">
        <v>6577.5752329101906</v>
      </c>
      <c r="F453" s="62">
        <v>36373.425279964125</v>
      </c>
      <c r="G453" s="62">
        <v>19842.73122271604</v>
      </c>
      <c r="H453" s="62">
        <v>-12396.754560000007</v>
      </c>
      <c r="I453" s="62">
        <v>0</v>
      </c>
      <c r="J453" s="62"/>
      <c r="K453" s="62">
        <v>-587.25919999999996</v>
      </c>
      <c r="L453" s="62">
        <v>1236.2016000000001</v>
      </c>
      <c r="M453" s="62">
        <v>2293.7952</v>
      </c>
      <c r="N453" s="62">
        <v>1426.424</v>
      </c>
      <c r="O453" s="62">
        <v>0</v>
      </c>
      <c r="P453" s="62"/>
      <c r="Q453" s="62">
        <v>2148.6640000000002</v>
      </c>
      <c r="R453" s="62">
        <v>35647.423999999999</v>
      </c>
      <c r="S453" s="62">
        <v>13640.771199999999</v>
      </c>
      <c r="T453" s="62">
        <v>-15233.7984</v>
      </c>
      <c r="U453" s="62">
        <v>0</v>
      </c>
      <c r="V453" s="62"/>
      <c r="W453" s="62">
        <v>6371.0352000000003</v>
      </c>
      <c r="X453" s="62">
        <v>6371.0352000000003</v>
      </c>
      <c r="Y453" s="62">
        <v>5856.5856000000003</v>
      </c>
      <c r="Z453" s="62">
        <v>2695.712</v>
      </c>
      <c r="AA453" s="62">
        <v>0</v>
      </c>
      <c r="AB453" s="62"/>
      <c r="AC453" s="62">
        <v>6585.4800000000014</v>
      </c>
      <c r="AD453" s="62">
        <v>0</v>
      </c>
      <c r="AE453" s="62">
        <v>0</v>
      </c>
      <c r="AF453" s="62">
        <v>0</v>
      </c>
      <c r="AG453" s="62">
        <v>0</v>
      </c>
      <c r="AH453" s="62"/>
      <c r="AI453" s="62">
        <v>-7940.3447670898113</v>
      </c>
      <c r="AJ453" s="62">
        <v>-6881.2355200358725</v>
      </c>
      <c r="AK453" s="62">
        <v>-1948.4207772839618</v>
      </c>
      <c r="AL453" s="62">
        <v>-1285.0921600000056</v>
      </c>
      <c r="AM453" s="62">
        <v>0</v>
      </c>
    </row>
    <row r="454" spans="1:39">
      <c r="A454" s="9">
        <v>94631</v>
      </c>
      <c r="B454" s="10" t="s">
        <v>1829</v>
      </c>
      <c r="C454" s="60">
        <v>3.9100000000000002E-5</v>
      </c>
      <c r="E454" s="62">
        <v>5690.2754724856968</v>
      </c>
      <c r="F454" s="62">
        <v>19257.356087423454</v>
      </c>
      <c r="G454" s="62">
        <v>10073.971178106996</v>
      </c>
      <c r="H454" s="62">
        <v>-3668.3405400000001</v>
      </c>
      <c r="I454" s="62">
        <v>0</v>
      </c>
      <c r="J454" s="62"/>
      <c r="K454" s="62">
        <v>-235.2647</v>
      </c>
      <c r="L454" s="62">
        <v>495.24060000000003</v>
      </c>
      <c r="M454" s="62">
        <v>918.92820000000006</v>
      </c>
      <c r="N454" s="62">
        <v>571.44650000000001</v>
      </c>
      <c r="O454" s="62">
        <v>0</v>
      </c>
      <c r="P454" s="62"/>
      <c r="Q454" s="62">
        <v>860.78650000000005</v>
      </c>
      <c r="R454" s="62">
        <v>14280.884</v>
      </c>
      <c r="S454" s="62">
        <v>5464.6941999999999</v>
      </c>
      <c r="T454" s="62">
        <v>-6102.8843999999999</v>
      </c>
      <c r="U454" s="62">
        <v>0</v>
      </c>
      <c r="V454" s="62"/>
      <c r="W454" s="62">
        <v>2552.3307</v>
      </c>
      <c r="X454" s="62">
        <v>2552.3307</v>
      </c>
      <c r="Y454" s="62">
        <v>2346.2346000000002</v>
      </c>
      <c r="Z454" s="62">
        <v>1079.942</v>
      </c>
      <c r="AA454" s="62">
        <v>0</v>
      </c>
      <c r="AB454" s="62"/>
      <c r="AC454" s="62">
        <v>2512.4229724856968</v>
      </c>
      <c r="AD454" s="62">
        <v>1928.9007874234567</v>
      </c>
      <c r="AE454" s="62">
        <v>1344.114178106996</v>
      </c>
      <c r="AF454" s="62">
        <v>783.15535999999997</v>
      </c>
      <c r="AG454" s="62">
        <v>0</v>
      </c>
      <c r="AH454" s="62"/>
      <c r="AI454" s="62">
        <v>0</v>
      </c>
      <c r="AJ454" s="62">
        <v>0</v>
      </c>
      <c r="AK454" s="62">
        <v>0</v>
      </c>
      <c r="AL454" s="62">
        <v>0</v>
      </c>
      <c r="AM454" s="62">
        <v>0</v>
      </c>
    </row>
    <row r="455" spans="1:39">
      <c r="A455" s="9">
        <v>94641</v>
      </c>
      <c r="B455" s="10" t="s">
        <v>1830</v>
      </c>
      <c r="C455" s="60">
        <v>3.8999999999999999E-6</v>
      </c>
      <c r="E455" s="62">
        <v>2498.0690254601022</v>
      </c>
      <c r="F455" s="62">
        <v>3227.1097084476546</v>
      </c>
      <c r="G455" s="62">
        <v>1837.9659317695473</v>
      </c>
      <c r="H455" s="62">
        <v>64.639940000000081</v>
      </c>
      <c r="I455" s="62">
        <v>0</v>
      </c>
      <c r="J455" s="62"/>
      <c r="K455" s="62">
        <v>-23.4663</v>
      </c>
      <c r="L455" s="62">
        <v>49.397399999999998</v>
      </c>
      <c r="M455" s="62">
        <v>91.657799999999995</v>
      </c>
      <c r="N455" s="62">
        <v>56.9985</v>
      </c>
      <c r="O455" s="62">
        <v>0</v>
      </c>
      <c r="P455" s="62"/>
      <c r="Q455" s="62">
        <v>85.858499999999992</v>
      </c>
      <c r="R455" s="62">
        <v>1424.4359999999999</v>
      </c>
      <c r="S455" s="62">
        <v>545.07179999999994</v>
      </c>
      <c r="T455" s="62">
        <v>-608.72759999999994</v>
      </c>
      <c r="U455" s="62">
        <v>0</v>
      </c>
      <c r="V455" s="62"/>
      <c r="W455" s="62">
        <v>254.58029999999999</v>
      </c>
      <c r="X455" s="62">
        <v>254.58029999999999</v>
      </c>
      <c r="Y455" s="62">
        <v>234.02340000000001</v>
      </c>
      <c r="Z455" s="62">
        <v>107.718</v>
      </c>
      <c r="AA455" s="62">
        <v>0</v>
      </c>
      <c r="AB455" s="62"/>
      <c r="AC455" s="62">
        <v>2181.0965254601024</v>
      </c>
      <c r="AD455" s="62">
        <v>1498.6960084476545</v>
      </c>
      <c r="AE455" s="62">
        <v>967.21293176954748</v>
      </c>
      <c r="AF455" s="62">
        <v>508.65103999999997</v>
      </c>
      <c r="AG455" s="62">
        <v>0</v>
      </c>
      <c r="AH455" s="62"/>
      <c r="AI455" s="62">
        <v>0</v>
      </c>
      <c r="AJ455" s="62">
        <v>0</v>
      </c>
      <c r="AK455" s="62">
        <v>0</v>
      </c>
      <c r="AL455" s="62">
        <v>0</v>
      </c>
      <c r="AM455" s="62">
        <v>0</v>
      </c>
    </row>
    <row r="456" spans="1:39">
      <c r="A456" s="9">
        <v>94701</v>
      </c>
      <c r="B456" s="10" t="s">
        <v>1831</v>
      </c>
      <c r="C456" s="60">
        <v>2.5446000000000002E-3</v>
      </c>
      <c r="E456" s="62">
        <v>203957.70409734393</v>
      </c>
      <c r="F456" s="62">
        <v>1109335.1190208294</v>
      </c>
      <c r="G456" s="62">
        <v>538546.24079983542</v>
      </c>
      <c r="H456" s="62">
        <v>-296801.86787999986</v>
      </c>
      <c r="I456" s="62">
        <v>0</v>
      </c>
      <c r="J456" s="62"/>
      <c r="K456" s="62">
        <v>-15310.858200000001</v>
      </c>
      <c r="L456" s="62">
        <v>32229.903600000001</v>
      </c>
      <c r="M456" s="62">
        <v>59803.189200000001</v>
      </c>
      <c r="N456" s="62">
        <v>37189.329000000005</v>
      </c>
      <c r="O456" s="62">
        <v>0</v>
      </c>
      <c r="P456" s="62"/>
      <c r="Q456" s="62">
        <v>56019.369000000006</v>
      </c>
      <c r="R456" s="62">
        <v>929389.70400000003</v>
      </c>
      <c r="S456" s="62">
        <v>355638.38520000002</v>
      </c>
      <c r="T456" s="62">
        <v>-397171.34640000004</v>
      </c>
      <c r="U456" s="62">
        <v>0</v>
      </c>
      <c r="V456" s="62"/>
      <c r="W456" s="62">
        <v>166103.8542</v>
      </c>
      <c r="X456" s="62">
        <v>166103.8542</v>
      </c>
      <c r="Y456" s="62">
        <v>152691.26760000002</v>
      </c>
      <c r="Z456" s="62">
        <v>70281.851999999999</v>
      </c>
      <c r="AA456" s="62">
        <v>0</v>
      </c>
      <c r="AB456" s="62"/>
      <c r="AC456" s="62">
        <v>30392.272647302787</v>
      </c>
      <c r="AD456" s="62">
        <v>14858.590770788289</v>
      </c>
      <c r="AE456" s="62">
        <v>0</v>
      </c>
      <c r="AF456" s="62">
        <v>0</v>
      </c>
      <c r="AG456" s="62">
        <v>0</v>
      </c>
      <c r="AH456" s="62"/>
      <c r="AI456" s="62">
        <v>-33246.933549958841</v>
      </c>
      <c r="AJ456" s="62">
        <v>-33246.933549958841</v>
      </c>
      <c r="AK456" s="62">
        <v>-29586.601200164594</v>
      </c>
      <c r="AL456" s="62">
        <v>-7101.7024799998853</v>
      </c>
      <c r="AM456" s="62">
        <v>0</v>
      </c>
    </row>
    <row r="457" spans="1:39">
      <c r="A457" s="9">
        <v>94704</v>
      </c>
      <c r="B457" s="10" t="s">
        <v>1832</v>
      </c>
      <c r="C457" s="60">
        <v>9.5000000000000005E-6</v>
      </c>
      <c r="E457" s="62">
        <v>809.33014897016847</v>
      </c>
      <c r="F457" s="62">
        <v>4188.050599592576</v>
      </c>
      <c r="G457" s="62">
        <v>2092.9379236213986</v>
      </c>
      <c r="H457" s="62">
        <v>-1090.6122200000007</v>
      </c>
      <c r="I457" s="62">
        <v>0</v>
      </c>
      <c r="J457" s="62"/>
      <c r="K457" s="62">
        <v>-57.161500000000004</v>
      </c>
      <c r="L457" s="62">
        <v>120.32700000000001</v>
      </c>
      <c r="M457" s="62">
        <v>223.26900000000001</v>
      </c>
      <c r="N457" s="62">
        <v>138.8425</v>
      </c>
      <c r="O457" s="62">
        <v>0</v>
      </c>
      <c r="P457" s="62"/>
      <c r="Q457" s="62">
        <v>209.14250000000001</v>
      </c>
      <c r="R457" s="62">
        <v>3469.78</v>
      </c>
      <c r="S457" s="62">
        <v>1327.739</v>
      </c>
      <c r="T457" s="62">
        <v>-1482.798</v>
      </c>
      <c r="U457" s="62">
        <v>0</v>
      </c>
      <c r="V457" s="62"/>
      <c r="W457" s="62">
        <v>620.13150000000007</v>
      </c>
      <c r="X457" s="62">
        <v>620.13150000000007</v>
      </c>
      <c r="Y457" s="62">
        <v>570.05700000000002</v>
      </c>
      <c r="Z457" s="62">
        <v>262.39</v>
      </c>
      <c r="AA457" s="62">
        <v>0</v>
      </c>
      <c r="AB457" s="62"/>
      <c r="AC457" s="62">
        <v>68.450829875518878</v>
      </c>
      <c r="AD457" s="62">
        <v>9.0452804979254644</v>
      </c>
      <c r="AE457" s="62">
        <v>0</v>
      </c>
      <c r="AF457" s="62">
        <v>0</v>
      </c>
      <c r="AG457" s="62">
        <v>0</v>
      </c>
      <c r="AH457" s="62"/>
      <c r="AI457" s="62">
        <v>-31.233180905350508</v>
      </c>
      <c r="AJ457" s="62">
        <v>-31.233180905350508</v>
      </c>
      <c r="AK457" s="62">
        <v>-28.127076378601508</v>
      </c>
      <c r="AL457" s="62">
        <v>-9.0467200000004482</v>
      </c>
      <c r="AM457" s="62">
        <v>0</v>
      </c>
    </row>
    <row r="458" spans="1:39">
      <c r="A458" s="9">
        <v>94711</v>
      </c>
      <c r="B458" s="10" t="s">
        <v>1833</v>
      </c>
      <c r="C458" s="60">
        <v>3.3599999999999998E-4</v>
      </c>
      <c r="E458" s="62">
        <v>28496.409250205077</v>
      </c>
      <c r="F458" s="62">
        <v>151664.23377062002</v>
      </c>
      <c r="G458" s="62">
        <v>73812.333378847718</v>
      </c>
      <c r="H458" s="62">
        <v>-38569.290480000011</v>
      </c>
      <c r="I458" s="62">
        <v>0</v>
      </c>
      <c r="J458" s="62"/>
      <c r="K458" s="62">
        <v>-2021.712</v>
      </c>
      <c r="L458" s="62">
        <v>4255.7759999999998</v>
      </c>
      <c r="M458" s="62">
        <v>7896.6719999999996</v>
      </c>
      <c r="N458" s="62">
        <v>4910.6399999999994</v>
      </c>
      <c r="O458" s="62">
        <v>0</v>
      </c>
      <c r="P458" s="62"/>
      <c r="Q458" s="62">
        <v>7397.04</v>
      </c>
      <c r="R458" s="62">
        <v>122720.64</v>
      </c>
      <c r="S458" s="62">
        <v>46960.031999999999</v>
      </c>
      <c r="T458" s="62">
        <v>-52444.223999999995</v>
      </c>
      <c r="U458" s="62">
        <v>0</v>
      </c>
      <c r="V458" s="62"/>
      <c r="W458" s="62">
        <v>21933.072</v>
      </c>
      <c r="X458" s="62">
        <v>21933.072</v>
      </c>
      <c r="Y458" s="62">
        <v>20162.016</v>
      </c>
      <c r="Z458" s="62">
        <v>9280.32</v>
      </c>
      <c r="AA458" s="62">
        <v>0</v>
      </c>
      <c r="AB458" s="62"/>
      <c r="AC458" s="62">
        <v>5007.4082199170243</v>
      </c>
      <c r="AD458" s="62">
        <v>4106.074740331961</v>
      </c>
      <c r="AE458" s="62">
        <v>0</v>
      </c>
      <c r="AF458" s="62">
        <v>0</v>
      </c>
      <c r="AG458" s="62">
        <v>0</v>
      </c>
      <c r="AH458" s="62"/>
      <c r="AI458" s="62">
        <v>-3819.3989697119487</v>
      </c>
      <c r="AJ458" s="62">
        <v>-1351.3289697119483</v>
      </c>
      <c r="AK458" s="62">
        <v>-1206.3866211522782</v>
      </c>
      <c r="AL458" s="62">
        <v>-316.02648000001773</v>
      </c>
      <c r="AM458" s="62">
        <v>0</v>
      </c>
    </row>
    <row r="459" spans="1:39">
      <c r="A459" s="9">
        <v>94801</v>
      </c>
      <c r="B459" s="10" t="s">
        <v>1834</v>
      </c>
      <c r="C459" s="60">
        <v>7.2440000000000004E-4</v>
      </c>
      <c r="E459" s="62">
        <v>76534.141869587314</v>
      </c>
      <c r="F459" s="62">
        <v>331020.67021531344</v>
      </c>
      <c r="G459" s="62">
        <v>159776.18746107002</v>
      </c>
      <c r="H459" s="62">
        <v>-87373.394320000007</v>
      </c>
      <c r="I459" s="62">
        <v>0</v>
      </c>
      <c r="J459" s="62"/>
      <c r="K459" s="62">
        <v>-4358.7148000000007</v>
      </c>
      <c r="L459" s="62">
        <v>9175.2504000000008</v>
      </c>
      <c r="M459" s="62">
        <v>17024.8488</v>
      </c>
      <c r="N459" s="62">
        <v>10587.106</v>
      </c>
      <c r="O459" s="62">
        <v>0</v>
      </c>
      <c r="P459" s="62"/>
      <c r="Q459" s="62">
        <v>15947.666000000001</v>
      </c>
      <c r="R459" s="62">
        <v>264579.85600000003</v>
      </c>
      <c r="S459" s="62">
        <v>101243.59280000001</v>
      </c>
      <c r="T459" s="62">
        <v>-113067.24960000001</v>
      </c>
      <c r="U459" s="62">
        <v>0</v>
      </c>
      <c r="V459" s="62"/>
      <c r="W459" s="62">
        <v>47286.658800000005</v>
      </c>
      <c r="X459" s="62">
        <v>47286.658800000005</v>
      </c>
      <c r="Y459" s="62">
        <v>43468.346400000002</v>
      </c>
      <c r="Z459" s="62">
        <v>20007.928</v>
      </c>
      <c r="AA459" s="62">
        <v>0</v>
      </c>
      <c r="AB459" s="62"/>
      <c r="AC459" s="62">
        <v>22559.710589587306</v>
      </c>
      <c r="AD459" s="62">
        <v>14880.083735313452</v>
      </c>
      <c r="AE459" s="62">
        <v>2940.5781810699777</v>
      </c>
      <c r="AF459" s="62">
        <v>0</v>
      </c>
      <c r="AG459" s="62">
        <v>0</v>
      </c>
      <c r="AH459" s="62"/>
      <c r="AI459" s="62">
        <v>-4901.1787200000026</v>
      </c>
      <c r="AJ459" s="62">
        <v>-4901.1787200000026</v>
      </c>
      <c r="AK459" s="62">
        <v>-4901.1787200000026</v>
      </c>
      <c r="AL459" s="62">
        <v>-4901.1787200000026</v>
      </c>
      <c r="AM459" s="62">
        <v>0</v>
      </c>
    </row>
    <row r="460" spans="1:39">
      <c r="A460" s="9">
        <v>94804</v>
      </c>
      <c r="B460" s="10" t="s">
        <v>1835</v>
      </c>
      <c r="C460" s="60">
        <v>3.8E-6</v>
      </c>
      <c r="E460" s="62">
        <v>2170.8890010942068</v>
      </c>
      <c r="F460" s="62">
        <v>1827.8965363639156</v>
      </c>
      <c r="G460" s="62">
        <v>982.13776740740707</v>
      </c>
      <c r="H460" s="62">
        <v>-233.48403999999999</v>
      </c>
      <c r="I460" s="62">
        <v>0</v>
      </c>
      <c r="J460" s="62"/>
      <c r="K460" s="62">
        <v>-22.864599999999999</v>
      </c>
      <c r="L460" s="62">
        <v>48.130800000000001</v>
      </c>
      <c r="M460" s="62">
        <v>89.307600000000008</v>
      </c>
      <c r="N460" s="62">
        <v>55.536999999999999</v>
      </c>
      <c r="O460" s="62">
        <v>0</v>
      </c>
      <c r="P460" s="62"/>
      <c r="Q460" s="62">
        <v>83.656999999999996</v>
      </c>
      <c r="R460" s="62">
        <v>1387.912</v>
      </c>
      <c r="S460" s="62">
        <v>531.09559999999999</v>
      </c>
      <c r="T460" s="62">
        <v>-593.11919999999998</v>
      </c>
      <c r="U460" s="62">
        <v>0</v>
      </c>
      <c r="V460" s="62"/>
      <c r="W460" s="62">
        <v>248.05260000000001</v>
      </c>
      <c r="X460" s="62">
        <v>248.05260000000001</v>
      </c>
      <c r="Y460" s="62">
        <v>228.02279999999999</v>
      </c>
      <c r="Z460" s="62">
        <v>104.956</v>
      </c>
      <c r="AA460" s="62">
        <v>0</v>
      </c>
      <c r="AB460" s="62"/>
      <c r="AC460" s="62">
        <v>1938.1258529460583</v>
      </c>
      <c r="AD460" s="62">
        <v>219.88298821576763</v>
      </c>
      <c r="AE460" s="62">
        <v>199.14215999999993</v>
      </c>
      <c r="AF460" s="62">
        <v>199.14215999999993</v>
      </c>
      <c r="AG460" s="62">
        <v>0</v>
      </c>
      <c r="AH460" s="62"/>
      <c r="AI460" s="62">
        <v>-76.081851851851951</v>
      </c>
      <c r="AJ460" s="62">
        <v>-76.081851851851951</v>
      </c>
      <c r="AK460" s="62">
        <v>-65.430392592592696</v>
      </c>
      <c r="AL460" s="62">
        <v>0</v>
      </c>
      <c r="AM460" s="62">
        <v>0</v>
      </c>
    </row>
    <row r="461" spans="1:39">
      <c r="A461" s="9">
        <v>94812</v>
      </c>
      <c r="B461" s="10" t="s">
        <v>1836</v>
      </c>
      <c r="C461" s="60">
        <v>3.3000000000000003E-5</v>
      </c>
      <c r="E461" s="62">
        <v>6718.1428969758999</v>
      </c>
      <c r="F461" s="62">
        <v>18072.91258411283</v>
      </c>
      <c r="G461" s="62">
        <v>9508.4260423868272</v>
      </c>
      <c r="H461" s="62">
        <v>-2939.2158000000049</v>
      </c>
      <c r="I461" s="62">
        <v>0</v>
      </c>
      <c r="J461" s="62"/>
      <c r="K461" s="62">
        <v>-198.56100000000001</v>
      </c>
      <c r="L461" s="62">
        <v>417.97800000000001</v>
      </c>
      <c r="M461" s="62">
        <v>775.56600000000003</v>
      </c>
      <c r="N461" s="62">
        <v>482.29500000000002</v>
      </c>
      <c r="O461" s="62">
        <v>0</v>
      </c>
      <c r="P461" s="62"/>
      <c r="Q461" s="62">
        <v>726.495</v>
      </c>
      <c r="R461" s="62">
        <v>12052.92</v>
      </c>
      <c r="S461" s="62">
        <v>4612.1460000000006</v>
      </c>
      <c r="T461" s="62">
        <v>-5150.7720000000008</v>
      </c>
      <c r="U461" s="62">
        <v>0</v>
      </c>
      <c r="V461" s="62"/>
      <c r="W461" s="62">
        <v>2154.1410000000001</v>
      </c>
      <c r="X461" s="62">
        <v>2154.1410000000001</v>
      </c>
      <c r="Y461" s="62">
        <v>1980.1980000000001</v>
      </c>
      <c r="Z461" s="62">
        <v>911.46</v>
      </c>
      <c r="AA461" s="62">
        <v>0</v>
      </c>
      <c r="AB461" s="62"/>
      <c r="AC461" s="62">
        <v>4036.0678969758997</v>
      </c>
      <c r="AD461" s="62">
        <v>3447.8735841128296</v>
      </c>
      <c r="AE461" s="62">
        <v>2140.516042386826</v>
      </c>
      <c r="AF461" s="62">
        <v>817.8011999999959</v>
      </c>
      <c r="AG461" s="62">
        <v>0</v>
      </c>
      <c r="AH461" s="62"/>
      <c r="AI461" s="62">
        <v>0</v>
      </c>
      <c r="AJ461" s="62">
        <v>0</v>
      </c>
      <c r="AK461" s="62">
        <v>0</v>
      </c>
      <c r="AL461" s="62">
        <v>0</v>
      </c>
      <c r="AM461" s="62">
        <v>0</v>
      </c>
    </row>
    <row r="462" spans="1:39">
      <c r="A462" s="9">
        <v>94901</v>
      </c>
      <c r="B462" s="10" t="s">
        <v>1837</v>
      </c>
      <c r="C462" s="60">
        <v>6.7841999999999998E-3</v>
      </c>
      <c r="E462" s="62">
        <v>514968.61131606007</v>
      </c>
      <c r="F462" s="62">
        <v>2966282.7479698355</v>
      </c>
      <c r="G462" s="62">
        <v>1497877.0964407409</v>
      </c>
      <c r="H462" s="62">
        <v>-791482.49900000007</v>
      </c>
      <c r="I462" s="62">
        <v>0</v>
      </c>
      <c r="J462" s="62"/>
      <c r="K462" s="62">
        <v>-40820.5314</v>
      </c>
      <c r="L462" s="62">
        <v>85928.677199999991</v>
      </c>
      <c r="M462" s="62">
        <v>159442.2684</v>
      </c>
      <c r="N462" s="62">
        <v>99151.082999999999</v>
      </c>
      <c r="O462" s="62">
        <v>0</v>
      </c>
      <c r="P462" s="62"/>
      <c r="Q462" s="62">
        <v>149354.163</v>
      </c>
      <c r="R462" s="62">
        <v>2477861.2080000001</v>
      </c>
      <c r="S462" s="62">
        <v>948173.36040000001</v>
      </c>
      <c r="T462" s="62">
        <v>-1058905.0728</v>
      </c>
      <c r="U462" s="62">
        <v>0</v>
      </c>
      <c r="V462" s="62"/>
      <c r="W462" s="62">
        <v>442852.22339999996</v>
      </c>
      <c r="X462" s="62">
        <v>442852.22339999996</v>
      </c>
      <c r="Y462" s="62">
        <v>407092.70519999997</v>
      </c>
      <c r="Z462" s="62">
        <v>187379.60399999999</v>
      </c>
      <c r="AA462" s="62">
        <v>0</v>
      </c>
      <c r="AB462" s="62"/>
      <c r="AC462" s="62">
        <v>11835.719814814875</v>
      </c>
      <c r="AD462" s="62">
        <v>2647.5298148148722</v>
      </c>
      <c r="AE462" s="62">
        <v>2276.8756407407909</v>
      </c>
      <c r="AF462" s="62">
        <v>0</v>
      </c>
      <c r="AG462" s="62">
        <v>0</v>
      </c>
      <c r="AH462" s="62"/>
      <c r="AI462" s="62">
        <v>-48252.963498754805</v>
      </c>
      <c r="AJ462" s="62">
        <v>-43006.890444978955</v>
      </c>
      <c r="AK462" s="62">
        <v>-19108.113200000022</v>
      </c>
      <c r="AL462" s="62">
        <v>-19108.113200000022</v>
      </c>
      <c r="AM462" s="62">
        <v>0</v>
      </c>
    </row>
    <row r="463" spans="1:39">
      <c r="A463" s="9">
        <v>94908</v>
      </c>
      <c r="B463" s="10" t="s">
        <v>1838</v>
      </c>
      <c r="C463" s="60">
        <v>7.7000000000000008E-6</v>
      </c>
      <c r="E463" s="62">
        <v>-6145.6429151822895</v>
      </c>
      <c r="F463" s="62">
        <v>-2093.3594919457751</v>
      </c>
      <c r="G463" s="62">
        <v>-3153.7706778600896</v>
      </c>
      <c r="H463" s="62">
        <v>-5390.5059400000073</v>
      </c>
      <c r="I463" s="62">
        <v>0</v>
      </c>
      <c r="J463" s="62"/>
      <c r="K463" s="62">
        <v>-46.330900000000007</v>
      </c>
      <c r="L463" s="62">
        <v>97.528200000000012</v>
      </c>
      <c r="M463" s="62">
        <v>180.96540000000002</v>
      </c>
      <c r="N463" s="62">
        <v>112.53550000000001</v>
      </c>
      <c r="O463" s="62">
        <v>0</v>
      </c>
      <c r="P463" s="62"/>
      <c r="Q463" s="62">
        <v>169.51550000000003</v>
      </c>
      <c r="R463" s="62">
        <v>2812.3480000000004</v>
      </c>
      <c r="S463" s="62">
        <v>1076.1674</v>
      </c>
      <c r="T463" s="62">
        <v>-1201.8468</v>
      </c>
      <c r="U463" s="62">
        <v>0</v>
      </c>
      <c r="V463" s="62"/>
      <c r="W463" s="62">
        <v>502.63290000000006</v>
      </c>
      <c r="X463" s="62">
        <v>502.63290000000006</v>
      </c>
      <c r="Y463" s="62">
        <v>462.04620000000006</v>
      </c>
      <c r="Z463" s="62">
        <v>212.67400000000004</v>
      </c>
      <c r="AA463" s="62">
        <v>0</v>
      </c>
      <c r="AB463" s="62"/>
      <c r="AC463" s="62">
        <v>0</v>
      </c>
      <c r="AD463" s="62">
        <v>0</v>
      </c>
      <c r="AE463" s="62">
        <v>0</v>
      </c>
      <c r="AF463" s="62">
        <v>0</v>
      </c>
      <c r="AG463" s="62">
        <v>0</v>
      </c>
      <c r="AH463" s="62"/>
      <c r="AI463" s="62">
        <v>-6771.4604151822896</v>
      </c>
      <c r="AJ463" s="62">
        <v>-5505.8685919457757</v>
      </c>
      <c r="AK463" s="62">
        <v>-4872.9496778600897</v>
      </c>
      <c r="AL463" s="62">
        <v>-4513.868640000007</v>
      </c>
      <c r="AM463" s="62">
        <v>0</v>
      </c>
    </row>
    <row r="464" spans="1:39">
      <c r="A464" s="9">
        <v>94911</v>
      </c>
      <c r="B464" s="10" t="s">
        <v>1839</v>
      </c>
      <c r="C464" s="60">
        <v>2.8311E-3</v>
      </c>
      <c r="E464" s="62">
        <v>222714.52724277898</v>
      </c>
      <c r="F464" s="62">
        <v>1254111.497164605</v>
      </c>
      <c r="G464" s="62">
        <v>630941.51689942391</v>
      </c>
      <c r="H464" s="62">
        <v>-313592.47917999997</v>
      </c>
      <c r="I464" s="62">
        <v>0</v>
      </c>
      <c r="J464" s="62"/>
      <c r="K464" s="62">
        <v>-17034.7287</v>
      </c>
      <c r="L464" s="62">
        <v>35858.712599999999</v>
      </c>
      <c r="M464" s="62">
        <v>66536.512199999997</v>
      </c>
      <c r="N464" s="62">
        <v>41376.5265</v>
      </c>
      <c r="O464" s="62">
        <v>0</v>
      </c>
      <c r="P464" s="62"/>
      <c r="Q464" s="62">
        <v>62326.666499999999</v>
      </c>
      <c r="R464" s="62">
        <v>1034030.964</v>
      </c>
      <c r="S464" s="62">
        <v>395680.19819999998</v>
      </c>
      <c r="T464" s="62">
        <v>-441889.41240000003</v>
      </c>
      <c r="U464" s="62">
        <v>0</v>
      </c>
      <c r="V464" s="62"/>
      <c r="W464" s="62">
        <v>184805.71470000001</v>
      </c>
      <c r="X464" s="62">
        <v>184805.71470000001</v>
      </c>
      <c r="Y464" s="62">
        <v>169882.9866</v>
      </c>
      <c r="Z464" s="62">
        <v>78194.982000000004</v>
      </c>
      <c r="AA464" s="62">
        <v>0</v>
      </c>
      <c r="AB464" s="62"/>
      <c r="AC464" s="62">
        <v>11387.918487634841</v>
      </c>
      <c r="AD464" s="62">
        <v>10908.66960946058</v>
      </c>
      <c r="AE464" s="62">
        <v>8725.4247200000555</v>
      </c>
      <c r="AF464" s="62">
        <v>8725.4247200000555</v>
      </c>
      <c r="AG464" s="62">
        <v>0</v>
      </c>
      <c r="AH464" s="62"/>
      <c r="AI464" s="62">
        <v>-18771.043744855866</v>
      </c>
      <c r="AJ464" s="62">
        <v>-11492.563744855866</v>
      </c>
      <c r="AK464" s="62">
        <v>-9883.604820576049</v>
      </c>
      <c r="AL464" s="62">
        <v>0</v>
      </c>
      <c r="AM464" s="62">
        <v>0</v>
      </c>
    </row>
    <row r="465" spans="1:39">
      <c r="A465" s="9">
        <v>94917</v>
      </c>
      <c r="B465" s="10" t="s">
        <v>1840</v>
      </c>
      <c r="C465" s="60">
        <v>3.5099999999999999E-5</v>
      </c>
      <c r="E465" s="62">
        <v>9945.2646045342626</v>
      </c>
      <c r="F465" s="62">
        <v>20218.141699969947</v>
      </c>
      <c r="G465" s="62">
        <v>10837.947105514404</v>
      </c>
      <c r="H465" s="62">
        <v>-2178.1142200000013</v>
      </c>
      <c r="I465" s="62">
        <v>0</v>
      </c>
      <c r="J465" s="62"/>
      <c r="K465" s="62">
        <v>-211.19669999999999</v>
      </c>
      <c r="L465" s="62">
        <v>444.57659999999998</v>
      </c>
      <c r="M465" s="62">
        <v>824.92020000000002</v>
      </c>
      <c r="N465" s="62">
        <v>512.98649999999998</v>
      </c>
      <c r="O465" s="62">
        <v>0</v>
      </c>
      <c r="P465" s="62"/>
      <c r="Q465" s="62">
        <v>772.72649999999999</v>
      </c>
      <c r="R465" s="62">
        <v>12819.923999999999</v>
      </c>
      <c r="S465" s="62">
        <v>4905.6462000000001</v>
      </c>
      <c r="T465" s="62">
        <v>-5478.5483999999997</v>
      </c>
      <c r="U465" s="62">
        <v>0</v>
      </c>
      <c r="V465" s="62"/>
      <c r="W465" s="62">
        <v>2291.2226999999998</v>
      </c>
      <c r="X465" s="62">
        <v>2291.2226999999998</v>
      </c>
      <c r="Y465" s="62">
        <v>2106.2105999999999</v>
      </c>
      <c r="Z465" s="62">
        <v>969.46199999999999</v>
      </c>
      <c r="AA465" s="62">
        <v>0</v>
      </c>
      <c r="AB465" s="62"/>
      <c r="AC465" s="62">
        <v>7092.5121045342621</v>
      </c>
      <c r="AD465" s="62">
        <v>4662.4183999699471</v>
      </c>
      <c r="AE465" s="62">
        <v>3001.170105514404</v>
      </c>
      <c r="AF465" s="62">
        <v>1817.9856799999986</v>
      </c>
      <c r="AG465" s="62">
        <v>0</v>
      </c>
      <c r="AH465" s="62"/>
      <c r="AI465" s="62">
        <v>0</v>
      </c>
      <c r="AJ465" s="62">
        <v>0</v>
      </c>
      <c r="AK465" s="62">
        <v>0</v>
      </c>
      <c r="AL465" s="62">
        <v>0</v>
      </c>
      <c r="AM465" s="62">
        <v>0</v>
      </c>
    </row>
    <row r="466" spans="1:39">
      <c r="A466" s="9">
        <v>94921</v>
      </c>
      <c r="B466" s="10" t="s">
        <v>1841</v>
      </c>
      <c r="C466" s="60">
        <v>3.9515000000000002E-3</v>
      </c>
      <c r="E466" s="62">
        <v>170749.65327535459</v>
      </c>
      <c r="F466" s="62">
        <v>1631672.0169475537</v>
      </c>
      <c r="G466" s="62">
        <v>816386.89226082317</v>
      </c>
      <c r="H466" s="62">
        <v>-445074.33933999989</v>
      </c>
      <c r="I466" s="62">
        <v>0</v>
      </c>
      <c r="J466" s="62"/>
      <c r="K466" s="62">
        <v>-23776.175500000001</v>
      </c>
      <c r="L466" s="62">
        <v>50049.699000000001</v>
      </c>
      <c r="M466" s="62">
        <v>92868.153000000006</v>
      </c>
      <c r="N466" s="62">
        <v>57751.172500000001</v>
      </c>
      <c r="O466" s="62">
        <v>0</v>
      </c>
      <c r="P466" s="62"/>
      <c r="Q466" s="62">
        <v>86992.272500000006</v>
      </c>
      <c r="R466" s="62">
        <v>1443245.86</v>
      </c>
      <c r="S466" s="62">
        <v>552269.54300000006</v>
      </c>
      <c r="T466" s="62">
        <v>-616765.92599999998</v>
      </c>
      <c r="U466" s="62">
        <v>0</v>
      </c>
      <c r="V466" s="62"/>
      <c r="W466" s="62">
        <v>257942.0655</v>
      </c>
      <c r="X466" s="62">
        <v>257942.0655</v>
      </c>
      <c r="Y466" s="62">
        <v>237113.709</v>
      </c>
      <c r="Z466" s="62">
        <v>109140.43000000001</v>
      </c>
      <c r="AA466" s="62">
        <v>0</v>
      </c>
      <c r="AB466" s="62"/>
      <c r="AC466" s="62">
        <v>4799.9841600000873</v>
      </c>
      <c r="AD466" s="62">
        <v>4799.9841600000873</v>
      </c>
      <c r="AE466" s="62">
        <v>4799.9841600000873</v>
      </c>
      <c r="AF466" s="62">
        <v>4799.9841600000873</v>
      </c>
      <c r="AG466" s="62">
        <v>0</v>
      </c>
      <c r="AH466" s="62"/>
      <c r="AI466" s="62">
        <v>-155208.4933846455</v>
      </c>
      <c r="AJ466" s="62">
        <v>-124365.59171244639</v>
      </c>
      <c r="AK466" s="62">
        <v>-70664.496899177029</v>
      </c>
      <c r="AL466" s="62">
        <v>0</v>
      </c>
      <c r="AM466" s="62">
        <v>0</v>
      </c>
    </row>
    <row r="467" spans="1:39">
      <c r="A467" s="9">
        <v>94923</v>
      </c>
      <c r="B467" s="10" t="s">
        <v>1842</v>
      </c>
      <c r="C467" s="60">
        <v>3.0700000000000001E-5</v>
      </c>
      <c r="E467" s="62">
        <v>4051.9519929938697</v>
      </c>
      <c r="F467" s="62">
        <v>15193.356499217936</v>
      </c>
      <c r="G467" s="62">
        <v>8168.6543230452698</v>
      </c>
      <c r="H467" s="62">
        <v>-2312.6378999999988</v>
      </c>
      <c r="I467" s="62">
        <v>0</v>
      </c>
      <c r="J467" s="62"/>
      <c r="K467" s="62">
        <v>-184.72190000000001</v>
      </c>
      <c r="L467" s="62">
        <v>388.84620000000001</v>
      </c>
      <c r="M467" s="62">
        <v>721.51139999999998</v>
      </c>
      <c r="N467" s="62">
        <v>448.68049999999999</v>
      </c>
      <c r="O467" s="62">
        <v>0</v>
      </c>
      <c r="P467" s="62"/>
      <c r="Q467" s="62">
        <v>675.8605</v>
      </c>
      <c r="R467" s="62">
        <v>11212.868</v>
      </c>
      <c r="S467" s="62">
        <v>4290.6934000000001</v>
      </c>
      <c r="T467" s="62">
        <v>-4791.7788</v>
      </c>
      <c r="U467" s="62">
        <v>0</v>
      </c>
      <c r="V467" s="62"/>
      <c r="W467" s="62">
        <v>2004.0039000000002</v>
      </c>
      <c r="X467" s="62">
        <v>2004.0039000000002</v>
      </c>
      <c r="Y467" s="62">
        <v>1842.1842000000001</v>
      </c>
      <c r="Z467" s="62">
        <v>847.93399999999997</v>
      </c>
      <c r="AA467" s="62">
        <v>0</v>
      </c>
      <c r="AB467" s="62"/>
      <c r="AC467" s="62">
        <v>1642.9394929938701</v>
      </c>
      <c r="AD467" s="62">
        <v>1587.6383992179367</v>
      </c>
      <c r="AE467" s="62">
        <v>1314.2653230452686</v>
      </c>
      <c r="AF467" s="62">
        <v>1182.5264000000004</v>
      </c>
      <c r="AG467" s="62">
        <v>0</v>
      </c>
      <c r="AH467" s="62"/>
      <c r="AI467" s="62">
        <v>-86.130000000000024</v>
      </c>
      <c r="AJ467" s="62">
        <v>0</v>
      </c>
      <c r="AK467" s="62">
        <v>0</v>
      </c>
      <c r="AL467" s="62">
        <v>0</v>
      </c>
      <c r="AM467" s="62">
        <v>0</v>
      </c>
    </row>
    <row r="468" spans="1:39">
      <c r="A468" s="9">
        <v>94927</v>
      </c>
      <c r="B468" s="10" t="s">
        <v>1843</v>
      </c>
      <c r="C468" s="60">
        <v>3.0599999999999998E-5</v>
      </c>
      <c r="E468" s="62">
        <v>3397.9904069846125</v>
      </c>
      <c r="F468" s="62">
        <v>14477.593563831084</v>
      </c>
      <c r="G468" s="62">
        <v>7554.6811865843611</v>
      </c>
      <c r="H468" s="62">
        <v>-3375.9809199999995</v>
      </c>
      <c r="I468" s="62">
        <v>0</v>
      </c>
      <c r="J468" s="62"/>
      <c r="K468" s="62">
        <v>-184.12019999999998</v>
      </c>
      <c r="L468" s="62">
        <v>387.57959999999997</v>
      </c>
      <c r="M468" s="62">
        <v>719.16120000000001</v>
      </c>
      <c r="N468" s="62">
        <v>447.21899999999999</v>
      </c>
      <c r="O468" s="62">
        <v>0</v>
      </c>
      <c r="P468" s="62"/>
      <c r="Q468" s="62">
        <v>673.65899999999999</v>
      </c>
      <c r="R468" s="62">
        <v>11176.343999999999</v>
      </c>
      <c r="S468" s="62">
        <v>4276.7172</v>
      </c>
      <c r="T468" s="62">
        <v>-4776.1704</v>
      </c>
      <c r="U468" s="62">
        <v>0</v>
      </c>
      <c r="V468" s="62"/>
      <c r="W468" s="62">
        <v>1997.4761999999998</v>
      </c>
      <c r="X468" s="62">
        <v>1997.4761999999998</v>
      </c>
      <c r="Y468" s="62">
        <v>1836.1835999999998</v>
      </c>
      <c r="Z468" s="62">
        <v>845.17199999999991</v>
      </c>
      <c r="AA468" s="62">
        <v>0</v>
      </c>
      <c r="AB468" s="62"/>
      <c r="AC468" s="62">
        <v>936.7154069846124</v>
      </c>
      <c r="AD468" s="62">
        <v>916.19376383108568</v>
      </c>
      <c r="AE468" s="62">
        <v>722.61918658436139</v>
      </c>
      <c r="AF468" s="62">
        <v>107.79848000000027</v>
      </c>
      <c r="AG468" s="62">
        <v>0</v>
      </c>
      <c r="AH468" s="62"/>
      <c r="AI468" s="62">
        <v>-25.740000000000006</v>
      </c>
      <c r="AJ468" s="62">
        <v>0</v>
      </c>
      <c r="AK468" s="62">
        <v>0</v>
      </c>
      <c r="AL468" s="62">
        <v>0</v>
      </c>
      <c r="AM468" s="62">
        <v>0</v>
      </c>
    </row>
    <row r="469" spans="1:39">
      <c r="A469" s="9">
        <v>94931</v>
      </c>
      <c r="B469" s="10" t="s">
        <v>1844</v>
      </c>
      <c r="C469" s="60">
        <v>2.163E-4</v>
      </c>
      <c r="E469" s="62">
        <v>9714.9849464095023</v>
      </c>
      <c r="F469" s="62">
        <v>91719.99617263356</v>
      </c>
      <c r="G469" s="62">
        <v>45273.687109382699</v>
      </c>
      <c r="H469" s="62">
        <v>-24387.116540000003</v>
      </c>
      <c r="I469" s="62">
        <v>0</v>
      </c>
      <c r="J469" s="62"/>
      <c r="K469" s="62">
        <v>-1301.4771000000001</v>
      </c>
      <c r="L469" s="62">
        <v>2739.6558</v>
      </c>
      <c r="M469" s="62">
        <v>5083.4826000000003</v>
      </c>
      <c r="N469" s="62">
        <v>3161.2244999999998</v>
      </c>
      <c r="O469" s="62">
        <v>0</v>
      </c>
      <c r="P469" s="62"/>
      <c r="Q469" s="62">
        <v>4761.8445000000002</v>
      </c>
      <c r="R469" s="62">
        <v>79001.411999999997</v>
      </c>
      <c r="S469" s="62">
        <v>30230.5206</v>
      </c>
      <c r="T469" s="62">
        <v>-33760.9692</v>
      </c>
      <c r="U469" s="62">
        <v>0</v>
      </c>
      <c r="V469" s="62"/>
      <c r="W469" s="62">
        <v>14119.4151</v>
      </c>
      <c r="X469" s="62">
        <v>14119.4151</v>
      </c>
      <c r="Y469" s="62">
        <v>12979.2978</v>
      </c>
      <c r="Z469" s="62">
        <v>5974.2060000000001</v>
      </c>
      <c r="AA469" s="62">
        <v>0</v>
      </c>
      <c r="AB469" s="62"/>
      <c r="AC469" s="62">
        <v>238.4221599999961</v>
      </c>
      <c r="AD469" s="62">
        <v>238.4221599999961</v>
      </c>
      <c r="AE469" s="62">
        <v>238.4221599999961</v>
      </c>
      <c r="AF469" s="62">
        <v>238.4221599999961</v>
      </c>
      <c r="AG469" s="62">
        <v>0</v>
      </c>
      <c r="AH469" s="62"/>
      <c r="AI469" s="62">
        <v>-8103.2197135904935</v>
      </c>
      <c r="AJ469" s="62">
        <v>-4378.9088873664286</v>
      </c>
      <c r="AK469" s="62">
        <v>-3258.0360506172929</v>
      </c>
      <c r="AL469" s="62">
        <v>0</v>
      </c>
      <c r="AM469" s="62">
        <v>0</v>
      </c>
    </row>
    <row r="470" spans="1:39">
      <c r="A470" s="9">
        <v>94941</v>
      </c>
      <c r="B470" s="10" t="s">
        <v>1845</v>
      </c>
      <c r="C470" s="60">
        <v>5.7879999999999997E-4</v>
      </c>
      <c r="E470" s="62">
        <v>92911.325605200575</v>
      </c>
      <c r="F470" s="62">
        <v>271918.33624586446</v>
      </c>
      <c r="G470" s="62">
        <v>133036.64238666664</v>
      </c>
      <c r="H470" s="62">
        <v>-62201.856479999973</v>
      </c>
      <c r="I470" s="62">
        <v>0</v>
      </c>
      <c r="J470" s="62"/>
      <c r="K470" s="62">
        <v>-3482.6396</v>
      </c>
      <c r="L470" s="62">
        <v>7331.0807999999997</v>
      </c>
      <c r="M470" s="62">
        <v>13602.9576</v>
      </c>
      <c r="N470" s="62">
        <v>8459.1620000000003</v>
      </c>
      <c r="O470" s="62">
        <v>0</v>
      </c>
      <c r="P470" s="62"/>
      <c r="Q470" s="62">
        <v>12742.281999999999</v>
      </c>
      <c r="R470" s="62">
        <v>211400.91199999998</v>
      </c>
      <c r="S470" s="62">
        <v>80894.245599999995</v>
      </c>
      <c r="T470" s="62">
        <v>-90341.419199999989</v>
      </c>
      <c r="U470" s="62">
        <v>0</v>
      </c>
      <c r="V470" s="62"/>
      <c r="W470" s="62">
        <v>37782.327599999997</v>
      </c>
      <c r="X470" s="62">
        <v>37782.327599999997</v>
      </c>
      <c r="Y470" s="62">
        <v>34731.472799999996</v>
      </c>
      <c r="Z470" s="62">
        <v>15986.456</v>
      </c>
      <c r="AA470" s="62">
        <v>0</v>
      </c>
      <c r="AB470" s="62"/>
      <c r="AC470" s="62">
        <v>45869.355605200573</v>
      </c>
      <c r="AD470" s="62">
        <v>15404.015845864471</v>
      </c>
      <c r="AE470" s="62">
        <v>3807.9663866666797</v>
      </c>
      <c r="AF470" s="62">
        <v>3693.9447200000159</v>
      </c>
      <c r="AG470" s="62">
        <v>0</v>
      </c>
      <c r="AH470" s="62"/>
      <c r="AI470" s="62">
        <v>0</v>
      </c>
      <c r="AJ470" s="62">
        <v>0</v>
      </c>
      <c r="AK470" s="62">
        <v>0</v>
      </c>
      <c r="AL470" s="62">
        <v>0</v>
      </c>
      <c r="AM470" s="62">
        <v>0</v>
      </c>
    </row>
    <row r="471" spans="1:39">
      <c r="A471" s="9">
        <v>95001</v>
      </c>
      <c r="B471" s="10" t="s">
        <v>1846</v>
      </c>
      <c r="C471" s="60">
        <v>2.4867000000000001E-3</v>
      </c>
      <c r="E471" s="62">
        <v>253798.97946956524</v>
      </c>
      <c r="F471" s="62">
        <v>1155048.389838777</v>
      </c>
      <c r="G471" s="62">
        <v>594282.91195037065</v>
      </c>
      <c r="H471" s="62">
        <v>-253966.19501999981</v>
      </c>
      <c r="I471" s="62">
        <v>0</v>
      </c>
      <c r="J471" s="62"/>
      <c r="K471" s="62">
        <v>-14962.473900000001</v>
      </c>
      <c r="L471" s="62">
        <v>31496.5422</v>
      </c>
      <c r="M471" s="62">
        <v>58442.4234</v>
      </c>
      <c r="N471" s="62">
        <v>36343.120500000005</v>
      </c>
      <c r="O471" s="62">
        <v>0</v>
      </c>
      <c r="P471" s="62"/>
      <c r="Q471" s="62">
        <v>54744.700499999999</v>
      </c>
      <c r="R471" s="62">
        <v>908242.30800000008</v>
      </c>
      <c r="S471" s="62">
        <v>347546.1654</v>
      </c>
      <c r="T471" s="62">
        <v>-388134.08280000003</v>
      </c>
      <c r="U471" s="62">
        <v>0</v>
      </c>
      <c r="V471" s="62"/>
      <c r="W471" s="62">
        <v>162324.31590000002</v>
      </c>
      <c r="X471" s="62">
        <v>162324.31590000002</v>
      </c>
      <c r="Y471" s="62">
        <v>149216.92019999999</v>
      </c>
      <c r="Z471" s="62">
        <v>68682.65400000001</v>
      </c>
      <c r="AA471" s="62">
        <v>0</v>
      </c>
      <c r="AB471" s="62"/>
      <c r="AC471" s="62">
        <v>55683.12696956523</v>
      </c>
      <c r="AD471" s="62">
        <v>52985.223738776876</v>
      </c>
      <c r="AE471" s="62">
        <v>39077.402950370619</v>
      </c>
      <c r="AF471" s="62">
        <v>29142.113280000209</v>
      </c>
      <c r="AG471" s="62">
        <v>0</v>
      </c>
      <c r="AH471" s="62"/>
      <c r="AI471" s="62">
        <v>-3990.690000000001</v>
      </c>
      <c r="AJ471" s="62">
        <v>0</v>
      </c>
      <c r="AK471" s="62">
        <v>0</v>
      </c>
      <c r="AL471" s="62">
        <v>0</v>
      </c>
      <c r="AM471" s="62">
        <v>0</v>
      </c>
    </row>
    <row r="472" spans="1:39">
      <c r="A472" s="9">
        <v>95002</v>
      </c>
      <c r="B472" s="10" t="s">
        <v>1847</v>
      </c>
      <c r="C472" s="60">
        <v>1.907E-4</v>
      </c>
      <c r="E472" s="62">
        <v>21779.007321985198</v>
      </c>
      <c r="F472" s="62">
        <v>89360.634565968605</v>
      </c>
      <c r="G472" s="62">
        <v>46197.257956872425</v>
      </c>
      <c r="H472" s="62">
        <v>-20809.614460000004</v>
      </c>
      <c r="I472" s="62">
        <v>0</v>
      </c>
      <c r="J472" s="62"/>
      <c r="K472" s="62">
        <v>-1147.4419</v>
      </c>
      <c r="L472" s="62">
        <v>2415.4061999999999</v>
      </c>
      <c r="M472" s="62">
        <v>4481.8314</v>
      </c>
      <c r="N472" s="62">
        <v>2787.0805</v>
      </c>
      <c r="O472" s="62">
        <v>0</v>
      </c>
      <c r="P472" s="62"/>
      <c r="Q472" s="62">
        <v>4198.2605000000003</v>
      </c>
      <c r="R472" s="62">
        <v>69651.267999999996</v>
      </c>
      <c r="S472" s="62">
        <v>26652.613399999998</v>
      </c>
      <c r="T472" s="62">
        <v>-29765.218799999999</v>
      </c>
      <c r="U472" s="62">
        <v>0</v>
      </c>
      <c r="V472" s="62"/>
      <c r="W472" s="62">
        <v>12448.323899999999</v>
      </c>
      <c r="X472" s="62">
        <v>12448.323899999999</v>
      </c>
      <c r="Y472" s="62">
        <v>11443.144200000001</v>
      </c>
      <c r="Z472" s="62">
        <v>5267.134</v>
      </c>
      <c r="AA472" s="62">
        <v>0</v>
      </c>
      <c r="AB472" s="62"/>
      <c r="AC472" s="62">
        <v>6279.8648219851984</v>
      </c>
      <c r="AD472" s="62">
        <v>4845.6364659686024</v>
      </c>
      <c r="AE472" s="62">
        <v>3619.6689568724241</v>
      </c>
      <c r="AF472" s="62">
        <v>901.38983999999778</v>
      </c>
      <c r="AG472" s="62">
        <v>0</v>
      </c>
      <c r="AH472" s="62"/>
      <c r="AI472" s="62">
        <v>0</v>
      </c>
      <c r="AJ472" s="62">
        <v>0</v>
      </c>
      <c r="AK472" s="62">
        <v>0</v>
      </c>
      <c r="AL472" s="62">
        <v>0</v>
      </c>
      <c r="AM472" s="62">
        <v>0</v>
      </c>
    </row>
    <row r="473" spans="1:39">
      <c r="A473" s="9">
        <v>95005</v>
      </c>
      <c r="B473" s="10" t="s">
        <v>1848</v>
      </c>
      <c r="C473" s="60">
        <v>2.2949999999999999E-4</v>
      </c>
      <c r="E473" s="62">
        <v>27652.478924539035</v>
      </c>
      <c r="F473" s="62">
        <v>105564.01191707017</v>
      </c>
      <c r="G473" s="62">
        <v>50817.916767818926</v>
      </c>
      <c r="H473" s="62">
        <v>-26462.034939999994</v>
      </c>
      <c r="I473" s="62">
        <v>0</v>
      </c>
      <c r="J473" s="62"/>
      <c r="K473" s="62">
        <v>-1380.9014999999999</v>
      </c>
      <c r="L473" s="62">
        <v>2906.8469999999998</v>
      </c>
      <c r="M473" s="62">
        <v>5393.7089999999998</v>
      </c>
      <c r="N473" s="62">
        <v>3354.1424999999999</v>
      </c>
      <c r="O473" s="62">
        <v>0</v>
      </c>
      <c r="P473" s="62"/>
      <c r="Q473" s="62">
        <v>5052.4425000000001</v>
      </c>
      <c r="R473" s="62">
        <v>83822.58</v>
      </c>
      <c r="S473" s="62">
        <v>32075.379000000001</v>
      </c>
      <c r="T473" s="62">
        <v>-35821.277999999998</v>
      </c>
      <c r="U473" s="62">
        <v>0</v>
      </c>
      <c r="V473" s="62"/>
      <c r="W473" s="62">
        <v>14981.0715</v>
      </c>
      <c r="X473" s="62">
        <v>14981.0715</v>
      </c>
      <c r="Y473" s="62">
        <v>13771.377</v>
      </c>
      <c r="Z473" s="62">
        <v>6338.79</v>
      </c>
      <c r="AA473" s="62">
        <v>0</v>
      </c>
      <c r="AB473" s="62"/>
      <c r="AC473" s="62">
        <v>9436.8800414937741</v>
      </c>
      <c r="AD473" s="62">
        <v>4290.5270340248953</v>
      </c>
      <c r="AE473" s="62">
        <v>0</v>
      </c>
      <c r="AF473" s="62">
        <v>0</v>
      </c>
      <c r="AG473" s="62">
        <v>0</v>
      </c>
      <c r="AH473" s="62"/>
      <c r="AI473" s="62">
        <v>-437.01361695473929</v>
      </c>
      <c r="AJ473" s="62">
        <v>-437.01361695473929</v>
      </c>
      <c r="AK473" s="62">
        <v>-422.54823218107572</v>
      </c>
      <c r="AL473" s="62">
        <v>-333.68943999999919</v>
      </c>
      <c r="AM473" s="62">
        <v>0</v>
      </c>
    </row>
    <row r="474" spans="1:39">
      <c r="A474" s="9">
        <v>95008</v>
      </c>
      <c r="B474" s="10" t="s">
        <v>1849</v>
      </c>
      <c r="C474" s="60">
        <v>1.1519999999999999E-4</v>
      </c>
      <c r="E474" s="62">
        <v>18399.55024418217</v>
      </c>
      <c r="F474" s="62">
        <v>53435.066603518266</v>
      </c>
      <c r="G474" s="62">
        <v>25549.308115802469</v>
      </c>
      <c r="H474" s="62">
        <v>-11410.794719999991</v>
      </c>
      <c r="I474" s="62">
        <v>0</v>
      </c>
      <c r="J474" s="62"/>
      <c r="K474" s="62">
        <v>-693.15839999999992</v>
      </c>
      <c r="L474" s="62">
        <v>1459.1232</v>
      </c>
      <c r="M474" s="62">
        <v>2707.4303999999997</v>
      </c>
      <c r="N474" s="62">
        <v>1683.6479999999999</v>
      </c>
      <c r="O474" s="62">
        <v>0</v>
      </c>
      <c r="P474" s="62"/>
      <c r="Q474" s="62">
        <v>2536.1279999999997</v>
      </c>
      <c r="R474" s="62">
        <v>42075.648000000001</v>
      </c>
      <c r="S474" s="62">
        <v>16100.582399999999</v>
      </c>
      <c r="T474" s="62">
        <v>-17980.876799999998</v>
      </c>
      <c r="U474" s="62">
        <v>0</v>
      </c>
      <c r="V474" s="62"/>
      <c r="W474" s="62">
        <v>7519.9103999999998</v>
      </c>
      <c r="X474" s="62">
        <v>7519.9103999999998</v>
      </c>
      <c r="Y474" s="62">
        <v>6912.6911999999993</v>
      </c>
      <c r="Z474" s="62">
        <v>3181.8240000000001</v>
      </c>
      <c r="AA474" s="62">
        <v>0</v>
      </c>
      <c r="AB474" s="62"/>
      <c r="AC474" s="62">
        <v>11218.072528132787</v>
      </c>
      <c r="AD474" s="62">
        <v>4561.7872874688865</v>
      </c>
      <c r="AE474" s="62">
        <v>1704.6100800000072</v>
      </c>
      <c r="AF474" s="62">
        <v>1704.6100800000072</v>
      </c>
      <c r="AG474" s="62">
        <v>0</v>
      </c>
      <c r="AH474" s="62"/>
      <c r="AI474" s="62">
        <v>-2181.4022839506192</v>
      </c>
      <c r="AJ474" s="62">
        <v>-2181.4022839506192</v>
      </c>
      <c r="AK474" s="62">
        <v>-1876.0059641975333</v>
      </c>
      <c r="AL474" s="62">
        <v>0</v>
      </c>
      <c r="AM474" s="62">
        <v>0</v>
      </c>
    </row>
    <row r="475" spans="1:39">
      <c r="A475" s="9">
        <v>95009</v>
      </c>
      <c r="B475" s="10" t="s">
        <v>1850</v>
      </c>
      <c r="C475" s="60">
        <v>4.2208999999999997E-3</v>
      </c>
      <c r="E475" s="62">
        <v>921635.91867053963</v>
      </c>
      <c r="F475" s="62">
        <v>2072809.1733676349</v>
      </c>
      <c r="G475" s="62">
        <v>1024400.6703601644</v>
      </c>
      <c r="H475" s="62">
        <v>-445854.40346000018</v>
      </c>
      <c r="I475" s="62">
        <v>0</v>
      </c>
      <c r="J475" s="62"/>
      <c r="K475" s="62">
        <v>-25397.155299999999</v>
      </c>
      <c r="L475" s="62">
        <v>53461.919399999999</v>
      </c>
      <c r="M475" s="62">
        <v>99199.591799999995</v>
      </c>
      <c r="N475" s="62">
        <v>61688.453499999996</v>
      </c>
      <c r="O475" s="62">
        <v>0</v>
      </c>
      <c r="P475" s="62"/>
      <c r="Q475" s="62">
        <v>92923.113499999992</v>
      </c>
      <c r="R475" s="62">
        <v>1541641.5159999998</v>
      </c>
      <c r="S475" s="62">
        <v>589921.42579999997</v>
      </c>
      <c r="T475" s="62">
        <v>-658814.95559999999</v>
      </c>
      <c r="U475" s="62">
        <v>0</v>
      </c>
      <c r="V475" s="62"/>
      <c r="W475" s="62">
        <v>275527.68929999997</v>
      </c>
      <c r="X475" s="62">
        <v>275527.68929999997</v>
      </c>
      <c r="Y475" s="62">
        <v>253279.32539999997</v>
      </c>
      <c r="Z475" s="62">
        <v>116581.25799999999</v>
      </c>
      <c r="AA475" s="62">
        <v>0</v>
      </c>
      <c r="AB475" s="62"/>
      <c r="AC475" s="62">
        <v>578582.27117053967</v>
      </c>
      <c r="AD475" s="62">
        <v>202178.0486676351</v>
      </c>
      <c r="AE475" s="62">
        <v>82000.327360164505</v>
      </c>
      <c r="AF475" s="62">
        <v>34690.840639999878</v>
      </c>
      <c r="AG475" s="62">
        <v>0</v>
      </c>
      <c r="AH475" s="62"/>
      <c r="AI475" s="62">
        <v>0</v>
      </c>
      <c r="AJ475" s="62">
        <v>0</v>
      </c>
      <c r="AK475" s="62">
        <v>0</v>
      </c>
      <c r="AL475" s="62">
        <v>0</v>
      </c>
      <c r="AM475" s="62">
        <v>0</v>
      </c>
    </row>
    <row r="476" spans="1:39">
      <c r="A476" s="9">
        <v>95011</v>
      </c>
      <c r="B476" s="10" t="s">
        <v>1851</v>
      </c>
      <c r="C476" s="60">
        <v>1.8000000000000001E-4</v>
      </c>
      <c r="E476" s="62">
        <v>10809.368467464446</v>
      </c>
      <c r="F476" s="62">
        <v>78051.669822817144</v>
      </c>
      <c r="G476" s="62">
        <v>39276.953577860084</v>
      </c>
      <c r="H476" s="62">
        <v>-19674.181760000003</v>
      </c>
      <c r="I476" s="62">
        <v>0</v>
      </c>
      <c r="J476" s="62"/>
      <c r="K476" s="62">
        <v>-1083.0600000000002</v>
      </c>
      <c r="L476" s="62">
        <v>2279.88</v>
      </c>
      <c r="M476" s="62">
        <v>4230.3600000000006</v>
      </c>
      <c r="N476" s="62">
        <v>2630.7000000000003</v>
      </c>
      <c r="O476" s="62">
        <v>0</v>
      </c>
      <c r="P476" s="62"/>
      <c r="Q476" s="62">
        <v>3962.7000000000003</v>
      </c>
      <c r="R476" s="62">
        <v>65743.199999999997</v>
      </c>
      <c r="S476" s="62">
        <v>25157.16</v>
      </c>
      <c r="T476" s="62">
        <v>-28095.120000000003</v>
      </c>
      <c r="U476" s="62">
        <v>0</v>
      </c>
      <c r="V476" s="62"/>
      <c r="W476" s="62">
        <v>11749.86</v>
      </c>
      <c r="X476" s="62">
        <v>11749.86</v>
      </c>
      <c r="Y476" s="62">
        <v>10801.08</v>
      </c>
      <c r="Z476" s="62">
        <v>4971.6000000000004</v>
      </c>
      <c r="AA476" s="62">
        <v>0</v>
      </c>
      <c r="AB476" s="62"/>
      <c r="AC476" s="62">
        <v>818.63823999999727</v>
      </c>
      <c r="AD476" s="62">
        <v>818.63823999999727</v>
      </c>
      <c r="AE476" s="62">
        <v>818.63823999999727</v>
      </c>
      <c r="AF476" s="62">
        <v>818.63823999999727</v>
      </c>
      <c r="AG476" s="62">
        <v>0</v>
      </c>
      <c r="AH476" s="62"/>
      <c r="AI476" s="62">
        <v>-4638.7697725355492</v>
      </c>
      <c r="AJ476" s="62">
        <v>-2539.908417182854</v>
      </c>
      <c r="AK476" s="62">
        <v>-1730.2846621399176</v>
      </c>
      <c r="AL476" s="62">
        <v>0</v>
      </c>
      <c r="AM476" s="62">
        <v>0</v>
      </c>
    </row>
    <row r="477" spans="1:39">
      <c r="A477" s="9">
        <v>95017</v>
      </c>
      <c r="B477" s="10" t="s">
        <v>1852</v>
      </c>
      <c r="C477" s="60">
        <v>3.8800000000000001E-5</v>
      </c>
      <c r="E477" s="62">
        <v>10770.776088678514</v>
      </c>
      <c r="F477" s="62">
        <v>22156.742016479344</v>
      </c>
      <c r="G477" s="62">
        <v>9416.832183045266</v>
      </c>
      <c r="H477" s="62">
        <v>-4411.0086400000037</v>
      </c>
      <c r="I477" s="62">
        <v>0</v>
      </c>
      <c r="J477" s="62"/>
      <c r="K477" s="62">
        <v>-233.45959999999999</v>
      </c>
      <c r="L477" s="62">
        <v>491.44080000000002</v>
      </c>
      <c r="M477" s="62">
        <v>911.87760000000003</v>
      </c>
      <c r="N477" s="62">
        <v>567.06200000000001</v>
      </c>
      <c r="O477" s="62">
        <v>0</v>
      </c>
      <c r="P477" s="62"/>
      <c r="Q477" s="62">
        <v>854.18200000000002</v>
      </c>
      <c r="R477" s="62">
        <v>14171.312</v>
      </c>
      <c r="S477" s="62">
        <v>5422.7655999999997</v>
      </c>
      <c r="T477" s="62">
        <v>-6056.0592000000006</v>
      </c>
      <c r="U477" s="62">
        <v>0</v>
      </c>
      <c r="V477" s="62"/>
      <c r="W477" s="62">
        <v>2532.7476000000001</v>
      </c>
      <c r="X477" s="62">
        <v>2532.7476000000001</v>
      </c>
      <c r="Y477" s="62">
        <v>2328.2328000000002</v>
      </c>
      <c r="Z477" s="62">
        <v>1071.6559999999999</v>
      </c>
      <c r="AA477" s="62">
        <v>0</v>
      </c>
      <c r="AB477" s="62"/>
      <c r="AC477" s="62">
        <v>7617.3060886785142</v>
      </c>
      <c r="AD477" s="62">
        <v>4961.2416164793449</v>
      </c>
      <c r="AE477" s="62">
        <v>753.9561830452659</v>
      </c>
      <c r="AF477" s="62">
        <v>6.3325599999974429</v>
      </c>
      <c r="AG477" s="62">
        <v>0</v>
      </c>
      <c r="AH477" s="62"/>
      <c r="AI477" s="62">
        <v>0</v>
      </c>
      <c r="AJ477" s="62">
        <v>0</v>
      </c>
      <c r="AK477" s="62">
        <v>0</v>
      </c>
      <c r="AL477" s="62">
        <v>0</v>
      </c>
      <c r="AM477" s="62">
        <v>0</v>
      </c>
    </row>
    <row r="478" spans="1:39">
      <c r="A478" s="9">
        <v>95101</v>
      </c>
      <c r="B478" s="10" t="s">
        <v>1853</v>
      </c>
      <c r="C478" s="60">
        <v>8.3750999999999999E-3</v>
      </c>
      <c r="E478" s="62">
        <v>682319.37963957537</v>
      </c>
      <c r="F478" s="62">
        <v>3678680.0561474594</v>
      </c>
      <c r="G478" s="62">
        <v>1837844.6239553909</v>
      </c>
      <c r="H478" s="62">
        <v>-964603.32997999969</v>
      </c>
      <c r="I478" s="62">
        <v>0</v>
      </c>
      <c r="J478" s="62"/>
      <c r="K478" s="62">
        <v>-50392.976699999999</v>
      </c>
      <c r="L478" s="62">
        <v>106079.0166</v>
      </c>
      <c r="M478" s="62">
        <v>196831.60019999999</v>
      </c>
      <c r="N478" s="62">
        <v>122402.0865</v>
      </c>
      <c r="O478" s="62">
        <v>0</v>
      </c>
      <c r="P478" s="62"/>
      <c r="Q478" s="62">
        <v>184377.8265</v>
      </c>
      <c r="R478" s="62">
        <v>3058921.5239999997</v>
      </c>
      <c r="S478" s="62">
        <v>1170520.7261999999</v>
      </c>
      <c r="T478" s="62">
        <v>-1307219.1084</v>
      </c>
      <c r="U478" s="62">
        <v>0</v>
      </c>
      <c r="V478" s="62"/>
      <c r="W478" s="62">
        <v>546701.40269999998</v>
      </c>
      <c r="X478" s="62">
        <v>546701.40269999998</v>
      </c>
      <c r="Y478" s="62">
        <v>502556.25059999997</v>
      </c>
      <c r="Z478" s="62">
        <v>231320.26199999999</v>
      </c>
      <c r="AA478" s="62">
        <v>0</v>
      </c>
      <c r="AB478" s="62"/>
      <c r="AC478" s="62">
        <v>37108.747178423102</v>
      </c>
      <c r="AD478" s="62">
        <v>2453.7328863069361</v>
      </c>
      <c r="AE478" s="62">
        <v>0</v>
      </c>
      <c r="AF478" s="62">
        <v>0</v>
      </c>
      <c r="AG478" s="62">
        <v>0</v>
      </c>
      <c r="AH478" s="62"/>
      <c r="AI478" s="62">
        <v>-35475.620038847628</v>
      </c>
      <c r="AJ478" s="62">
        <v>-35475.620038847628</v>
      </c>
      <c r="AK478" s="62">
        <v>-32063.953044608908</v>
      </c>
      <c r="AL478" s="62">
        <v>-11106.570079999605</v>
      </c>
      <c r="AM478" s="62">
        <v>0</v>
      </c>
    </row>
    <row r="479" spans="1:39">
      <c r="A479" s="9">
        <v>95103</v>
      </c>
      <c r="B479" s="10" t="s">
        <v>1854</v>
      </c>
      <c r="C479" s="60">
        <v>4.9100000000000001E-5</v>
      </c>
      <c r="E479" s="62">
        <v>21907.477319635604</v>
      </c>
      <c r="F479" s="62">
        <v>25786.417591004894</v>
      </c>
      <c r="G479" s="62">
        <v>12984.343424362138</v>
      </c>
      <c r="H479" s="62">
        <v>-5351.5112600000002</v>
      </c>
      <c r="I479" s="62">
        <v>0</v>
      </c>
      <c r="J479" s="62"/>
      <c r="K479" s="62">
        <v>-295.43470000000002</v>
      </c>
      <c r="L479" s="62">
        <v>621.90060000000005</v>
      </c>
      <c r="M479" s="62">
        <v>1153.9482</v>
      </c>
      <c r="N479" s="62">
        <v>717.59649999999999</v>
      </c>
      <c r="O479" s="62">
        <v>0</v>
      </c>
      <c r="P479" s="62"/>
      <c r="Q479" s="62">
        <v>1080.9365</v>
      </c>
      <c r="R479" s="62">
        <v>17933.284</v>
      </c>
      <c r="S479" s="62">
        <v>6862.3141999999998</v>
      </c>
      <c r="T479" s="62">
        <v>-7663.7244000000001</v>
      </c>
      <c r="U479" s="62">
        <v>0</v>
      </c>
      <c r="V479" s="62"/>
      <c r="W479" s="62">
        <v>3205.1007</v>
      </c>
      <c r="X479" s="62">
        <v>3205.1007</v>
      </c>
      <c r="Y479" s="62">
        <v>2946.2946000000002</v>
      </c>
      <c r="Z479" s="62">
        <v>1356.1420000000001</v>
      </c>
      <c r="AA479" s="62">
        <v>0</v>
      </c>
      <c r="AB479" s="62"/>
      <c r="AC479" s="62">
        <v>17916.874819635603</v>
      </c>
      <c r="AD479" s="62">
        <v>4026.1322910048966</v>
      </c>
      <c r="AE479" s="62">
        <v>2021.7864243621364</v>
      </c>
      <c r="AF479" s="62">
        <v>238.47464000000014</v>
      </c>
      <c r="AG479" s="62">
        <v>0</v>
      </c>
      <c r="AH479" s="62"/>
      <c r="AI479" s="62">
        <v>0</v>
      </c>
      <c r="AJ479" s="62">
        <v>0</v>
      </c>
      <c r="AK479" s="62">
        <v>0</v>
      </c>
      <c r="AL479" s="62">
        <v>0</v>
      </c>
      <c r="AM479" s="62">
        <v>0</v>
      </c>
    </row>
    <row r="480" spans="1:39">
      <c r="A480" s="9">
        <v>95104</v>
      </c>
      <c r="B480" s="10" t="s">
        <v>1855</v>
      </c>
      <c r="C480" s="60">
        <v>1.02E-4</v>
      </c>
      <c r="E480" s="62">
        <v>16675.181221296043</v>
      </c>
      <c r="F480" s="62">
        <v>51543.294383951652</v>
      </c>
      <c r="G480" s="62">
        <v>25821.782444691358</v>
      </c>
      <c r="H480" s="62">
        <v>-9655.9324799999977</v>
      </c>
      <c r="I480" s="62">
        <v>0</v>
      </c>
      <c r="J480" s="62"/>
      <c r="K480" s="62">
        <v>-613.73400000000004</v>
      </c>
      <c r="L480" s="62">
        <v>1291.932</v>
      </c>
      <c r="M480" s="62">
        <v>2397.2040000000002</v>
      </c>
      <c r="N480" s="62">
        <v>1490.73</v>
      </c>
      <c r="O480" s="62">
        <v>0</v>
      </c>
      <c r="P480" s="62"/>
      <c r="Q480" s="62">
        <v>2245.5300000000002</v>
      </c>
      <c r="R480" s="62">
        <v>37254.480000000003</v>
      </c>
      <c r="S480" s="62">
        <v>14255.724</v>
      </c>
      <c r="T480" s="62">
        <v>-15920.567999999999</v>
      </c>
      <c r="U480" s="62">
        <v>0</v>
      </c>
      <c r="V480" s="62"/>
      <c r="W480" s="62">
        <v>6658.2539999999999</v>
      </c>
      <c r="X480" s="62">
        <v>6658.2539999999999</v>
      </c>
      <c r="Y480" s="62">
        <v>6120.6120000000001</v>
      </c>
      <c r="Z480" s="62">
        <v>2817.24</v>
      </c>
      <c r="AA480" s="62">
        <v>0</v>
      </c>
      <c r="AB480" s="62"/>
      <c r="AC480" s="62">
        <v>8385.1312212960438</v>
      </c>
      <c r="AD480" s="62">
        <v>6338.6283839516454</v>
      </c>
      <c r="AE480" s="62">
        <v>3048.2424446913578</v>
      </c>
      <c r="AF480" s="62">
        <v>1956.6655200000023</v>
      </c>
      <c r="AG480" s="62">
        <v>0</v>
      </c>
      <c r="AH480" s="62"/>
      <c r="AI480" s="62">
        <v>0</v>
      </c>
      <c r="AJ480" s="62">
        <v>0</v>
      </c>
      <c r="AK480" s="62">
        <v>0</v>
      </c>
      <c r="AL480" s="62">
        <v>0</v>
      </c>
      <c r="AM480" s="62">
        <v>0</v>
      </c>
    </row>
    <row r="481" spans="1:39">
      <c r="A481" s="9">
        <v>95105</v>
      </c>
      <c r="B481" s="10" t="s">
        <v>1856</v>
      </c>
      <c r="C481" s="60">
        <v>6.1099999999999994E-5</v>
      </c>
      <c r="E481" s="62">
        <v>8968.4010692829906</v>
      </c>
      <c r="F481" s="62">
        <v>29320.967929863902</v>
      </c>
      <c r="G481" s="62">
        <v>14898.706254403291</v>
      </c>
      <c r="H481" s="62">
        <v>-6329.3080600000012</v>
      </c>
      <c r="I481" s="62">
        <v>0</v>
      </c>
      <c r="J481" s="62"/>
      <c r="K481" s="62">
        <v>-367.63869999999997</v>
      </c>
      <c r="L481" s="62">
        <v>773.8925999999999</v>
      </c>
      <c r="M481" s="62">
        <v>1435.9721999999999</v>
      </c>
      <c r="N481" s="62">
        <v>892.97649999999987</v>
      </c>
      <c r="O481" s="62">
        <v>0</v>
      </c>
      <c r="P481" s="62"/>
      <c r="Q481" s="62">
        <v>1345.1164999999999</v>
      </c>
      <c r="R481" s="62">
        <v>22316.163999999997</v>
      </c>
      <c r="S481" s="62">
        <v>8539.4581999999991</v>
      </c>
      <c r="T481" s="62">
        <v>-9536.732399999999</v>
      </c>
      <c r="U481" s="62">
        <v>0</v>
      </c>
      <c r="V481" s="62"/>
      <c r="W481" s="62">
        <v>3988.4246999999996</v>
      </c>
      <c r="X481" s="62">
        <v>3988.4246999999996</v>
      </c>
      <c r="Y481" s="62">
        <v>3666.3665999999998</v>
      </c>
      <c r="Z481" s="62">
        <v>1687.5819999999999</v>
      </c>
      <c r="AA481" s="62">
        <v>0</v>
      </c>
      <c r="AB481" s="62"/>
      <c r="AC481" s="62">
        <v>4002.4985692829905</v>
      </c>
      <c r="AD481" s="62">
        <v>2242.4866298639045</v>
      </c>
      <c r="AE481" s="62">
        <v>1256.9092544032917</v>
      </c>
      <c r="AF481" s="62">
        <v>626.86583999999709</v>
      </c>
      <c r="AG481" s="62">
        <v>0</v>
      </c>
      <c r="AH481" s="62"/>
      <c r="AI481" s="62">
        <v>0</v>
      </c>
      <c r="AJ481" s="62">
        <v>0</v>
      </c>
      <c r="AK481" s="62">
        <v>0</v>
      </c>
      <c r="AL481" s="62">
        <v>0</v>
      </c>
      <c r="AM481" s="62">
        <v>0</v>
      </c>
    </row>
    <row r="482" spans="1:39">
      <c r="A482" s="9">
        <v>95106</v>
      </c>
      <c r="B482" s="10" t="s">
        <v>1857</v>
      </c>
      <c r="C482" s="60">
        <v>1.2099999999999999E-5</v>
      </c>
      <c r="E482" s="62">
        <v>3210.1256509355735</v>
      </c>
      <c r="F482" s="62">
        <v>6637.8106575745778</v>
      </c>
      <c r="G482" s="62">
        <v>3042.2051709465022</v>
      </c>
      <c r="H482" s="62">
        <v>-1735.89642</v>
      </c>
      <c r="I482" s="62">
        <v>0</v>
      </c>
      <c r="J482" s="62"/>
      <c r="K482" s="62">
        <v>-72.805700000000002</v>
      </c>
      <c r="L482" s="62">
        <v>153.2586</v>
      </c>
      <c r="M482" s="62">
        <v>284.37419999999997</v>
      </c>
      <c r="N482" s="62">
        <v>176.8415</v>
      </c>
      <c r="O482" s="62">
        <v>0</v>
      </c>
      <c r="P482" s="62"/>
      <c r="Q482" s="62">
        <v>266.38149999999996</v>
      </c>
      <c r="R482" s="62">
        <v>4419.4039999999995</v>
      </c>
      <c r="S482" s="62">
        <v>1691.1201999999998</v>
      </c>
      <c r="T482" s="62">
        <v>-1888.6163999999999</v>
      </c>
      <c r="U482" s="62">
        <v>0</v>
      </c>
      <c r="V482" s="62"/>
      <c r="W482" s="62">
        <v>789.85169999999994</v>
      </c>
      <c r="X482" s="62">
        <v>789.85169999999994</v>
      </c>
      <c r="Y482" s="62">
        <v>726.07259999999997</v>
      </c>
      <c r="Z482" s="62">
        <v>334.202</v>
      </c>
      <c r="AA482" s="62">
        <v>0</v>
      </c>
      <c r="AB482" s="62"/>
      <c r="AC482" s="62">
        <v>2585.0216709355736</v>
      </c>
      <c r="AD482" s="62">
        <v>1633.6198775745779</v>
      </c>
      <c r="AE482" s="62">
        <v>698.96169094650202</v>
      </c>
      <c r="AF482" s="62">
        <v>0</v>
      </c>
      <c r="AG482" s="62">
        <v>0</v>
      </c>
      <c r="AH482" s="62"/>
      <c r="AI482" s="62">
        <v>-358.32352000000009</v>
      </c>
      <c r="AJ482" s="62">
        <v>-358.32352000000009</v>
      </c>
      <c r="AK482" s="62">
        <v>-358.32352000000009</v>
      </c>
      <c r="AL482" s="62">
        <v>-358.32352000000009</v>
      </c>
      <c r="AM482" s="62">
        <v>0</v>
      </c>
    </row>
    <row r="483" spans="1:39">
      <c r="A483" s="9">
        <v>95110</v>
      </c>
      <c r="B483" s="10" t="s">
        <v>1858</v>
      </c>
      <c r="C483" s="60">
        <v>4.2902000000000001E-3</v>
      </c>
      <c r="E483" s="62">
        <v>-284238.28863979946</v>
      </c>
      <c r="F483" s="62">
        <v>1617422.6464382089</v>
      </c>
      <c r="G483" s="62">
        <v>807017.8598367899</v>
      </c>
      <c r="H483" s="62">
        <v>-517858.5849200004</v>
      </c>
      <c r="I483" s="62">
        <v>0</v>
      </c>
      <c r="J483" s="62"/>
      <c r="K483" s="62">
        <v>-25814.133399999999</v>
      </c>
      <c r="L483" s="62">
        <v>54339.673200000005</v>
      </c>
      <c r="M483" s="62">
        <v>100828.2804</v>
      </c>
      <c r="N483" s="62">
        <v>62701.273000000001</v>
      </c>
      <c r="O483" s="62">
        <v>0</v>
      </c>
      <c r="P483" s="62"/>
      <c r="Q483" s="62">
        <v>94448.752999999997</v>
      </c>
      <c r="R483" s="62">
        <v>1566952.648</v>
      </c>
      <c r="S483" s="62">
        <v>599606.93240000005</v>
      </c>
      <c r="T483" s="62">
        <v>-669631.57680000004</v>
      </c>
      <c r="U483" s="62">
        <v>0</v>
      </c>
      <c r="V483" s="62"/>
      <c r="W483" s="62">
        <v>280051.38540000003</v>
      </c>
      <c r="X483" s="62">
        <v>280051.38540000003</v>
      </c>
      <c r="Y483" s="62">
        <v>257437.74120000002</v>
      </c>
      <c r="Z483" s="62">
        <v>118495.32400000001</v>
      </c>
      <c r="AA483" s="62">
        <v>0</v>
      </c>
      <c r="AB483" s="62"/>
      <c r="AC483" s="62">
        <v>0</v>
      </c>
      <c r="AD483" s="62">
        <v>0</v>
      </c>
      <c r="AE483" s="62">
        <v>0</v>
      </c>
      <c r="AF483" s="62">
        <v>0</v>
      </c>
      <c r="AG483" s="62">
        <v>0</v>
      </c>
      <c r="AH483" s="62"/>
      <c r="AI483" s="62">
        <v>-632924.29363979946</v>
      </c>
      <c r="AJ483" s="62">
        <v>-283921.06016179116</v>
      </c>
      <c r="AK483" s="62">
        <v>-150855.09416321025</v>
      </c>
      <c r="AL483" s="62">
        <v>-29423.605120000429</v>
      </c>
      <c r="AM483" s="62">
        <v>0</v>
      </c>
    </row>
    <row r="484" spans="1:39">
      <c r="A484" s="9">
        <v>95111</v>
      </c>
      <c r="B484" s="10" t="s">
        <v>1859</v>
      </c>
      <c r="C484" s="60">
        <v>1.0778999999999999E-3</v>
      </c>
      <c r="E484" s="62">
        <v>28290.625071392104</v>
      </c>
      <c r="F484" s="62">
        <v>441221.76617064513</v>
      </c>
      <c r="G484" s="62">
        <v>219796.94043102872</v>
      </c>
      <c r="H484" s="62">
        <v>-126513.30622000009</v>
      </c>
      <c r="I484" s="62">
        <v>0</v>
      </c>
      <c r="J484" s="62"/>
      <c r="K484" s="62">
        <v>-6485.7242999999999</v>
      </c>
      <c r="L484" s="62">
        <v>13652.681399999999</v>
      </c>
      <c r="M484" s="62">
        <v>25332.805799999998</v>
      </c>
      <c r="N484" s="62">
        <v>15753.508499999998</v>
      </c>
      <c r="O484" s="62">
        <v>0</v>
      </c>
      <c r="P484" s="62"/>
      <c r="Q484" s="62">
        <v>23729.968499999999</v>
      </c>
      <c r="R484" s="62">
        <v>393692.19599999994</v>
      </c>
      <c r="S484" s="62">
        <v>150649.45979999998</v>
      </c>
      <c r="T484" s="62">
        <v>-168242.9436</v>
      </c>
      <c r="U484" s="62">
        <v>0</v>
      </c>
      <c r="V484" s="62"/>
      <c r="W484" s="62">
        <v>70362.078299999994</v>
      </c>
      <c r="X484" s="62">
        <v>70362.078299999994</v>
      </c>
      <c r="Y484" s="62">
        <v>64680.467399999994</v>
      </c>
      <c r="Z484" s="62">
        <v>29771.597999999998</v>
      </c>
      <c r="AA484" s="62">
        <v>0</v>
      </c>
      <c r="AB484" s="62"/>
      <c r="AC484" s="62">
        <v>0</v>
      </c>
      <c r="AD484" s="62">
        <v>0</v>
      </c>
      <c r="AE484" s="62">
        <v>0</v>
      </c>
      <c r="AF484" s="62">
        <v>0</v>
      </c>
      <c r="AG484" s="62">
        <v>0</v>
      </c>
      <c r="AH484" s="62"/>
      <c r="AI484" s="62">
        <v>-59315.697428607891</v>
      </c>
      <c r="AJ484" s="62">
        <v>-36485.189529354771</v>
      </c>
      <c r="AK484" s="62">
        <v>-20865.792568971243</v>
      </c>
      <c r="AL484" s="62">
        <v>-3795.4691200000816</v>
      </c>
      <c r="AM484" s="62">
        <v>0</v>
      </c>
    </row>
    <row r="485" spans="1:39">
      <c r="A485" s="9">
        <v>95113</v>
      </c>
      <c r="B485" s="10" t="s">
        <v>1860</v>
      </c>
      <c r="C485" s="60">
        <v>4.6699999999999997E-5</v>
      </c>
      <c r="E485" s="62">
        <v>35113.807503722484</v>
      </c>
      <c r="F485" s="62">
        <v>46348.678242311697</v>
      </c>
      <c r="G485" s="62">
        <v>27203.747894238684</v>
      </c>
      <c r="H485" s="62">
        <v>3498.6276999999973</v>
      </c>
      <c r="I485" s="62">
        <v>0</v>
      </c>
      <c r="J485" s="62"/>
      <c r="K485" s="62">
        <v>-280.9939</v>
      </c>
      <c r="L485" s="62">
        <v>591.5021999999999</v>
      </c>
      <c r="M485" s="62">
        <v>1097.5434</v>
      </c>
      <c r="N485" s="62">
        <v>682.52049999999997</v>
      </c>
      <c r="O485" s="62">
        <v>0</v>
      </c>
      <c r="P485" s="62"/>
      <c r="Q485" s="62">
        <v>1028.1005</v>
      </c>
      <c r="R485" s="62">
        <v>17056.707999999999</v>
      </c>
      <c r="S485" s="62">
        <v>6526.8853999999992</v>
      </c>
      <c r="T485" s="62">
        <v>-7289.1227999999992</v>
      </c>
      <c r="U485" s="62">
        <v>0</v>
      </c>
      <c r="V485" s="62"/>
      <c r="W485" s="62">
        <v>3048.4358999999999</v>
      </c>
      <c r="X485" s="62">
        <v>3048.4358999999999</v>
      </c>
      <c r="Y485" s="62">
        <v>2802.2801999999997</v>
      </c>
      <c r="Z485" s="62">
        <v>1289.8539999999998</v>
      </c>
      <c r="AA485" s="62">
        <v>0</v>
      </c>
      <c r="AB485" s="62"/>
      <c r="AC485" s="62">
        <v>31318.265003722485</v>
      </c>
      <c r="AD485" s="62">
        <v>25652.032142311698</v>
      </c>
      <c r="AE485" s="62">
        <v>16777.038894238685</v>
      </c>
      <c r="AF485" s="62">
        <v>8815.3759999999966</v>
      </c>
      <c r="AG485" s="62">
        <v>0</v>
      </c>
      <c r="AH485" s="62"/>
      <c r="AI485" s="62">
        <v>0</v>
      </c>
      <c r="AJ485" s="62">
        <v>0</v>
      </c>
      <c r="AK485" s="62">
        <v>0</v>
      </c>
      <c r="AL485" s="62">
        <v>0</v>
      </c>
      <c r="AM485" s="62">
        <v>0</v>
      </c>
    </row>
    <row r="486" spans="1:39">
      <c r="A486" s="9">
        <v>95121</v>
      </c>
      <c r="B486" s="10" t="s">
        <v>1861</v>
      </c>
      <c r="C486" s="60">
        <v>4.9770000000000001E-4</v>
      </c>
      <c r="E486" s="62">
        <v>32950.489842422321</v>
      </c>
      <c r="F486" s="62">
        <v>225153.26142084558</v>
      </c>
      <c r="G486" s="62">
        <v>112736.92448757197</v>
      </c>
      <c r="H486" s="62">
        <v>-57090.698740000029</v>
      </c>
      <c r="I486" s="62">
        <v>0</v>
      </c>
      <c r="J486" s="62"/>
      <c r="K486" s="62">
        <v>-2994.6608999999999</v>
      </c>
      <c r="L486" s="62">
        <v>6303.8681999999999</v>
      </c>
      <c r="M486" s="62">
        <v>11696.945400000001</v>
      </c>
      <c r="N486" s="62">
        <v>7273.8855000000003</v>
      </c>
      <c r="O486" s="62">
        <v>0</v>
      </c>
      <c r="P486" s="62"/>
      <c r="Q486" s="62">
        <v>10956.8655</v>
      </c>
      <c r="R486" s="62">
        <v>181779.948</v>
      </c>
      <c r="S486" s="62">
        <v>69559.547399999996</v>
      </c>
      <c r="T486" s="62">
        <v>-77683.006800000003</v>
      </c>
      <c r="U486" s="62">
        <v>0</v>
      </c>
      <c r="V486" s="62"/>
      <c r="W486" s="62">
        <v>32488.3629</v>
      </c>
      <c r="X486" s="62">
        <v>32488.3629</v>
      </c>
      <c r="Y486" s="62">
        <v>29864.986199999999</v>
      </c>
      <c r="Z486" s="62">
        <v>13746.474</v>
      </c>
      <c r="AA486" s="62">
        <v>0</v>
      </c>
      <c r="AB486" s="62"/>
      <c r="AC486" s="62">
        <v>5587.1037824223595</v>
      </c>
      <c r="AD486" s="62">
        <v>5009.1337608455951</v>
      </c>
      <c r="AE486" s="62">
        <v>2043.4969275720189</v>
      </c>
      <c r="AF486" s="62">
        <v>0</v>
      </c>
      <c r="AG486" s="62">
        <v>0</v>
      </c>
      <c r="AH486" s="62"/>
      <c r="AI486" s="62">
        <v>-13087.181440000037</v>
      </c>
      <c r="AJ486" s="62">
        <v>-428.05144000003344</v>
      </c>
      <c r="AK486" s="62">
        <v>-428.05144000003344</v>
      </c>
      <c r="AL486" s="62">
        <v>-428.05144000003344</v>
      </c>
      <c r="AM486" s="62">
        <v>0</v>
      </c>
    </row>
    <row r="487" spans="1:39">
      <c r="A487" s="9">
        <v>95122</v>
      </c>
      <c r="B487" s="10" t="s">
        <v>1862</v>
      </c>
      <c r="C487" s="60">
        <v>6.4999999999999996E-6</v>
      </c>
      <c r="E487" s="62">
        <v>1631.4660059590537</v>
      </c>
      <c r="F487" s="62">
        <v>3943.3572358345718</v>
      </c>
      <c r="G487" s="62">
        <v>2315.9857122633753</v>
      </c>
      <c r="H487" s="62">
        <v>-96.049539999999411</v>
      </c>
      <c r="I487" s="62">
        <v>0</v>
      </c>
      <c r="J487" s="62"/>
      <c r="K487" s="62">
        <v>-39.110499999999995</v>
      </c>
      <c r="L487" s="62">
        <v>82.328999999999994</v>
      </c>
      <c r="M487" s="62">
        <v>152.76299999999998</v>
      </c>
      <c r="N487" s="62">
        <v>94.997499999999988</v>
      </c>
      <c r="O487" s="62">
        <v>0</v>
      </c>
      <c r="P487" s="62"/>
      <c r="Q487" s="62">
        <v>143.0975</v>
      </c>
      <c r="R487" s="62">
        <v>2374.06</v>
      </c>
      <c r="S487" s="62">
        <v>908.45299999999997</v>
      </c>
      <c r="T487" s="62">
        <v>-1014.5459999999999</v>
      </c>
      <c r="U487" s="62">
        <v>0</v>
      </c>
      <c r="V487" s="62"/>
      <c r="W487" s="62">
        <v>424.3005</v>
      </c>
      <c r="X487" s="62">
        <v>424.3005</v>
      </c>
      <c r="Y487" s="62">
        <v>390.03899999999999</v>
      </c>
      <c r="Z487" s="62">
        <v>179.53</v>
      </c>
      <c r="AA487" s="62">
        <v>0</v>
      </c>
      <c r="AB487" s="62"/>
      <c r="AC487" s="62">
        <v>1103.1785059590536</v>
      </c>
      <c r="AD487" s="62">
        <v>1062.6677358345721</v>
      </c>
      <c r="AE487" s="62">
        <v>864.73071226337527</v>
      </c>
      <c r="AF487" s="62">
        <v>643.96896000000061</v>
      </c>
      <c r="AG487" s="62">
        <v>0</v>
      </c>
      <c r="AH487" s="62"/>
      <c r="AI487" s="62">
        <v>0</v>
      </c>
      <c r="AJ487" s="62">
        <v>0</v>
      </c>
      <c r="AK487" s="62">
        <v>0</v>
      </c>
      <c r="AL487" s="62">
        <v>0</v>
      </c>
      <c r="AM487" s="62">
        <v>0</v>
      </c>
    </row>
    <row r="488" spans="1:39">
      <c r="A488" s="9">
        <v>95123</v>
      </c>
      <c r="B488" s="10" t="s">
        <v>1863</v>
      </c>
      <c r="C488" s="60">
        <v>5.7399999999999999E-5</v>
      </c>
      <c r="E488" s="62">
        <v>6509.4500347441208</v>
      </c>
      <c r="F488" s="62">
        <v>28496.848327690175</v>
      </c>
      <c r="G488" s="62">
        <v>14580.275006666665</v>
      </c>
      <c r="H488" s="62">
        <v>-5849.7831600000018</v>
      </c>
      <c r="I488" s="62">
        <v>0</v>
      </c>
      <c r="J488" s="62"/>
      <c r="K488" s="62">
        <v>-345.37579999999997</v>
      </c>
      <c r="L488" s="62">
        <v>727.02840000000003</v>
      </c>
      <c r="M488" s="62">
        <v>1349.0147999999999</v>
      </c>
      <c r="N488" s="62">
        <v>838.90099999999995</v>
      </c>
      <c r="O488" s="62">
        <v>0</v>
      </c>
      <c r="P488" s="62"/>
      <c r="Q488" s="62">
        <v>1263.6610000000001</v>
      </c>
      <c r="R488" s="62">
        <v>20964.775999999998</v>
      </c>
      <c r="S488" s="62">
        <v>8022.3387999999995</v>
      </c>
      <c r="T488" s="62">
        <v>-8959.2216000000008</v>
      </c>
      <c r="U488" s="62">
        <v>0</v>
      </c>
      <c r="V488" s="62"/>
      <c r="W488" s="62">
        <v>3746.8998000000001</v>
      </c>
      <c r="X488" s="62">
        <v>3746.8998000000001</v>
      </c>
      <c r="Y488" s="62">
        <v>3444.3444</v>
      </c>
      <c r="Z488" s="62">
        <v>1585.3879999999999</v>
      </c>
      <c r="AA488" s="62">
        <v>0</v>
      </c>
      <c r="AB488" s="62"/>
      <c r="AC488" s="62">
        <v>3303.5250347441206</v>
      </c>
      <c r="AD488" s="62">
        <v>3058.1441276901787</v>
      </c>
      <c r="AE488" s="62">
        <v>1764.577006666666</v>
      </c>
      <c r="AF488" s="62">
        <v>685.14943999999957</v>
      </c>
      <c r="AG488" s="62">
        <v>0</v>
      </c>
      <c r="AH488" s="62"/>
      <c r="AI488" s="62">
        <v>-1459.2600000000002</v>
      </c>
      <c r="AJ488" s="62">
        <v>0</v>
      </c>
      <c r="AK488" s="62">
        <v>0</v>
      </c>
      <c r="AL488" s="62">
        <v>0</v>
      </c>
      <c r="AM488" s="62">
        <v>0</v>
      </c>
    </row>
    <row r="489" spans="1:39">
      <c r="A489" s="9">
        <v>95131</v>
      </c>
      <c r="B489" s="10" t="s">
        <v>1864</v>
      </c>
      <c r="C489" s="60">
        <v>1.6682999999999999E-3</v>
      </c>
      <c r="E489" s="62">
        <v>169442.0478941765</v>
      </c>
      <c r="F489" s="62">
        <v>771785.09271193575</v>
      </c>
      <c r="G489" s="62">
        <v>393891.90617308638</v>
      </c>
      <c r="H489" s="62">
        <v>-172520.38238000005</v>
      </c>
      <c r="I489" s="62">
        <v>0</v>
      </c>
      <c r="J489" s="62"/>
      <c r="K489" s="62">
        <v>-10038.161099999999</v>
      </c>
      <c r="L489" s="62">
        <v>21130.6878</v>
      </c>
      <c r="M489" s="62">
        <v>39208.386599999998</v>
      </c>
      <c r="N489" s="62">
        <v>24382.2045</v>
      </c>
      <c r="O489" s="62">
        <v>0</v>
      </c>
      <c r="P489" s="62"/>
      <c r="Q489" s="62">
        <v>36727.624499999998</v>
      </c>
      <c r="R489" s="62">
        <v>609329.89199999999</v>
      </c>
      <c r="S489" s="62">
        <v>233164.94459999999</v>
      </c>
      <c r="T489" s="62">
        <v>-260394.93719999999</v>
      </c>
      <c r="U489" s="62">
        <v>0</v>
      </c>
      <c r="V489" s="62"/>
      <c r="W489" s="62">
        <v>108901.6191</v>
      </c>
      <c r="X489" s="62">
        <v>108901.6191</v>
      </c>
      <c r="Y489" s="62">
        <v>100108.0098</v>
      </c>
      <c r="Z489" s="62">
        <v>46078.445999999996</v>
      </c>
      <c r="AA489" s="62">
        <v>0</v>
      </c>
      <c r="AB489" s="62"/>
      <c r="AC489" s="62">
        <v>34697.415394176525</v>
      </c>
      <c r="AD489" s="62">
        <v>32422.89381193585</v>
      </c>
      <c r="AE489" s="62">
        <v>21410.565173086354</v>
      </c>
      <c r="AF489" s="62">
        <v>17413.904319999951</v>
      </c>
      <c r="AG489" s="62">
        <v>0</v>
      </c>
      <c r="AH489" s="62"/>
      <c r="AI489" s="62">
        <v>-846.45000000000016</v>
      </c>
      <c r="AJ489" s="62">
        <v>0</v>
      </c>
      <c r="AK489" s="62">
        <v>0</v>
      </c>
      <c r="AL489" s="62">
        <v>0</v>
      </c>
      <c r="AM489" s="62">
        <v>0</v>
      </c>
    </row>
    <row r="490" spans="1:39">
      <c r="A490" s="9">
        <v>95141</v>
      </c>
      <c r="B490" s="10" t="s">
        <v>1865</v>
      </c>
      <c r="C490" s="60">
        <v>3.2220000000000003E-4</v>
      </c>
      <c r="E490" s="62">
        <v>14941.457142805506</v>
      </c>
      <c r="F490" s="62">
        <v>131974.41150844865</v>
      </c>
      <c r="G490" s="62">
        <v>68827.098392263375</v>
      </c>
      <c r="H490" s="62">
        <v>-39384.435560000013</v>
      </c>
      <c r="I490" s="62">
        <v>0</v>
      </c>
      <c r="J490" s="62"/>
      <c r="K490" s="62">
        <v>-1938.6774000000003</v>
      </c>
      <c r="L490" s="62">
        <v>4080.9852000000005</v>
      </c>
      <c r="M490" s="62">
        <v>7572.3444000000009</v>
      </c>
      <c r="N490" s="62">
        <v>4708.9530000000004</v>
      </c>
      <c r="O490" s="62">
        <v>0</v>
      </c>
      <c r="P490" s="62"/>
      <c r="Q490" s="62">
        <v>7093.2330000000002</v>
      </c>
      <c r="R490" s="62">
        <v>117680.32800000001</v>
      </c>
      <c r="S490" s="62">
        <v>45031.316400000003</v>
      </c>
      <c r="T490" s="62">
        <v>-50290.264800000004</v>
      </c>
      <c r="U490" s="62">
        <v>0</v>
      </c>
      <c r="V490" s="62"/>
      <c r="W490" s="62">
        <v>21032.249400000001</v>
      </c>
      <c r="X490" s="62">
        <v>21032.249400000001</v>
      </c>
      <c r="Y490" s="62">
        <v>19333.933200000003</v>
      </c>
      <c r="Z490" s="62">
        <v>8899.1640000000007</v>
      </c>
      <c r="AA490" s="62">
        <v>0</v>
      </c>
      <c r="AB490" s="62"/>
      <c r="AC490" s="62">
        <v>1251.3600000000004</v>
      </c>
      <c r="AD490" s="62">
        <v>0</v>
      </c>
      <c r="AE490" s="62">
        <v>0</v>
      </c>
      <c r="AF490" s="62">
        <v>0</v>
      </c>
      <c r="AG490" s="62">
        <v>0</v>
      </c>
      <c r="AH490" s="62"/>
      <c r="AI490" s="62">
        <v>-12496.707857194495</v>
      </c>
      <c r="AJ490" s="62">
        <v>-10819.151091551343</v>
      </c>
      <c r="AK490" s="62">
        <v>-3110.4956077366428</v>
      </c>
      <c r="AL490" s="62">
        <v>-2702.2877600000093</v>
      </c>
      <c r="AM490" s="62">
        <v>0</v>
      </c>
    </row>
    <row r="491" spans="1:39">
      <c r="A491" s="9">
        <v>95151</v>
      </c>
      <c r="B491" s="10" t="s">
        <v>1866</v>
      </c>
      <c r="C491" s="60">
        <v>1.092E-4</v>
      </c>
      <c r="E491" s="62">
        <v>5539.4400059470918</v>
      </c>
      <c r="F491" s="62">
        <v>45012.566433084023</v>
      </c>
      <c r="G491" s="62">
        <v>22461.976506502051</v>
      </c>
      <c r="H491" s="62">
        <v>-14232.396240000002</v>
      </c>
      <c r="I491" s="62">
        <v>0</v>
      </c>
      <c r="J491" s="62"/>
      <c r="K491" s="62">
        <v>-657.05639999999994</v>
      </c>
      <c r="L491" s="62">
        <v>1383.1271999999999</v>
      </c>
      <c r="M491" s="62">
        <v>2566.4184</v>
      </c>
      <c r="N491" s="62">
        <v>1595.9580000000001</v>
      </c>
      <c r="O491" s="62">
        <v>0</v>
      </c>
      <c r="P491" s="62"/>
      <c r="Q491" s="62">
        <v>2404.038</v>
      </c>
      <c r="R491" s="62">
        <v>39884.207999999999</v>
      </c>
      <c r="S491" s="62">
        <v>15262.010399999999</v>
      </c>
      <c r="T491" s="62">
        <v>-17044.372800000001</v>
      </c>
      <c r="U491" s="62">
        <v>0</v>
      </c>
      <c r="V491" s="62"/>
      <c r="W491" s="62">
        <v>7128.2483999999995</v>
      </c>
      <c r="X491" s="62">
        <v>7128.2483999999995</v>
      </c>
      <c r="Y491" s="62">
        <v>6552.6552000000001</v>
      </c>
      <c r="Z491" s="62">
        <v>3016.1039999999998</v>
      </c>
      <c r="AA491" s="62">
        <v>0</v>
      </c>
      <c r="AB491" s="62"/>
      <c r="AC491" s="62">
        <v>364.32000000000005</v>
      </c>
      <c r="AD491" s="62">
        <v>0</v>
      </c>
      <c r="AE491" s="62">
        <v>0</v>
      </c>
      <c r="AF491" s="62">
        <v>0</v>
      </c>
      <c r="AG491" s="62">
        <v>0</v>
      </c>
      <c r="AH491" s="62"/>
      <c r="AI491" s="62">
        <v>-3700.109994052908</v>
      </c>
      <c r="AJ491" s="62">
        <v>-3383.0171669159786</v>
      </c>
      <c r="AK491" s="62">
        <v>-1919.107493497947</v>
      </c>
      <c r="AL491" s="62">
        <v>-1800.0854399999998</v>
      </c>
      <c r="AM491" s="62">
        <v>0</v>
      </c>
    </row>
    <row r="492" spans="1:39">
      <c r="A492" s="9">
        <v>95161</v>
      </c>
      <c r="B492" s="10" t="s">
        <v>1867</v>
      </c>
      <c r="C492" s="60">
        <v>6.8100000000000002E-5</v>
      </c>
      <c r="E492" s="62">
        <v>6819.0195096934913</v>
      </c>
      <c r="F492" s="62">
        <v>31273.026260896811</v>
      </c>
      <c r="G492" s="62">
        <v>16702.000712263376</v>
      </c>
      <c r="H492" s="62">
        <v>-7511.4115399999991</v>
      </c>
      <c r="I492" s="62">
        <v>0</v>
      </c>
      <c r="J492" s="62"/>
      <c r="K492" s="62">
        <v>-409.7577</v>
      </c>
      <c r="L492" s="62">
        <v>862.55460000000005</v>
      </c>
      <c r="M492" s="62">
        <v>1600.4862000000001</v>
      </c>
      <c r="N492" s="62">
        <v>995.28150000000005</v>
      </c>
      <c r="O492" s="62">
        <v>0</v>
      </c>
      <c r="P492" s="62"/>
      <c r="Q492" s="62">
        <v>1499.2215000000001</v>
      </c>
      <c r="R492" s="62">
        <v>24872.844000000001</v>
      </c>
      <c r="S492" s="62">
        <v>9517.7921999999999</v>
      </c>
      <c r="T492" s="62">
        <v>-10629.320400000001</v>
      </c>
      <c r="U492" s="62">
        <v>0</v>
      </c>
      <c r="V492" s="62"/>
      <c r="W492" s="62">
        <v>4445.3636999999999</v>
      </c>
      <c r="X492" s="62">
        <v>4445.3636999999999</v>
      </c>
      <c r="Y492" s="62">
        <v>4086.4086000000002</v>
      </c>
      <c r="Z492" s="62">
        <v>1880.922</v>
      </c>
      <c r="AA492" s="62">
        <v>0</v>
      </c>
      <c r="AB492" s="62"/>
      <c r="AC492" s="62">
        <v>2027.4250719341562</v>
      </c>
      <c r="AD492" s="62">
        <v>1701.7150719341562</v>
      </c>
      <c r="AE492" s="62">
        <v>1497.3137122633748</v>
      </c>
      <c r="AF492" s="62">
        <v>241.70535999999993</v>
      </c>
      <c r="AG492" s="62">
        <v>0</v>
      </c>
      <c r="AH492" s="62"/>
      <c r="AI492" s="62">
        <v>-743.23306224066391</v>
      </c>
      <c r="AJ492" s="62">
        <v>-609.45111103734462</v>
      </c>
      <c r="AK492" s="62">
        <v>0</v>
      </c>
      <c r="AL492" s="62">
        <v>0</v>
      </c>
      <c r="AM492" s="62">
        <v>0</v>
      </c>
    </row>
    <row r="493" spans="1:39">
      <c r="A493" s="9">
        <v>95171</v>
      </c>
      <c r="B493" s="10" t="s">
        <v>1868</v>
      </c>
      <c r="C493" s="60">
        <v>1.0459999999999999E-4</v>
      </c>
      <c r="E493" s="62">
        <v>4899.0898771886659</v>
      </c>
      <c r="F493" s="62">
        <v>46404.977545072477</v>
      </c>
      <c r="G493" s="62">
        <v>20530.727004938275</v>
      </c>
      <c r="H493" s="62">
        <v>-13813.407800000001</v>
      </c>
      <c r="I493" s="62">
        <v>0</v>
      </c>
      <c r="J493" s="62"/>
      <c r="K493" s="62">
        <v>-629.37819999999999</v>
      </c>
      <c r="L493" s="62">
        <v>1324.8635999999999</v>
      </c>
      <c r="M493" s="62">
        <v>2458.3091999999997</v>
      </c>
      <c r="N493" s="62">
        <v>1528.7289999999998</v>
      </c>
      <c r="O493" s="62">
        <v>0</v>
      </c>
      <c r="P493" s="62"/>
      <c r="Q493" s="62">
        <v>2302.7689999999998</v>
      </c>
      <c r="R493" s="62">
        <v>38204.103999999999</v>
      </c>
      <c r="S493" s="62">
        <v>14619.1052</v>
      </c>
      <c r="T493" s="62">
        <v>-16326.386399999999</v>
      </c>
      <c r="U493" s="62">
        <v>0</v>
      </c>
      <c r="V493" s="62"/>
      <c r="W493" s="62">
        <v>6827.9741999999997</v>
      </c>
      <c r="X493" s="62">
        <v>6827.9741999999997</v>
      </c>
      <c r="Y493" s="62">
        <v>6276.6275999999998</v>
      </c>
      <c r="Z493" s="62">
        <v>2889.0519999999997</v>
      </c>
      <c r="AA493" s="62">
        <v>0</v>
      </c>
      <c r="AB493" s="62"/>
      <c r="AC493" s="62">
        <v>3683.9951784232339</v>
      </c>
      <c r="AD493" s="62">
        <v>3020.876046307053</v>
      </c>
      <c r="AE493" s="62">
        <v>0</v>
      </c>
      <c r="AF493" s="62">
        <v>0</v>
      </c>
      <c r="AG493" s="62">
        <v>0</v>
      </c>
      <c r="AH493" s="62"/>
      <c r="AI493" s="62">
        <v>-7286.2703012345683</v>
      </c>
      <c r="AJ493" s="62">
        <v>-2972.8403012345666</v>
      </c>
      <c r="AK493" s="62">
        <v>-2823.3149950617276</v>
      </c>
      <c r="AL493" s="62">
        <v>-1904.8024000000005</v>
      </c>
      <c r="AM493" s="62">
        <v>0</v>
      </c>
    </row>
    <row r="494" spans="1:39">
      <c r="A494" s="9">
        <v>95181</v>
      </c>
      <c r="B494" s="10" t="s">
        <v>1869</v>
      </c>
      <c r="C494" s="60">
        <v>7.7100000000000004E-5</v>
      </c>
      <c r="E494" s="62">
        <v>3824.9714928220797</v>
      </c>
      <c r="F494" s="62">
        <v>31917.35961340299</v>
      </c>
      <c r="G494" s="62">
        <v>14696.021160246904</v>
      </c>
      <c r="H494" s="62">
        <v>-9971.1326200000021</v>
      </c>
      <c r="I494" s="62">
        <v>0</v>
      </c>
      <c r="J494" s="62"/>
      <c r="K494" s="62">
        <v>-463.91070000000002</v>
      </c>
      <c r="L494" s="62">
        <v>976.54860000000008</v>
      </c>
      <c r="M494" s="62">
        <v>1812.0042000000001</v>
      </c>
      <c r="N494" s="62">
        <v>1126.8165000000001</v>
      </c>
      <c r="O494" s="62">
        <v>0</v>
      </c>
      <c r="P494" s="62"/>
      <c r="Q494" s="62">
        <v>1697.3565000000001</v>
      </c>
      <c r="R494" s="62">
        <v>28160.004000000001</v>
      </c>
      <c r="S494" s="62">
        <v>10775.6502</v>
      </c>
      <c r="T494" s="62">
        <v>-12034.0764</v>
      </c>
      <c r="U494" s="62">
        <v>0</v>
      </c>
      <c r="V494" s="62"/>
      <c r="W494" s="62">
        <v>5032.8567000000003</v>
      </c>
      <c r="X494" s="62">
        <v>5032.8567000000003</v>
      </c>
      <c r="Y494" s="62">
        <v>4626.4625999999998</v>
      </c>
      <c r="Z494" s="62">
        <v>2129.502</v>
      </c>
      <c r="AA494" s="62">
        <v>0</v>
      </c>
      <c r="AB494" s="62"/>
      <c r="AC494" s="62">
        <v>587.437107883816</v>
      </c>
      <c r="AD494" s="62">
        <v>481.69842846472926</v>
      </c>
      <c r="AE494" s="62">
        <v>0</v>
      </c>
      <c r="AF494" s="62">
        <v>0</v>
      </c>
      <c r="AG494" s="62">
        <v>0</v>
      </c>
      <c r="AH494" s="62"/>
      <c r="AI494" s="62">
        <v>-3028.7681150617359</v>
      </c>
      <c r="AJ494" s="62">
        <v>-2733.7481150617359</v>
      </c>
      <c r="AK494" s="62">
        <v>-2518.0958397530935</v>
      </c>
      <c r="AL494" s="62">
        <v>-1193.3747200000028</v>
      </c>
      <c r="AM494" s="62">
        <v>0</v>
      </c>
    </row>
    <row r="495" spans="1:39">
      <c r="A495" s="9">
        <v>95191</v>
      </c>
      <c r="B495" s="10" t="s">
        <v>1870</v>
      </c>
      <c r="C495" s="60">
        <v>5.3999999999999998E-5</v>
      </c>
      <c r="E495" s="62">
        <v>8805.7226633437494</v>
      </c>
      <c r="F495" s="62">
        <v>25726.965762015945</v>
      </c>
      <c r="G495" s="62">
        <v>11768.871131687241</v>
      </c>
      <c r="H495" s="62">
        <v>-4843.8032000000003</v>
      </c>
      <c r="I495" s="62">
        <v>0</v>
      </c>
      <c r="J495" s="62"/>
      <c r="K495" s="62">
        <v>-324.91800000000001</v>
      </c>
      <c r="L495" s="62">
        <v>683.96399999999994</v>
      </c>
      <c r="M495" s="62">
        <v>1269.1079999999999</v>
      </c>
      <c r="N495" s="62">
        <v>789.20999999999992</v>
      </c>
      <c r="O495" s="62">
        <v>0</v>
      </c>
      <c r="P495" s="62"/>
      <c r="Q495" s="62">
        <v>1188.81</v>
      </c>
      <c r="R495" s="62">
        <v>19722.96</v>
      </c>
      <c r="S495" s="62">
        <v>7547.1480000000001</v>
      </c>
      <c r="T495" s="62">
        <v>-8428.5360000000001</v>
      </c>
      <c r="U495" s="62">
        <v>0</v>
      </c>
      <c r="V495" s="62"/>
      <c r="W495" s="62">
        <v>3524.9580000000001</v>
      </c>
      <c r="X495" s="62">
        <v>3524.9580000000001</v>
      </c>
      <c r="Y495" s="62">
        <v>3240.3240000000001</v>
      </c>
      <c r="Z495" s="62">
        <v>1491.48</v>
      </c>
      <c r="AA495" s="62">
        <v>0</v>
      </c>
      <c r="AB495" s="62"/>
      <c r="AC495" s="62">
        <v>6267.7466962655599</v>
      </c>
      <c r="AD495" s="62">
        <v>3645.9577949377599</v>
      </c>
      <c r="AE495" s="62">
        <v>1304.0427999999993</v>
      </c>
      <c r="AF495" s="62">
        <v>1304.0427999999993</v>
      </c>
      <c r="AG495" s="62">
        <v>0</v>
      </c>
      <c r="AH495" s="62"/>
      <c r="AI495" s="62">
        <v>-1850.874032921811</v>
      </c>
      <c r="AJ495" s="62">
        <v>-1850.874032921811</v>
      </c>
      <c r="AK495" s="62">
        <v>-1591.7516683127581</v>
      </c>
      <c r="AL495" s="62">
        <v>0</v>
      </c>
      <c r="AM495" s="62">
        <v>0</v>
      </c>
    </row>
    <row r="496" spans="1:39">
      <c r="A496" s="9">
        <v>95201</v>
      </c>
      <c r="B496" s="10" t="s">
        <v>1871</v>
      </c>
      <c r="C496" s="60">
        <v>7.0969999999999996E-4</v>
      </c>
      <c r="E496" s="62">
        <v>48023.799526352523</v>
      </c>
      <c r="F496" s="62">
        <v>307511.96797722392</v>
      </c>
      <c r="G496" s="62">
        <v>160390.94984189305</v>
      </c>
      <c r="H496" s="62">
        <v>-80746.154739999925</v>
      </c>
      <c r="I496" s="62">
        <v>0</v>
      </c>
      <c r="J496" s="62"/>
      <c r="K496" s="62">
        <v>-4270.2649000000001</v>
      </c>
      <c r="L496" s="62">
        <v>8989.0601999999999</v>
      </c>
      <c r="M496" s="62">
        <v>16679.3694</v>
      </c>
      <c r="N496" s="62">
        <v>10372.2655</v>
      </c>
      <c r="O496" s="62">
        <v>0</v>
      </c>
      <c r="P496" s="62"/>
      <c r="Q496" s="62">
        <v>15624.045499999998</v>
      </c>
      <c r="R496" s="62">
        <v>259210.82799999998</v>
      </c>
      <c r="S496" s="62">
        <v>99189.09139999999</v>
      </c>
      <c r="T496" s="62">
        <v>-110772.81479999999</v>
      </c>
      <c r="U496" s="62">
        <v>0</v>
      </c>
      <c r="V496" s="62"/>
      <c r="W496" s="62">
        <v>46327.086899999995</v>
      </c>
      <c r="X496" s="62">
        <v>46327.086899999995</v>
      </c>
      <c r="Y496" s="62">
        <v>42586.258199999997</v>
      </c>
      <c r="Z496" s="62">
        <v>19601.913999999997</v>
      </c>
      <c r="AA496" s="62">
        <v>0</v>
      </c>
      <c r="AB496" s="62"/>
      <c r="AC496" s="62">
        <v>2242.8878645268051</v>
      </c>
      <c r="AD496" s="62">
        <v>2242.8878645268051</v>
      </c>
      <c r="AE496" s="62">
        <v>1936.2308418930622</v>
      </c>
      <c r="AF496" s="62">
        <v>52.480560000066362</v>
      </c>
      <c r="AG496" s="62">
        <v>0</v>
      </c>
      <c r="AH496" s="62"/>
      <c r="AI496" s="62">
        <v>-11899.955838174275</v>
      </c>
      <c r="AJ496" s="62">
        <v>-9257.8949873029087</v>
      </c>
      <c r="AK496" s="62">
        <v>0</v>
      </c>
      <c r="AL496" s="62">
        <v>0</v>
      </c>
      <c r="AM496" s="62">
        <v>0</v>
      </c>
    </row>
    <row r="497" spans="1:39">
      <c r="A497" s="9">
        <v>95204</v>
      </c>
      <c r="B497" s="10" t="s">
        <v>1872</v>
      </c>
      <c r="C497" s="60">
        <v>1.26E-5</v>
      </c>
      <c r="E497" s="62">
        <v>832.5308929453754</v>
      </c>
      <c r="F497" s="62">
        <v>5721.2659286300213</v>
      </c>
      <c r="G497" s="62">
        <v>3092.0074796707818</v>
      </c>
      <c r="H497" s="62">
        <v>-978.59027999999978</v>
      </c>
      <c r="I497" s="62">
        <v>0</v>
      </c>
      <c r="J497" s="62"/>
      <c r="K497" s="62">
        <v>-75.8142</v>
      </c>
      <c r="L497" s="62">
        <v>159.5916</v>
      </c>
      <c r="M497" s="62">
        <v>296.12520000000001</v>
      </c>
      <c r="N497" s="62">
        <v>184.149</v>
      </c>
      <c r="O497" s="62">
        <v>0</v>
      </c>
      <c r="P497" s="62"/>
      <c r="Q497" s="62">
        <v>277.38900000000001</v>
      </c>
      <c r="R497" s="62">
        <v>4602.0239999999994</v>
      </c>
      <c r="S497" s="62">
        <v>1761.0011999999999</v>
      </c>
      <c r="T497" s="62">
        <v>-1966.6584</v>
      </c>
      <c r="U497" s="62">
        <v>0</v>
      </c>
      <c r="V497" s="62"/>
      <c r="W497" s="62">
        <v>822.49019999999996</v>
      </c>
      <c r="X497" s="62">
        <v>822.49019999999996</v>
      </c>
      <c r="Y497" s="62">
        <v>756.07560000000001</v>
      </c>
      <c r="Z497" s="62">
        <v>348.012</v>
      </c>
      <c r="AA497" s="62">
        <v>0</v>
      </c>
      <c r="AB497" s="62"/>
      <c r="AC497" s="62">
        <v>455.90712000000019</v>
      </c>
      <c r="AD497" s="62">
        <v>455.90712000000019</v>
      </c>
      <c r="AE497" s="62">
        <v>455.90712000000019</v>
      </c>
      <c r="AF497" s="62">
        <v>455.90712000000019</v>
      </c>
      <c r="AG497" s="62">
        <v>0</v>
      </c>
      <c r="AH497" s="62"/>
      <c r="AI497" s="62">
        <v>-647.44122705462496</v>
      </c>
      <c r="AJ497" s="62">
        <v>-318.74699136997776</v>
      </c>
      <c r="AK497" s="62">
        <v>-177.1016403292187</v>
      </c>
      <c r="AL497" s="62">
        <v>0</v>
      </c>
      <c r="AM497" s="62">
        <v>0</v>
      </c>
    </row>
    <row r="498" spans="1:39">
      <c r="A498" s="9">
        <v>95205</v>
      </c>
      <c r="B498" s="10" t="s">
        <v>1873</v>
      </c>
      <c r="C498" s="60">
        <v>4.5000000000000001E-6</v>
      </c>
      <c r="E498" s="62">
        <v>675.93039216194484</v>
      </c>
      <c r="F498" s="62">
        <v>2175.7656037802021</v>
      </c>
      <c r="G498" s="62">
        <v>1090.7208620576127</v>
      </c>
      <c r="H498" s="62">
        <v>-484.76314000000008</v>
      </c>
      <c r="I498" s="62">
        <v>0</v>
      </c>
      <c r="J498" s="62"/>
      <c r="K498" s="62">
        <v>-27.076499999999999</v>
      </c>
      <c r="L498" s="62">
        <v>56.997</v>
      </c>
      <c r="M498" s="62">
        <v>105.759</v>
      </c>
      <c r="N498" s="62">
        <v>65.767499999999998</v>
      </c>
      <c r="O498" s="62">
        <v>0</v>
      </c>
      <c r="P498" s="62"/>
      <c r="Q498" s="62">
        <v>99.067499999999995</v>
      </c>
      <c r="R498" s="62">
        <v>1643.5800000000002</v>
      </c>
      <c r="S498" s="62">
        <v>628.92899999999997</v>
      </c>
      <c r="T498" s="62">
        <v>-702.37800000000004</v>
      </c>
      <c r="U498" s="62">
        <v>0</v>
      </c>
      <c r="V498" s="62"/>
      <c r="W498" s="62">
        <v>293.74650000000003</v>
      </c>
      <c r="X498" s="62">
        <v>293.74650000000003</v>
      </c>
      <c r="Y498" s="62">
        <v>270.02699999999999</v>
      </c>
      <c r="Z498" s="62">
        <v>124.29</v>
      </c>
      <c r="AA498" s="62">
        <v>0</v>
      </c>
      <c r="AB498" s="62"/>
      <c r="AC498" s="62">
        <v>310.19289216194483</v>
      </c>
      <c r="AD498" s="62">
        <v>181.4421037802021</v>
      </c>
      <c r="AE498" s="62">
        <v>86.005862057612831</v>
      </c>
      <c r="AF498" s="62">
        <v>27.557359999999967</v>
      </c>
      <c r="AG498" s="62">
        <v>0</v>
      </c>
      <c r="AH498" s="62"/>
      <c r="AI498" s="62">
        <v>0</v>
      </c>
      <c r="AJ498" s="62">
        <v>0</v>
      </c>
      <c r="AK498" s="62">
        <v>0</v>
      </c>
      <c r="AL498" s="62">
        <v>0</v>
      </c>
      <c r="AM498" s="62">
        <v>0</v>
      </c>
    </row>
    <row r="499" spans="1:39">
      <c r="A499" s="9">
        <v>95211</v>
      </c>
      <c r="B499" s="10" t="s">
        <v>1874</v>
      </c>
      <c r="C499" s="60">
        <v>8.3999999999999992E-6</v>
      </c>
      <c r="E499" s="62">
        <v>169.31213603674723</v>
      </c>
      <c r="F499" s="62">
        <v>4144.6222937130951</v>
      </c>
      <c r="G499" s="62">
        <v>2251.9767297119347</v>
      </c>
      <c r="H499" s="62">
        <v>-1017.3161599999994</v>
      </c>
      <c r="I499" s="62">
        <v>0</v>
      </c>
      <c r="J499" s="62"/>
      <c r="K499" s="62">
        <v>-50.542799999999993</v>
      </c>
      <c r="L499" s="62">
        <v>106.39439999999999</v>
      </c>
      <c r="M499" s="62">
        <v>197.41679999999999</v>
      </c>
      <c r="N499" s="62">
        <v>122.76599999999999</v>
      </c>
      <c r="O499" s="62">
        <v>0</v>
      </c>
      <c r="P499" s="62"/>
      <c r="Q499" s="62">
        <v>184.92599999999999</v>
      </c>
      <c r="R499" s="62">
        <v>3068.0159999999996</v>
      </c>
      <c r="S499" s="62">
        <v>1174.0007999999998</v>
      </c>
      <c r="T499" s="62">
        <v>-1311.1055999999999</v>
      </c>
      <c r="U499" s="62">
        <v>0</v>
      </c>
      <c r="V499" s="62"/>
      <c r="W499" s="62">
        <v>548.32679999999993</v>
      </c>
      <c r="X499" s="62">
        <v>548.32679999999993</v>
      </c>
      <c r="Y499" s="62">
        <v>504.05039999999997</v>
      </c>
      <c r="Z499" s="62">
        <v>232.00799999999998</v>
      </c>
      <c r="AA499" s="62">
        <v>0</v>
      </c>
      <c r="AB499" s="62"/>
      <c r="AC499" s="62">
        <v>508.71312757201673</v>
      </c>
      <c r="AD499" s="62">
        <v>508.71312757201673</v>
      </c>
      <c r="AE499" s="62">
        <v>437.49328971193455</v>
      </c>
      <c r="AF499" s="62">
        <v>0</v>
      </c>
      <c r="AG499" s="62">
        <v>0</v>
      </c>
      <c r="AH499" s="62"/>
      <c r="AI499" s="62">
        <v>-1022.1109915352695</v>
      </c>
      <c r="AJ499" s="62">
        <v>-86.828033858920691</v>
      </c>
      <c r="AK499" s="62">
        <v>-60.984559999999703</v>
      </c>
      <c r="AL499" s="62">
        <v>-60.984559999999703</v>
      </c>
      <c r="AM499" s="62">
        <v>0</v>
      </c>
    </row>
    <row r="500" spans="1:39">
      <c r="A500" s="9">
        <v>95221</v>
      </c>
      <c r="B500" s="10" t="s">
        <v>1875</v>
      </c>
      <c r="C500" s="60">
        <v>4.4100000000000001E-5</v>
      </c>
      <c r="E500" s="62">
        <v>6091.5972326475821</v>
      </c>
      <c r="F500" s="62">
        <v>19755.830349245094</v>
      </c>
      <c r="G500" s="62">
        <v>12282.681356131692</v>
      </c>
      <c r="H500" s="62">
        <v>-438.51481999999578</v>
      </c>
      <c r="I500" s="62">
        <v>0</v>
      </c>
      <c r="J500" s="62"/>
      <c r="K500" s="62">
        <v>-265.34969999999998</v>
      </c>
      <c r="L500" s="62">
        <v>558.57060000000001</v>
      </c>
      <c r="M500" s="62">
        <v>1036.4382000000001</v>
      </c>
      <c r="N500" s="62">
        <v>644.52150000000006</v>
      </c>
      <c r="O500" s="62">
        <v>0</v>
      </c>
      <c r="P500" s="62"/>
      <c r="Q500" s="62">
        <v>970.86149999999998</v>
      </c>
      <c r="R500" s="62">
        <v>16107.084000000001</v>
      </c>
      <c r="S500" s="62">
        <v>6163.5042000000003</v>
      </c>
      <c r="T500" s="62">
        <v>-6883.3044</v>
      </c>
      <c r="U500" s="62">
        <v>0</v>
      </c>
      <c r="V500" s="62"/>
      <c r="W500" s="62">
        <v>2878.7157000000002</v>
      </c>
      <c r="X500" s="62">
        <v>2878.7157000000002</v>
      </c>
      <c r="Y500" s="62">
        <v>2646.2646</v>
      </c>
      <c r="Z500" s="62">
        <v>1218.0420000000001</v>
      </c>
      <c r="AA500" s="62">
        <v>0</v>
      </c>
      <c r="AB500" s="62"/>
      <c r="AC500" s="62">
        <v>7289.8760800000045</v>
      </c>
      <c r="AD500" s="62">
        <v>4582.226080000004</v>
      </c>
      <c r="AE500" s="62">
        <v>4582.226080000004</v>
      </c>
      <c r="AF500" s="62">
        <v>4582.226080000004</v>
      </c>
      <c r="AG500" s="62">
        <v>0</v>
      </c>
      <c r="AH500" s="62"/>
      <c r="AI500" s="62">
        <v>-4782.5063473524224</v>
      </c>
      <c r="AJ500" s="62">
        <v>-4370.7660307549131</v>
      </c>
      <c r="AK500" s="62">
        <v>-2145.7517238683117</v>
      </c>
      <c r="AL500" s="62">
        <v>0</v>
      </c>
      <c r="AM500" s="62">
        <v>0</v>
      </c>
    </row>
    <row r="501" spans="1:39">
      <c r="A501" s="9">
        <v>95301</v>
      </c>
      <c r="B501" s="10" t="s">
        <v>1876</v>
      </c>
      <c r="C501" s="60">
        <v>2.3917999999999999E-3</v>
      </c>
      <c r="E501" s="62">
        <v>213868.49844205775</v>
      </c>
      <c r="F501" s="62">
        <v>1086988.6903118503</v>
      </c>
      <c r="G501" s="62">
        <v>543531.79499193409</v>
      </c>
      <c r="H501" s="62">
        <v>-266027.24971999996</v>
      </c>
      <c r="I501" s="62">
        <v>0</v>
      </c>
      <c r="J501" s="62"/>
      <c r="K501" s="62">
        <v>-14391.4606</v>
      </c>
      <c r="L501" s="62">
        <v>30294.538799999998</v>
      </c>
      <c r="M501" s="62">
        <v>56212.083599999998</v>
      </c>
      <c r="N501" s="62">
        <v>34956.156999999999</v>
      </c>
      <c r="O501" s="62">
        <v>0</v>
      </c>
      <c r="P501" s="62"/>
      <c r="Q501" s="62">
        <v>52655.476999999999</v>
      </c>
      <c r="R501" s="62">
        <v>873581.03200000001</v>
      </c>
      <c r="S501" s="62">
        <v>334282.75159999996</v>
      </c>
      <c r="T501" s="62">
        <v>-373321.71119999996</v>
      </c>
      <c r="U501" s="62">
        <v>0</v>
      </c>
      <c r="V501" s="62"/>
      <c r="W501" s="62">
        <v>156129.52859999999</v>
      </c>
      <c r="X501" s="62">
        <v>156129.52859999999</v>
      </c>
      <c r="Y501" s="62">
        <v>143522.35079999999</v>
      </c>
      <c r="Z501" s="62">
        <v>66061.516000000003</v>
      </c>
      <c r="AA501" s="62">
        <v>0</v>
      </c>
      <c r="AB501" s="62"/>
      <c r="AC501" s="62">
        <v>30702.543442057755</v>
      </c>
      <c r="AD501" s="62">
        <v>26983.590911850308</v>
      </c>
      <c r="AE501" s="62">
        <v>9514.6089919340593</v>
      </c>
      <c r="AF501" s="62">
        <v>6276.7884799999656</v>
      </c>
      <c r="AG501" s="62">
        <v>0</v>
      </c>
      <c r="AH501" s="62"/>
      <c r="AI501" s="62">
        <v>-11227.590000000002</v>
      </c>
      <c r="AJ501" s="62">
        <v>0</v>
      </c>
      <c r="AK501" s="62">
        <v>0</v>
      </c>
      <c r="AL501" s="62">
        <v>0</v>
      </c>
      <c r="AM501" s="62">
        <v>0</v>
      </c>
    </row>
    <row r="502" spans="1:39">
      <c r="A502" s="9">
        <v>95311</v>
      </c>
      <c r="B502" s="10" t="s">
        <v>1877</v>
      </c>
      <c r="C502" s="60">
        <v>2.6873999999999999E-3</v>
      </c>
      <c r="E502" s="62">
        <v>171984.32318695623</v>
      </c>
      <c r="F502" s="62">
        <v>1170732.8097710228</v>
      </c>
      <c r="G502" s="62">
        <v>581723.80567292171</v>
      </c>
      <c r="H502" s="62">
        <v>-297043.16516000003</v>
      </c>
      <c r="I502" s="62">
        <v>0</v>
      </c>
      <c r="J502" s="62"/>
      <c r="K502" s="62">
        <v>-16170.085799999999</v>
      </c>
      <c r="L502" s="62">
        <v>34038.608399999997</v>
      </c>
      <c r="M502" s="62">
        <v>63159.274799999999</v>
      </c>
      <c r="N502" s="62">
        <v>39276.351000000002</v>
      </c>
      <c r="O502" s="62">
        <v>0</v>
      </c>
      <c r="P502" s="62"/>
      <c r="Q502" s="62">
        <v>59163.110999999997</v>
      </c>
      <c r="R502" s="62">
        <v>981545.97600000002</v>
      </c>
      <c r="S502" s="62">
        <v>375596.39879999997</v>
      </c>
      <c r="T502" s="62">
        <v>-419460.14159999997</v>
      </c>
      <c r="U502" s="62">
        <v>0</v>
      </c>
      <c r="V502" s="62"/>
      <c r="W502" s="62">
        <v>175425.40979999999</v>
      </c>
      <c r="X502" s="62">
        <v>175425.40979999999</v>
      </c>
      <c r="Y502" s="62">
        <v>161260.1244</v>
      </c>
      <c r="Z502" s="62">
        <v>74225.987999999998</v>
      </c>
      <c r="AA502" s="62">
        <v>0</v>
      </c>
      <c r="AB502" s="62"/>
      <c r="AC502" s="62">
        <v>11894.87419518668</v>
      </c>
      <c r="AD502" s="62">
        <v>11358.431579253063</v>
      </c>
      <c r="AE502" s="62">
        <v>8914.6374399999149</v>
      </c>
      <c r="AF502" s="62">
        <v>8914.6374399999149</v>
      </c>
      <c r="AG502" s="62">
        <v>0</v>
      </c>
      <c r="AH502" s="62"/>
      <c r="AI502" s="62">
        <v>-58328.986008230437</v>
      </c>
      <c r="AJ502" s="62">
        <v>-31635.616008230434</v>
      </c>
      <c r="AK502" s="62">
        <v>-27206.629767078182</v>
      </c>
      <c r="AL502" s="62">
        <v>0</v>
      </c>
      <c r="AM502" s="62">
        <v>0</v>
      </c>
    </row>
    <row r="503" spans="1:39">
      <c r="A503" s="9">
        <v>95317</v>
      </c>
      <c r="B503" s="10" t="s">
        <v>1878</v>
      </c>
      <c r="C503" s="60">
        <v>4.8900000000000003E-5</v>
      </c>
      <c r="E503" s="62">
        <v>6449.0126291129181</v>
      </c>
      <c r="F503" s="62">
        <v>23918.582893013336</v>
      </c>
      <c r="G503" s="62">
        <v>11893.737152427979</v>
      </c>
      <c r="H503" s="62">
        <v>-4973.9536200000048</v>
      </c>
      <c r="I503" s="62">
        <v>0</v>
      </c>
      <c r="J503" s="62"/>
      <c r="K503" s="62">
        <v>-294.23130000000003</v>
      </c>
      <c r="L503" s="62">
        <v>619.36740000000009</v>
      </c>
      <c r="M503" s="62">
        <v>1149.2478000000001</v>
      </c>
      <c r="N503" s="62">
        <v>714.67349999999999</v>
      </c>
      <c r="O503" s="62">
        <v>0</v>
      </c>
      <c r="P503" s="62"/>
      <c r="Q503" s="62">
        <v>1076.5335</v>
      </c>
      <c r="R503" s="62">
        <v>17860.236000000001</v>
      </c>
      <c r="S503" s="62">
        <v>6834.3618000000006</v>
      </c>
      <c r="T503" s="62">
        <v>-7632.5076000000008</v>
      </c>
      <c r="U503" s="62">
        <v>0</v>
      </c>
      <c r="V503" s="62"/>
      <c r="W503" s="62">
        <v>3192.0453000000002</v>
      </c>
      <c r="X503" s="62">
        <v>3192.0453000000002</v>
      </c>
      <c r="Y503" s="62">
        <v>2934.2934</v>
      </c>
      <c r="Z503" s="62">
        <v>1350.6180000000002</v>
      </c>
      <c r="AA503" s="62">
        <v>0</v>
      </c>
      <c r="AB503" s="62"/>
      <c r="AC503" s="62">
        <v>2512.2851291129177</v>
      </c>
      <c r="AD503" s="62">
        <v>2246.9341930133328</v>
      </c>
      <c r="AE503" s="62">
        <v>975.83415242797923</v>
      </c>
      <c r="AF503" s="62">
        <v>593.26247999999612</v>
      </c>
      <c r="AG503" s="62">
        <v>0</v>
      </c>
      <c r="AH503" s="62"/>
      <c r="AI503" s="62">
        <v>-37.620000000000005</v>
      </c>
      <c r="AJ503" s="62">
        <v>0</v>
      </c>
      <c r="AK503" s="62">
        <v>0</v>
      </c>
      <c r="AL503" s="62">
        <v>0</v>
      </c>
      <c r="AM503" s="62">
        <v>0</v>
      </c>
    </row>
    <row r="504" spans="1:39">
      <c r="A504" s="9">
        <v>95321</v>
      </c>
      <c r="B504" s="10" t="s">
        <v>1879</v>
      </c>
      <c r="C504" s="60">
        <v>4.71E-5</v>
      </c>
      <c r="E504" s="62">
        <v>4915.2826965097402</v>
      </c>
      <c r="F504" s="62">
        <v>21584.839916841691</v>
      </c>
      <c r="G504" s="62">
        <v>10186.511317695471</v>
      </c>
      <c r="H504" s="62">
        <v>-5901.8615000000045</v>
      </c>
      <c r="I504" s="62">
        <v>0</v>
      </c>
      <c r="J504" s="62"/>
      <c r="K504" s="62">
        <v>-283.40069999999997</v>
      </c>
      <c r="L504" s="62">
        <v>596.56859999999995</v>
      </c>
      <c r="M504" s="62">
        <v>1106.9441999999999</v>
      </c>
      <c r="N504" s="62">
        <v>688.36649999999997</v>
      </c>
      <c r="O504" s="62">
        <v>0</v>
      </c>
      <c r="P504" s="62"/>
      <c r="Q504" s="62">
        <v>1036.9065000000001</v>
      </c>
      <c r="R504" s="62">
        <v>17202.804</v>
      </c>
      <c r="S504" s="62">
        <v>6582.7902000000004</v>
      </c>
      <c r="T504" s="62">
        <v>-7351.5564000000004</v>
      </c>
      <c r="U504" s="62">
        <v>0</v>
      </c>
      <c r="V504" s="62"/>
      <c r="W504" s="62">
        <v>3074.5466999999999</v>
      </c>
      <c r="X504" s="62">
        <v>3074.5466999999999</v>
      </c>
      <c r="Y504" s="62">
        <v>2826.2826</v>
      </c>
      <c r="Z504" s="62">
        <v>1300.902</v>
      </c>
      <c r="AA504" s="62">
        <v>0</v>
      </c>
      <c r="AB504" s="62"/>
      <c r="AC504" s="62">
        <v>1626.8037965097449</v>
      </c>
      <c r="AD504" s="62">
        <v>1250.4942168416951</v>
      </c>
      <c r="AE504" s="62">
        <v>210.0679176954747</v>
      </c>
      <c r="AF504" s="62">
        <v>0</v>
      </c>
      <c r="AG504" s="62">
        <v>0</v>
      </c>
      <c r="AH504" s="62"/>
      <c r="AI504" s="62">
        <v>-539.57360000000403</v>
      </c>
      <c r="AJ504" s="62">
        <v>-539.57360000000403</v>
      </c>
      <c r="AK504" s="62">
        <v>-539.57360000000403</v>
      </c>
      <c r="AL504" s="62">
        <v>-539.57360000000403</v>
      </c>
      <c r="AM504" s="62">
        <v>0</v>
      </c>
    </row>
    <row r="505" spans="1:39">
      <c r="A505" s="9">
        <v>95401</v>
      </c>
      <c r="B505" s="10" t="s">
        <v>1880</v>
      </c>
      <c r="C505" s="60">
        <v>2.9992E-3</v>
      </c>
      <c r="E505" s="62">
        <v>253782.43366522901</v>
      </c>
      <c r="F505" s="62">
        <v>1332131.6119186729</v>
      </c>
      <c r="G505" s="62">
        <v>669440.56384032941</v>
      </c>
      <c r="H505" s="62">
        <v>-346431.30119999999</v>
      </c>
      <c r="I505" s="62">
        <v>0</v>
      </c>
      <c r="J505" s="62"/>
      <c r="K505" s="62">
        <v>-18046.186399999999</v>
      </c>
      <c r="L505" s="62">
        <v>37987.867200000001</v>
      </c>
      <c r="M505" s="62">
        <v>70487.198399999994</v>
      </c>
      <c r="N505" s="62">
        <v>43833.307999999997</v>
      </c>
      <c r="O505" s="62">
        <v>0</v>
      </c>
      <c r="P505" s="62"/>
      <c r="Q505" s="62">
        <v>66027.388000000006</v>
      </c>
      <c r="R505" s="62">
        <v>1095427.808</v>
      </c>
      <c r="S505" s="62">
        <v>419174.19040000002</v>
      </c>
      <c r="T505" s="62">
        <v>-468127.13280000002</v>
      </c>
      <c r="U505" s="62">
        <v>0</v>
      </c>
      <c r="V505" s="62"/>
      <c r="W505" s="62">
        <v>195778.77840000001</v>
      </c>
      <c r="X505" s="62">
        <v>195778.77840000001</v>
      </c>
      <c r="Y505" s="62">
        <v>179969.9952</v>
      </c>
      <c r="Z505" s="62">
        <v>82837.903999999995</v>
      </c>
      <c r="AA505" s="62">
        <v>0</v>
      </c>
      <c r="AB505" s="62"/>
      <c r="AC505" s="62">
        <v>14997.834065228968</v>
      </c>
      <c r="AD505" s="62">
        <v>7912.5387186729386</v>
      </c>
      <c r="AE505" s="62">
        <v>4784.5602403292214</v>
      </c>
      <c r="AF505" s="62">
        <v>0</v>
      </c>
      <c r="AG505" s="62">
        <v>0</v>
      </c>
      <c r="AH505" s="62"/>
      <c r="AI505" s="62">
        <v>-4975.3803999999545</v>
      </c>
      <c r="AJ505" s="62">
        <v>-4975.3803999999545</v>
      </c>
      <c r="AK505" s="62">
        <v>-4975.3803999999545</v>
      </c>
      <c r="AL505" s="62">
        <v>-4975.3803999999545</v>
      </c>
      <c r="AM505" s="62">
        <v>0</v>
      </c>
    </row>
    <row r="506" spans="1:39">
      <c r="A506" s="9">
        <v>95404</v>
      </c>
      <c r="B506" s="10" t="s">
        <v>1881</v>
      </c>
      <c r="C506" s="60">
        <v>5.3100000000000003E-5</v>
      </c>
      <c r="E506" s="62">
        <v>6262.9943061520125</v>
      </c>
      <c r="F506" s="62">
        <v>25266.168468807617</v>
      </c>
      <c r="G506" s="62">
        <v>13231.284405267495</v>
      </c>
      <c r="H506" s="62">
        <v>-5943.1745399999982</v>
      </c>
      <c r="I506" s="62">
        <v>0</v>
      </c>
      <c r="J506" s="62"/>
      <c r="K506" s="62">
        <v>-319.5027</v>
      </c>
      <c r="L506" s="62">
        <v>672.56460000000004</v>
      </c>
      <c r="M506" s="62">
        <v>1247.9562000000001</v>
      </c>
      <c r="N506" s="62">
        <v>776.05650000000003</v>
      </c>
      <c r="O506" s="62">
        <v>0</v>
      </c>
      <c r="P506" s="62"/>
      <c r="Q506" s="62">
        <v>1168.9965</v>
      </c>
      <c r="R506" s="62">
        <v>19394.244000000002</v>
      </c>
      <c r="S506" s="62">
        <v>7421.3622000000005</v>
      </c>
      <c r="T506" s="62">
        <v>-8288.0604000000003</v>
      </c>
      <c r="U506" s="62">
        <v>0</v>
      </c>
      <c r="V506" s="62"/>
      <c r="W506" s="62">
        <v>3466.2087000000001</v>
      </c>
      <c r="X506" s="62">
        <v>3466.2087000000001</v>
      </c>
      <c r="Y506" s="62">
        <v>3186.3186000000001</v>
      </c>
      <c r="Z506" s="62">
        <v>1466.6220000000001</v>
      </c>
      <c r="AA506" s="62">
        <v>0</v>
      </c>
      <c r="AB506" s="62"/>
      <c r="AC506" s="62">
        <v>1947.2918061520124</v>
      </c>
      <c r="AD506" s="62">
        <v>1733.1511688076139</v>
      </c>
      <c r="AE506" s="62">
        <v>1375.6474052674944</v>
      </c>
      <c r="AF506" s="62">
        <v>102.2073600000025</v>
      </c>
      <c r="AG506" s="62">
        <v>0</v>
      </c>
      <c r="AH506" s="62"/>
      <c r="AI506" s="62">
        <v>0</v>
      </c>
      <c r="AJ506" s="62">
        <v>0</v>
      </c>
      <c r="AK506" s="62">
        <v>0</v>
      </c>
      <c r="AL506" s="62">
        <v>0</v>
      </c>
      <c r="AM506" s="62">
        <v>0</v>
      </c>
    </row>
    <row r="507" spans="1:39">
      <c r="A507" s="9">
        <v>95405</v>
      </c>
      <c r="B507" s="10" t="s">
        <v>1882</v>
      </c>
      <c r="C507" s="60">
        <v>1.84E-5</v>
      </c>
      <c r="E507" s="62">
        <v>6970.0600944186581</v>
      </c>
      <c r="F507" s="62">
        <v>13249.898735082559</v>
      </c>
      <c r="G507" s="62">
        <v>7361.5722297942384</v>
      </c>
      <c r="H507" s="62">
        <v>-373.74272000000019</v>
      </c>
      <c r="I507" s="62">
        <v>0</v>
      </c>
      <c r="J507" s="62"/>
      <c r="K507" s="62">
        <v>-110.7128</v>
      </c>
      <c r="L507" s="62">
        <v>233.05439999999999</v>
      </c>
      <c r="M507" s="62">
        <v>432.43680000000001</v>
      </c>
      <c r="N507" s="62">
        <v>268.916</v>
      </c>
      <c r="O507" s="62">
        <v>0</v>
      </c>
      <c r="P507" s="62"/>
      <c r="Q507" s="62">
        <v>405.07600000000002</v>
      </c>
      <c r="R507" s="62">
        <v>6720.4160000000002</v>
      </c>
      <c r="S507" s="62">
        <v>2571.6208000000001</v>
      </c>
      <c r="T507" s="62">
        <v>-2871.9456</v>
      </c>
      <c r="U507" s="62">
        <v>0</v>
      </c>
      <c r="V507" s="62"/>
      <c r="W507" s="62">
        <v>1201.0968</v>
      </c>
      <c r="X507" s="62">
        <v>1201.0968</v>
      </c>
      <c r="Y507" s="62">
        <v>1104.1104</v>
      </c>
      <c r="Z507" s="62">
        <v>508.20800000000003</v>
      </c>
      <c r="AA507" s="62">
        <v>0</v>
      </c>
      <c r="AB507" s="62"/>
      <c r="AC507" s="62">
        <v>5474.600094418658</v>
      </c>
      <c r="AD507" s="62">
        <v>5095.3315350825596</v>
      </c>
      <c r="AE507" s="62">
        <v>3253.4042297942387</v>
      </c>
      <c r="AF507" s="62">
        <v>1721.0788799999996</v>
      </c>
      <c r="AG507" s="62">
        <v>0</v>
      </c>
      <c r="AH507" s="62"/>
      <c r="AI507" s="62">
        <v>0</v>
      </c>
      <c r="AJ507" s="62">
        <v>0</v>
      </c>
      <c r="AK507" s="62">
        <v>0</v>
      </c>
      <c r="AL507" s="62">
        <v>0</v>
      </c>
      <c r="AM507" s="62">
        <v>0</v>
      </c>
    </row>
    <row r="508" spans="1:39">
      <c r="A508" s="9">
        <v>95411</v>
      </c>
      <c r="B508" s="10" t="s">
        <v>1883</v>
      </c>
      <c r="C508" s="60">
        <v>2.2173000000000002E-3</v>
      </c>
      <c r="E508" s="62">
        <v>156491.81242683975</v>
      </c>
      <c r="F508" s="62">
        <v>977373.2406916531</v>
      </c>
      <c r="G508" s="62">
        <v>488253.62729679019</v>
      </c>
      <c r="H508" s="62">
        <v>-262840.46266000002</v>
      </c>
      <c r="I508" s="62">
        <v>0</v>
      </c>
      <c r="J508" s="62"/>
      <c r="K508" s="62">
        <v>-13341.494100000002</v>
      </c>
      <c r="L508" s="62">
        <v>28084.321800000002</v>
      </c>
      <c r="M508" s="62">
        <v>52110.984600000003</v>
      </c>
      <c r="N508" s="62">
        <v>32405.839500000002</v>
      </c>
      <c r="O508" s="62">
        <v>0</v>
      </c>
      <c r="P508" s="62"/>
      <c r="Q508" s="62">
        <v>48813.859500000006</v>
      </c>
      <c r="R508" s="62">
        <v>809846.65200000012</v>
      </c>
      <c r="S508" s="62">
        <v>309894.28260000004</v>
      </c>
      <c r="T508" s="62">
        <v>-346085.05320000002</v>
      </c>
      <c r="U508" s="62">
        <v>0</v>
      </c>
      <c r="V508" s="62"/>
      <c r="W508" s="62">
        <v>144738.69210000001</v>
      </c>
      <c r="X508" s="62">
        <v>144738.69210000001</v>
      </c>
      <c r="Y508" s="62">
        <v>133051.30380000002</v>
      </c>
      <c r="Z508" s="62">
        <v>61241.826000000008</v>
      </c>
      <c r="AA508" s="62">
        <v>0</v>
      </c>
      <c r="AB508" s="62"/>
      <c r="AC508" s="62">
        <v>5308.6998868397386</v>
      </c>
      <c r="AD508" s="62">
        <v>5106.6497516530153</v>
      </c>
      <c r="AE508" s="62">
        <v>3600.1312567900532</v>
      </c>
      <c r="AF508" s="62">
        <v>0</v>
      </c>
      <c r="AG508" s="62">
        <v>0</v>
      </c>
      <c r="AH508" s="62"/>
      <c r="AI508" s="62">
        <v>-29027.944960000023</v>
      </c>
      <c r="AJ508" s="62">
        <v>-10403.074960000022</v>
      </c>
      <c r="AK508" s="62">
        <v>-10403.074960000022</v>
      </c>
      <c r="AL508" s="62">
        <v>-10403.074960000022</v>
      </c>
      <c r="AM508" s="62">
        <v>0</v>
      </c>
    </row>
    <row r="509" spans="1:39">
      <c r="A509" s="9">
        <v>95412</v>
      </c>
      <c r="B509" s="10" t="s">
        <v>1884</v>
      </c>
      <c r="C509" s="60">
        <v>0</v>
      </c>
      <c r="E509" s="62">
        <v>-18446.831701244813</v>
      </c>
      <c r="F509" s="62">
        <v>-9384.5405950207496</v>
      </c>
      <c r="G509" s="62">
        <v>0</v>
      </c>
      <c r="H509" s="62">
        <v>0</v>
      </c>
      <c r="I509" s="62">
        <v>0</v>
      </c>
      <c r="J509" s="62"/>
      <c r="K509" s="62">
        <v>0</v>
      </c>
      <c r="L509" s="62">
        <v>0</v>
      </c>
      <c r="M509" s="62">
        <v>0</v>
      </c>
      <c r="N509" s="62">
        <v>0</v>
      </c>
      <c r="O509" s="62">
        <v>0</v>
      </c>
      <c r="P509" s="62"/>
      <c r="Q509" s="62">
        <v>0</v>
      </c>
      <c r="R509" s="62">
        <v>0</v>
      </c>
      <c r="S509" s="62">
        <v>0</v>
      </c>
      <c r="T509" s="62">
        <v>0</v>
      </c>
      <c r="U509" s="62">
        <v>0</v>
      </c>
      <c r="V509" s="62"/>
      <c r="W509" s="62">
        <v>0</v>
      </c>
      <c r="X509" s="62">
        <v>0</v>
      </c>
      <c r="Y509" s="62">
        <v>0</v>
      </c>
      <c r="Z509" s="62">
        <v>0</v>
      </c>
      <c r="AA509" s="62">
        <v>0</v>
      </c>
      <c r="AB509" s="62"/>
      <c r="AC509" s="62">
        <v>0</v>
      </c>
      <c r="AD509" s="62">
        <v>0</v>
      </c>
      <c r="AE509" s="62">
        <v>0</v>
      </c>
      <c r="AF509" s="62">
        <v>0</v>
      </c>
      <c r="AG509" s="62">
        <v>0</v>
      </c>
      <c r="AH509" s="62"/>
      <c r="AI509" s="62">
        <v>-18446.831701244813</v>
      </c>
      <c r="AJ509" s="62">
        <v>-9384.5405950207496</v>
      </c>
      <c r="AK509" s="62">
        <v>0</v>
      </c>
      <c r="AL509" s="62">
        <v>0</v>
      </c>
      <c r="AM509" s="62">
        <v>0</v>
      </c>
    </row>
    <row r="510" spans="1:39">
      <c r="A510" s="9">
        <v>95413</v>
      </c>
      <c r="B510" s="10" t="s">
        <v>1885</v>
      </c>
      <c r="C510" s="60">
        <v>2.5809999999999999E-4</v>
      </c>
      <c r="E510" s="62">
        <v>98412.23806828029</v>
      </c>
      <c r="F510" s="62">
        <v>195722.85653798984</v>
      </c>
      <c r="G510" s="62">
        <v>109851.80961111109</v>
      </c>
      <c r="H510" s="62">
        <v>-2105.1464999999989</v>
      </c>
      <c r="I510" s="62">
        <v>0</v>
      </c>
      <c r="J510" s="62"/>
      <c r="K510" s="62">
        <v>-1552.9876999999999</v>
      </c>
      <c r="L510" s="62">
        <v>3269.0945999999999</v>
      </c>
      <c r="M510" s="62">
        <v>6065.8661999999995</v>
      </c>
      <c r="N510" s="62">
        <v>3772.1315</v>
      </c>
      <c r="O510" s="62">
        <v>0</v>
      </c>
      <c r="P510" s="62"/>
      <c r="Q510" s="62">
        <v>5682.0715</v>
      </c>
      <c r="R510" s="62">
        <v>94268.443999999989</v>
      </c>
      <c r="S510" s="62">
        <v>36072.572199999995</v>
      </c>
      <c r="T510" s="62">
        <v>-40285.280399999996</v>
      </c>
      <c r="U510" s="62">
        <v>0</v>
      </c>
      <c r="V510" s="62"/>
      <c r="W510" s="62">
        <v>16847.993699999999</v>
      </c>
      <c r="X510" s="62">
        <v>16847.993699999999</v>
      </c>
      <c r="Y510" s="62">
        <v>15487.548599999998</v>
      </c>
      <c r="Z510" s="62">
        <v>7128.7219999999998</v>
      </c>
      <c r="AA510" s="62">
        <v>0</v>
      </c>
      <c r="AB510" s="62"/>
      <c r="AC510" s="62">
        <v>86836.200568280299</v>
      </c>
      <c r="AD510" s="62">
        <v>81337.324237989844</v>
      </c>
      <c r="AE510" s="62">
        <v>52225.822611111107</v>
      </c>
      <c r="AF510" s="62">
        <v>27279.280399999992</v>
      </c>
      <c r="AG510" s="62">
        <v>0</v>
      </c>
      <c r="AH510" s="62"/>
      <c r="AI510" s="62">
        <v>-9401.0400000000027</v>
      </c>
      <c r="AJ510" s="62">
        <v>0</v>
      </c>
      <c r="AK510" s="62">
        <v>0</v>
      </c>
      <c r="AL510" s="62">
        <v>0</v>
      </c>
      <c r="AM510" s="62">
        <v>0</v>
      </c>
    </row>
    <row r="511" spans="1:39">
      <c r="A511" s="9">
        <v>95415</v>
      </c>
      <c r="B511" s="10" t="s">
        <v>1886</v>
      </c>
      <c r="C511" s="60">
        <v>6.2899999999999997E-5</v>
      </c>
      <c r="E511" s="62">
        <v>4894.0661978501839</v>
      </c>
      <c r="F511" s="62">
        <v>22745.702153866776</v>
      </c>
      <c r="G511" s="62">
        <v>10746.088663786011</v>
      </c>
      <c r="H511" s="62">
        <v>-10087.227699999999</v>
      </c>
      <c r="I511" s="62">
        <v>0</v>
      </c>
      <c r="J511" s="62"/>
      <c r="K511" s="62">
        <v>-378.46929999999998</v>
      </c>
      <c r="L511" s="62">
        <v>796.69139999999993</v>
      </c>
      <c r="M511" s="62">
        <v>1478.2757999999999</v>
      </c>
      <c r="N511" s="62">
        <v>919.2835</v>
      </c>
      <c r="O511" s="62">
        <v>0</v>
      </c>
      <c r="P511" s="62"/>
      <c r="Q511" s="62">
        <v>1384.7435</v>
      </c>
      <c r="R511" s="62">
        <v>22973.595999999998</v>
      </c>
      <c r="S511" s="62">
        <v>8791.0298000000003</v>
      </c>
      <c r="T511" s="62">
        <v>-9817.6836000000003</v>
      </c>
      <c r="U511" s="62">
        <v>0</v>
      </c>
      <c r="V511" s="62"/>
      <c r="W511" s="62">
        <v>4105.9232999999995</v>
      </c>
      <c r="X511" s="62">
        <v>4105.9232999999995</v>
      </c>
      <c r="Y511" s="62">
        <v>3774.3773999999999</v>
      </c>
      <c r="Z511" s="62">
        <v>1737.298</v>
      </c>
      <c r="AA511" s="62">
        <v>0</v>
      </c>
      <c r="AB511" s="62"/>
      <c r="AC511" s="62">
        <v>5301.4500000000007</v>
      </c>
      <c r="AD511" s="62">
        <v>0</v>
      </c>
      <c r="AE511" s="62">
        <v>0</v>
      </c>
      <c r="AF511" s="62">
        <v>0</v>
      </c>
      <c r="AG511" s="62">
        <v>0</v>
      </c>
      <c r="AH511" s="62"/>
      <c r="AI511" s="62">
        <v>-5519.5813021498152</v>
      </c>
      <c r="AJ511" s="62">
        <v>-5130.5085461332183</v>
      </c>
      <c r="AK511" s="62">
        <v>-3297.5943362139883</v>
      </c>
      <c r="AL511" s="62">
        <v>-2926.125599999998</v>
      </c>
      <c r="AM511" s="62">
        <v>0</v>
      </c>
    </row>
    <row r="512" spans="1:39">
      <c r="A512" s="9">
        <v>95421</v>
      </c>
      <c r="B512" s="10" t="s">
        <v>1887</v>
      </c>
      <c r="C512" s="60">
        <v>3.8699999999999999E-5</v>
      </c>
      <c r="E512" s="62">
        <v>-1748.8769619203244</v>
      </c>
      <c r="F512" s="62">
        <v>14318.582774677183</v>
      </c>
      <c r="G512" s="62">
        <v>7183.8101344032902</v>
      </c>
      <c r="H512" s="62">
        <v>-4349.3691799999988</v>
      </c>
      <c r="I512" s="62">
        <v>0</v>
      </c>
      <c r="J512" s="62"/>
      <c r="K512" s="62">
        <v>-232.8579</v>
      </c>
      <c r="L512" s="62">
        <v>490.17419999999998</v>
      </c>
      <c r="M512" s="62">
        <v>909.52739999999994</v>
      </c>
      <c r="N512" s="62">
        <v>565.60050000000001</v>
      </c>
      <c r="O512" s="62">
        <v>0</v>
      </c>
      <c r="P512" s="62"/>
      <c r="Q512" s="62">
        <v>851.98050000000001</v>
      </c>
      <c r="R512" s="62">
        <v>14134.787999999999</v>
      </c>
      <c r="S512" s="62">
        <v>5408.7893999999997</v>
      </c>
      <c r="T512" s="62">
        <v>-6040.4507999999996</v>
      </c>
      <c r="U512" s="62">
        <v>0</v>
      </c>
      <c r="V512" s="62"/>
      <c r="W512" s="62">
        <v>2526.2199000000001</v>
      </c>
      <c r="X512" s="62">
        <v>2526.2199000000001</v>
      </c>
      <c r="Y512" s="62">
        <v>2322.2321999999999</v>
      </c>
      <c r="Z512" s="62">
        <v>1068.894</v>
      </c>
      <c r="AA512" s="62">
        <v>0</v>
      </c>
      <c r="AB512" s="62"/>
      <c r="AC512" s="62">
        <v>56.587120000000866</v>
      </c>
      <c r="AD512" s="62">
        <v>56.587120000000866</v>
      </c>
      <c r="AE512" s="62">
        <v>56.587120000000866</v>
      </c>
      <c r="AF512" s="62">
        <v>56.587120000000866</v>
      </c>
      <c r="AG512" s="62">
        <v>0</v>
      </c>
      <c r="AH512" s="62"/>
      <c r="AI512" s="62">
        <v>-4950.8065819203257</v>
      </c>
      <c r="AJ512" s="62">
        <v>-2889.1864453228154</v>
      </c>
      <c r="AK512" s="62">
        <v>-1513.3259855967087</v>
      </c>
      <c r="AL512" s="62">
        <v>0</v>
      </c>
      <c r="AM512" s="62">
        <v>0</v>
      </c>
    </row>
    <row r="513" spans="1:39">
      <c r="A513" s="9">
        <v>95431</v>
      </c>
      <c r="B513" s="10" t="s">
        <v>1888</v>
      </c>
      <c r="C513" s="60">
        <v>1.5300000000000001E-4</v>
      </c>
      <c r="E513" s="62">
        <v>2513.3445485743632</v>
      </c>
      <c r="F513" s="62">
        <v>58024.420289653208</v>
      </c>
      <c r="G513" s="62">
        <v>26299.158992839508</v>
      </c>
      <c r="H513" s="62">
        <v>-23632.200679999987</v>
      </c>
      <c r="I513" s="62">
        <v>0</v>
      </c>
      <c r="J513" s="62"/>
      <c r="K513" s="62">
        <v>-920.601</v>
      </c>
      <c r="L513" s="62">
        <v>1937.8980000000001</v>
      </c>
      <c r="M513" s="62">
        <v>3595.806</v>
      </c>
      <c r="N513" s="62">
        <v>2236.0950000000003</v>
      </c>
      <c r="O513" s="62">
        <v>0</v>
      </c>
      <c r="P513" s="62"/>
      <c r="Q513" s="62">
        <v>3368.2950000000001</v>
      </c>
      <c r="R513" s="62">
        <v>55881.72</v>
      </c>
      <c r="S513" s="62">
        <v>21383.585999999999</v>
      </c>
      <c r="T513" s="62">
        <v>-23880.852000000003</v>
      </c>
      <c r="U513" s="62">
        <v>0</v>
      </c>
      <c r="V513" s="62"/>
      <c r="W513" s="62">
        <v>9987.3810000000012</v>
      </c>
      <c r="X513" s="62">
        <v>9987.3810000000012</v>
      </c>
      <c r="Y513" s="62">
        <v>9180.9179999999997</v>
      </c>
      <c r="Z513" s="62">
        <v>4225.8600000000006</v>
      </c>
      <c r="AA513" s="62">
        <v>0</v>
      </c>
      <c r="AB513" s="62"/>
      <c r="AC513" s="62">
        <v>223.74000000000004</v>
      </c>
      <c r="AD513" s="62">
        <v>0</v>
      </c>
      <c r="AE513" s="62">
        <v>0</v>
      </c>
      <c r="AF513" s="62">
        <v>0</v>
      </c>
      <c r="AG513" s="62">
        <v>0</v>
      </c>
      <c r="AH513" s="62"/>
      <c r="AI513" s="62">
        <v>-10145.470451425637</v>
      </c>
      <c r="AJ513" s="62">
        <v>-9782.578710346801</v>
      </c>
      <c r="AK513" s="62">
        <v>-7861.1510071604889</v>
      </c>
      <c r="AL513" s="62">
        <v>-6213.3036799999882</v>
      </c>
      <c r="AM513" s="62">
        <v>0</v>
      </c>
    </row>
    <row r="514" spans="1:39">
      <c r="A514" s="9">
        <v>95501</v>
      </c>
      <c r="B514" s="10" t="s">
        <v>1889</v>
      </c>
      <c r="C514" s="60">
        <v>4.8764999999999998E-3</v>
      </c>
      <c r="E514" s="62">
        <v>387371.43019183422</v>
      </c>
      <c r="F514" s="62">
        <v>2121564.0229826225</v>
      </c>
      <c r="G514" s="62">
        <v>1057029.466504033</v>
      </c>
      <c r="H514" s="62">
        <v>-567769.45873999957</v>
      </c>
      <c r="I514" s="62">
        <v>0</v>
      </c>
      <c r="J514" s="62"/>
      <c r="K514" s="62">
        <v>-29341.9005</v>
      </c>
      <c r="L514" s="62">
        <v>61765.748999999996</v>
      </c>
      <c r="M514" s="62">
        <v>114607.503</v>
      </c>
      <c r="N514" s="62">
        <v>71270.047500000001</v>
      </c>
      <c r="O514" s="62">
        <v>0</v>
      </c>
      <c r="P514" s="62"/>
      <c r="Q514" s="62">
        <v>107356.14749999999</v>
      </c>
      <c r="R514" s="62">
        <v>1781092.8599999999</v>
      </c>
      <c r="S514" s="62">
        <v>681549.39299999992</v>
      </c>
      <c r="T514" s="62">
        <v>-761143.62599999993</v>
      </c>
      <c r="U514" s="62">
        <v>0</v>
      </c>
      <c r="V514" s="62"/>
      <c r="W514" s="62">
        <v>318323.2905</v>
      </c>
      <c r="X514" s="62">
        <v>318323.2905</v>
      </c>
      <c r="Y514" s="62">
        <v>292619.25899999996</v>
      </c>
      <c r="Z514" s="62">
        <v>134688.93</v>
      </c>
      <c r="AA514" s="62">
        <v>0</v>
      </c>
      <c r="AB514" s="62"/>
      <c r="AC514" s="62">
        <v>31694.850000000006</v>
      </c>
      <c r="AD514" s="62">
        <v>0</v>
      </c>
      <c r="AE514" s="62">
        <v>0</v>
      </c>
      <c r="AF514" s="62">
        <v>0</v>
      </c>
      <c r="AG514" s="62">
        <v>0</v>
      </c>
      <c r="AH514" s="62"/>
      <c r="AI514" s="62">
        <v>-40660.9573081657</v>
      </c>
      <c r="AJ514" s="62">
        <v>-39617.876517377321</v>
      </c>
      <c r="AK514" s="62">
        <v>-31746.68849596689</v>
      </c>
      <c r="AL514" s="62">
        <v>-12584.81023999965</v>
      </c>
      <c r="AM514" s="62">
        <v>0</v>
      </c>
    </row>
    <row r="515" spans="1:39">
      <c r="A515" s="9">
        <v>95504</v>
      </c>
      <c r="B515" s="10" t="s">
        <v>1890</v>
      </c>
      <c r="C515" s="60">
        <v>9.3999999999999998E-6</v>
      </c>
      <c r="E515" s="62">
        <v>3714.6776289848549</v>
      </c>
      <c r="F515" s="62">
        <v>6731.692620686099</v>
      </c>
      <c r="G515" s="62">
        <v>3413.9139906995888</v>
      </c>
      <c r="H515" s="62">
        <v>9.901880000000574</v>
      </c>
      <c r="I515" s="62">
        <v>0</v>
      </c>
      <c r="J515" s="62"/>
      <c r="K515" s="62">
        <v>-56.559799999999996</v>
      </c>
      <c r="L515" s="62">
        <v>119.0604</v>
      </c>
      <c r="M515" s="62">
        <v>220.9188</v>
      </c>
      <c r="N515" s="62">
        <v>137.381</v>
      </c>
      <c r="O515" s="62">
        <v>0</v>
      </c>
      <c r="P515" s="62"/>
      <c r="Q515" s="62">
        <v>206.941</v>
      </c>
      <c r="R515" s="62">
        <v>3433.2559999999999</v>
      </c>
      <c r="S515" s="62">
        <v>1313.7628</v>
      </c>
      <c r="T515" s="62">
        <v>-1467.1895999999999</v>
      </c>
      <c r="U515" s="62">
        <v>0</v>
      </c>
      <c r="V515" s="62"/>
      <c r="W515" s="62">
        <v>613.60379999999998</v>
      </c>
      <c r="X515" s="62">
        <v>613.60379999999998</v>
      </c>
      <c r="Y515" s="62">
        <v>564.05639999999994</v>
      </c>
      <c r="Z515" s="62">
        <v>259.62799999999999</v>
      </c>
      <c r="AA515" s="62">
        <v>0</v>
      </c>
      <c r="AB515" s="62"/>
      <c r="AC515" s="62">
        <v>2950.6926289848548</v>
      </c>
      <c r="AD515" s="62">
        <v>2565.7724206860998</v>
      </c>
      <c r="AE515" s="62">
        <v>1315.1759906995887</v>
      </c>
      <c r="AF515" s="62">
        <v>1080.0824800000005</v>
      </c>
      <c r="AG515" s="62">
        <v>0</v>
      </c>
      <c r="AH515" s="62"/>
      <c r="AI515" s="62">
        <v>0</v>
      </c>
      <c r="AJ515" s="62">
        <v>0</v>
      </c>
      <c r="AK515" s="62">
        <v>0</v>
      </c>
      <c r="AL515" s="62">
        <v>0</v>
      </c>
      <c r="AM515" s="62">
        <v>0</v>
      </c>
    </row>
    <row r="516" spans="1:39">
      <c r="A516" s="9">
        <v>95511</v>
      </c>
      <c r="B516" s="10" t="s">
        <v>1891</v>
      </c>
      <c r="C516" s="60">
        <v>9.7460000000000005E-4</v>
      </c>
      <c r="E516" s="62">
        <v>74549.187914464754</v>
      </c>
      <c r="F516" s="62">
        <v>422639.64555712038</v>
      </c>
      <c r="G516" s="62">
        <v>213917.47647201648</v>
      </c>
      <c r="H516" s="62">
        <v>-101240.90979999995</v>
      </c>
      <c r="I516" s="62">
        <v>0</v>
      </c>
      <c r="J516" s="62"/>
      <c r="K516" s="62">
        <v>-5864.1682000000001</v>
      </c>
      <c r="L516" s="62">
        <v>12344.283600000001</v>
      </c>
      <c r="M516" s="62">
        <v>22905.049200000001</v>
      </c>
      <c r="N516" s="62">
        <v>14243.779</v>
      </c>
      <c r="O516" s="62">
        <v>0</v>
      </c>
      <c r="P516" s="62"/>
      <c r="Q516" s="62">
        <v>21455.819</v>
      </c>
      <c r="R516" s="62">
        <v>355962.90400000004</v>
      </c>
      <c r="S516" s="62">
        <v>136212.04519999999</v>
      </c>
      <c r="T516" s="62">
        <v>-152119.4664</v>
      </c>
      <c r="U516" s="62">
        <v>0</v>
      </c>
      <c r="V516" s="62"/>
      <c r="W516" s="62">
        <v>63618.964200000002</v>
      </c>
      <c r="X516" s="62">
        <v>63618.964200000002</v>
      </c>
      <c r="Y516" s="62">
        <v>58481.847600000001</v>
      </c>
      <c r="Z516" s="62">
        <v>26918.452000000001</v>
      </c>
      <c r="AA516" s="62">
        <v>0</v>
      </c>
      <c r="AB516" s="62"/>
      <c r="AC516" s="62">
        <v>15093.015600000042</v>
      </c>
      <c r="AD516" s="62">
        <v>9716.3256000000401</v>
      </c>
      <c r="AE516" s="62">
        <v>9716.3256000000401</v>
      </c>
      <c r="AF516" s="62">
        <v>9716.3256000000401</v>
      </c>
      <c r="AG516" s="62">
        <v>0</v>
      </c>
      <c r="AH516" s="62"/>
      <c r="AI516" s="62">
        <v>-19754.442685535294</v>
      </c>
      <c r="AJ516" s="62">
        <v>-19002.831842879688</v>
      </c>
      <c r="AK516" s="62">
        <v>-13397.79112798357</v>
      </c>
      <c r="AL516" s="62">
        <v>0</v>
      </c>
      <c r="AM516" s="62">
        <v>0</v>
      </c>
    </row>
    <row r="517" spans="1:39">
      <c r="A517" s="9">
        <v>95513</v>
      </c>
      <c r="B517" s="10" t="s">
        <v>1892</v>
      </c>
      <c r="C517" s="60">
        <v>4.6699999999999997E-5</v>
      </c>
      <c r="E517" s="62">
        <v>12875.144910460534</v>
      </c>
      <c r="F517" s="62">
        <v>27033.794255688746</v>
      </c>
      <c r="G517" s="62">
        <v>14510.80674197531</v>
      </c>
      <c r="H517" s="62">
        <v>-3044.8406999999997</v>
      </c>
      <c r="I517" s="62">
        <v>0</v>
      </c>
      <c r="J517" s="62"/>
      <c r="K517" s="62">
        <v>-280.9939</v>
      </c>
      <c r="L517" s="62">
        <v>591.5021999999999</v>
      </c>
      <c r="M517" s="62">
        <v>1097.5434</v>
      </c>
      <c r="N517" s="62">
        <v>682.52049999999997</v>
      </c>
      <c r="O517" s="62">
        <v>0</v>
      </c>
      <c r="P517" s="62"/>
      <c r="Q517" s="62">
        <v>1028.1005</v>
      </c>
      <c r="R517" s="62">
        <v>17056.707999999999</v>
      </c>
      <c r="S517" s="62">
        <v>6526.8853999999992</v>
      </c>
      <c r="T517" s="62">
        <v>-7289.1227999999992</v>
      </c>
      <c r="U517" s="62">
        <v>0</v>
      </c>
      <c r="V517" s="62"/>
      <c r="W517" s="62">
        <v>3048.4358999999999</v>
      </c>
      <c r="X517" s="62">
        <v>3048.4358999999999</v>
      </c>
      <c r="Y517" s="62">
        <v>2802.2801999999997</v>
      </c>
      <c r="Z517" s="62">
        <v>1289.8539999999998</v>
      </c>
      <c r="AA517" s="62">
        <v>0</v>
      </c>
      <c r="AB517" s="62"/>
      <c r="AC517" s="62">
        <v>9079.6024104605349</v>
      </c>
      <c r="AD517" s="62">
        <v>6337.1481556887493</v>
      </c>
      <c r="AE517" s="62">
        <v>4084.0977419753103</v>
      </c>
      <c r="AF517" s="62">
        <v>2271.9075999999995</v>
      </c>
      <c r="AG517" s="62">
        <v>0</v>
      </c>
      <c r="AH517" s="62"/>
      <c r="AI517" s="62">
        <v>0</v>
      </c>
      <c r="AJ517" s="62">
        <v>0</v>
      </c>
      <c r="AK517" s="62">
        <v>0</v>
      </c>
      <c r="AL517" s="62">
        <v>0</v>
      </c>
      <c r="AM517" s="62">
        <v>0</v>
      </c>
    </row>
    <row r="518" spans="1:39">
      <c r="A518" s="9">
        <v>95517</v>
      </c>
      <c r="B518" s="10" t="s">
        <v>1893</v>
      </c>
      <c r="C518" s="60">
        <v>2.4499999999999999E-5</v>
      </c>
      <c r="E518" s="62">
        <v>8525.0061188644722</v>
      </c>
      <c r="F518" s="62">
        <v>16136.107558698499</v>
      </c>
      <c r="G518" s="62">
        <v>9433.6263726749003</v>
      </c>
      <c r="H518" s="62">
        <v>-575.60737999999765</v>
      </c>
      <c r="I518" s="62">
        <v>0</v>
      </c>
      <c r="J518" s="62"/>
      <c r="K518" s="62">
        <v>-147.41649999999998</v>
      </c>
      <c r="L518" s="62">
        <v>310.31700000000001</v>
      </c>
      <c r="M518" s="62">
        <v>575.79899999999998</v>
      </c>
      <c r="N518" s="62">
        <v>358.0675</v>
      </c>
      <c r="O518" s="62">
        <v>0</v>
      </c>
      <c r="P518" s="62"/>
      <c r="Q518" s="62">
        <v>539.36749999999995</v>
      </c>
      <c r="R518" s="62">
        <v>8948.3799999999992</v>
      </c>
      <c r="S518" s="62">
        <v>3424.1689999999999</v>
      </c>
      <c r="T518" s="62">
        <v>-3824.058</v>
      </c>
      <c r="U518" s="62">
        <v>0</v>
      </c>
      <c r="V518" s="62"/>
      <c r="W518" s="62">
        <v>1599.2864999999999</v>
      </c>
      <c r="X518" s="62">
        <v>1599.2864999999999</v>
      </c>
      <c r="Y518" s="62">
        <v>1470.1469999999999</v>
      </c>
      <c r="Z518" s="62">
        <v>676.68999999999994</v>
      </c>
      <c r="AA518" s="62">
        <v>0</v>
      </c>
      <c r="AB518" s="62"/>
      <c r="AC518" s="62">
        <v>6533.768618864473</v>
      </c>
      <c r="AD518" s="62">
        <v>5278.1240586984977</v>
      </c>
      <c r="AE518" s="62">
        <v>3963.5113726749005</v>
      </c>
      <c r="AF518" s="62">
        <v>2213.6931200000022</v>
      </c>
      <c r="AG518" s="62">
        <v>0</v>
      </c>
      <c r="AH518" s="62"/>
      <c r="AI518" s="62">
        <v>0</v>
      </c>
      <c r="AJ518" s="62">
        <v>0</v>
      </c>
      <c r="AK518" s="62">
        <v>0</v>
      </c>
      <c r="AL518" s="62">
        <v>0</v>
      </c>
      <c r="AM518" s="62">
        <v>0</v>
      </c>
    </row>
    <row r="519" spans="1:39">
      <c r="A519" s="9">
        <v>95601</v>
      </c>
      <c r="B519" s="10" t="s">
        <v>1894</v>
      </c>
      <c r="C519" s="60">
        <v>2.6280000000000001E-3</v>
      </c>
      <c r="E519" s="62">
        <v>261019.9780232035</v>
      </c>
      <c r="F519" s="62">
        <v>1183141.1953869381</v>
      </c>
      <c r="G519" s="62">
        <v>592146.54372419755</v>
      </c>
      <c r="H519" s="62">
        <v>-303965.58424000005</v>
      </c>
      <c r="I519" s="62">
        <v>0</v>
      </c>
      <c r="J519" s="62"/>
      <c r="K519" s="62">
        <v>-15812.676000000001</v>
      </c>
      <c r="L519" s="62">
        <v>33286.248</v>
      </c>
      <c r="M519" s="62">
        <v>61763.256000000001</v>
      </c>
      <c r="N519" s="62">
        <v>38408.22</v>
      </c>
      <c r="O519" s="62">
        <v>0</v>
      </c>
      <c r="P519" s="62"/>
      <c r="Q519" s="62">
        <v>57855.420000000006</v>
      </c>
      <c r="R519" s="62">
        <v>959850.72000000009</v>
      </c>
      <c r="S519" s="62">
        <v>367294.53600000002</v>
      </c>
      <c r="T519" s="62">
        <v>-410188.75200000004</v>
      </c>
      <c r="U519" s="62">
        <v>0</v>
      </c>
      <c r="V519" s="62"/>
      <c r="W519" s="62">
        <v>171547.95600000001</v>
      </c>
      <c r="X519" s="62">
        <v>171547.95600000001</v>
      </c>
      <c r="Y519" s="62">
        <v>157695.76800000001</v>
      </c>
      <c r="Z519" s="62">
        <v>72585.36</v>
      </c>
      <c r="AA519" s="62">
        <v>0</v>
      </c>
      <c r="AB519" s="62"/>
      <c r="AC519" s="62">
        <v>52199.690263203513</v>
      </c>
      <c r="AD519" s="62">
        <v>23226.683626937975</v>
      </c>
      <c r="AE519" s="62">
        <v>10163.395964197463</v>
      </c>
      <c r="AF519" s="62">
        <v>0</v>
      </c>
      <c r="AG519" s="62">
        <v>0</v>
      </c>
      <c r="AH519" s="62"/>
      <c r="AI519" s="62">
        <v>-4770.4122400000224</v>
      </c>
      <c r="AJ519" s="62">
        <v>-4770.4122400000224</v>
      </c>
      <c r="AK519" s="62">
        <v>-4770.4122400000224</v>
      </c>
      <c r="AL519" s="62">
        <v>-4770.4122400000224</v>
      </c>
      <c r="AM519" s="62">
        <v>0</v>
      </c>
    </row>
    <row r="520" spans="1:39">
      <c r="A520" s="9">
        <v>95611</v>
      </c>
      <c r="B520" s="10" t="s">
        <v>1895</v>
      </c>
      <c r="C520" s="60">
        <v>4.0660000000000002E-4</v>
      </c>
      <c r="E520" s="62">
        <v>34244.150978734666</v>
      </c>
      <c r="F520" s="62">
        <v>180382.13357740684</v>
      </c>
      <c r="G520" s="62">
        <v>92583.08107012343</v>
      </c>
      <c r="H520" s="62">
        <v>-44469.712120000011</v>
      </c>
      <c r="I520" s="62">
        <v>0</v>
      </c>
      <c r="J520" s="62"/>
      <c r="K520" s="62">
        <v>-2446.5122000000001</v>
      </c>
      <c r="L520" s="62">
        <v>5149.9956000000002</v>
      </c>
      <c r="M520" s="62">
        <v>9555.9132000000009</v>
      </c>
      <c r="N520" s="62">
        <v>5942.4589999999998</v>
      </c>
      <c r="O520" s="62">
        <v>0</v>
      </c>
      <c r="P520" s="62"/>
      <c r="Q520" s="62">
        <v>8951.2990000000009</v>
      </c>
      <c r="R520" s="62">
        <v>148506.584</v>
      </c>
      <c r="S520" s="62">
        <v>56827.229200000002</v>
      </c>
      <c r="T520" s="62">
        <v>-63463.754400000005</v>
      </c>
      <c r="U520" s="62">
        <v>0</v>
      </c>
      <c r="V520" s="62"/>
      <c r="W520" s="62">
        <v>26541.628200000003</v>
      </c>
      <c r="X520" s="62">
        <v>26541.628200000003</v>
      </c>
      <c r="Y520" s="62">
        <v>24398.439600000002</v>
      </c>
      <c r="Z520" s="62">
        <v>11230.292000000001</v>
      </c>
      <c r="AA520" s="62">
        <v>0</v>
      </c>
      <c r="AB520" s="62"/>
      <c r="AC520" s="62">
        <v>3189.4712799999879</v>
      </c>
      <c r="AD520" s="62">
        <v>1821.2912799999876</v>
      </c>
      <c r="AE520" s="62">
        <v>1821.2912799999876</v>
      </c>
      <c r="AF520" s="62">
        <v>1821.2912799999876</v>
      </c>
      <c r="AG520" s="62">
        <v>0</v>
      </c>
      <c r="AH520" s="62"/>
      <c r="AI520" s="62">
        <v>-1991.7353012653248</v>
      </c>
      <c r="AJ520" s="62">
        <v>-1637.3655025931241</v>
      </c>
      <c r="AK520" s="62">
        <v>-19.792209876551286</v>
      </c>
      <c r="AL520" s="62">
        <v>0</v>
      </c>
      <c r="AM520" s="62">
        <v>0</v>
      </c>
    </row>
    <row r="521" spans="1:39">
      <c r="A521" s="9">
        <v>95617</v>
      </c>
      <c r="B521" s="10" t="s">
        <v>1896</v>
      </c>
      <c r="C521" s="60">
        <v>1.6399999999999999E-5</v>
      </c>
      <c r="E521" s="62">
        <v>677.49257448218145</v>
      </c>
      <c r="F521" s="62">
        <v>7057.5446765568695</v>
      </c>
      <c r="G521" s="62">
        <v>3854.7582004115225</v>
      </c>
      <c r="H521" s="62">
        <v>-1749.4047999999991</v>
      </c>
      <c r="I521" s="62">
        <v>0</v>
      </c>
      <c r="J521" s="62"/>
      <c r="K521" s="62">
        <v>-98.678799999999995</v>
      </c>
      <c r="L521" s="62">
        <v>207.72239999999999</v>
      </c>
      <c r="M521" s="62">
        <v>385.43279999999999</v>
      </c>
      <c r="N521" s="62">
        <v>239.68599999999998</v>
      </c>
      <c r="O521" s="62">
        <v>0</v>
      </c>
      <c r="P521" s="62"/>
      <c r="Q521" s="62">
        <v>361.04599999999999</v>
      </c>
      <c r="R521" s="62">
        <v>5989.9359999999997</v>
      </c>
      <c r="S521" s="62">
        <v>2292.0967999999998</v>
      </c>
      <c r="T521" s="62">
        <v>-2559.7775999999999</v>
      </c>
      <c r="U521" s="62">
        <v>0</v>
      </c>
      <c r="V521" s="62"/>
      <c r="W521" s="62">
        <v>1070.5427999999999</v>
      </c>
      <c r="X521" s="62">
        <v>1070.5427999999999</v>
      </c>
      <c r="Y521" s="62">
        <v>984.09839999999997</v>
      </c>
      <c r="Z521" s="62">
        <v>452.96799999999996</v>
      </c>
      <c r="AA521" s="62">
        <v>0</v>
      </c>
      <c r="AB521" s="62"/>
      <c r="AC521" s="62">
        <v>205.40647489711944</v>
      </c>
      <c r="AD521" s="62">
        <v>205.40647489711944</v>
      </c>
      <c r="AE521" s="62">
        <v>193.13020041152285</v>
      </c>
      <c r="AF521" s="62">
        <v>117.71880000000075</v>
      </c>
      <c r="AG521" s="62">
        <v>0</v>
      </c>
      <c r="AH521" s="62"/>
      <c r="AI521" s="62">
        <v>-860.82390041493795</v>
      </c>
      <c r="AJ521" s="62">
        <v>-416.06299834024924</v>
      </c>
      <c r="AK521" s="62">
        <v>0</v>
      </c>
      <c r="AL521" s="62">
        <v>0</v>
      </c>
      <c r="AM521" s="62">
        <v>0</v>
      </c>
    </row>
    <row r="522" spans="1:39">
      <c r="A522" s="9">
        <v>95621</v>
      </c>
      <c r="B522" s="10" t="s">
        <v>1897</v>
      </c>
      <c r="C522" s="60">
        <v>4.5360000000000002E-4</v>
      </c>
      <c r="E522" s="62">
        <v>38315.817207354798</v>
      </c>
      <c r="F522" s="62">
        <v>199501.80645930499</v>
      </c>
      <c r="G522" s="62">
        <v>100633.88530502057</v>
      </c>
      <c r="H522" s="62">
        <v>-52181.333760000001</v>
      </c>
      <c r="I522" s="62">
        <v>0</v>
      </c>
      <c r="J522" s="62"/>
      <c r="K522" s="62">
        <v>-2729.3112000000001</v>
      </c>
      <c r="L522" s="62">
        <v>5745.2975999999999</v>
      </c>
      <c r="M522" s="62">
        <v>10660.5072</v>
      </c>
      <c r="N522" s="62">
        <v>6629.3640000000005</v>
      </c>
      <c r="O522" s="62">
        <v>0</v>
      </c>
      <c r="P522" s="62"/>
      <c r="Q522" s="62">
        <v>9986.0040000000008</v>
      </c>
      <c r="R522" s="62">
        <v>165672.864</v>
      </c>
      <c r="S522" s="62">
        <v>63396.0432</v>
      </c>
      <c r="T522" s="62">
        <v>-70799.702400000009</v>
      </c>
      <c r="U522" s="62">
        <v>0</v>
      </c>
      <c r="V522" s="62"/>
      <c r="W522" s="62">
        <v>29609.647200000003</v>
      </c>
      <c r="X522" s="62">
        <v>29609.647200000003</v>
      </c>
      <c r="Y522" s="62">
        <v>27218.721600000001</v>
      </c>
      <c r="Z522" s="62">
        <v>12528.432000000001</v>
      </c>
      <c r="AA522" s="62">
        <v>0</v>
      </c>
      <c r="AB522" s="62"/>
      <c r="AC522" s="62">
        <v>3166.0200000000009</v>
      </c>
      <c r="AD522" s="62">
        <v>0</v>
      </c>
      <c r="AE522" s="62">
        <v>0</v>
      </c>
      <c r="AF522" s="62">
        <v>0</v>
      </c>
      <c r="AG522" s="62">
        <v>0</v>
      </c>
      <c r="AH522" s="62"/>
      <c r="AI522" s="62">
        <v>-1716.5427926452101</v>
      </c>
      <c r="AJ522" s="62">
        <v>-1526.0023406950022</v>
      </c>
      <c r="AK522" s="62">
        <v>-641.38669497944124</v>
      </c>
      <c r="AL522" s="62">
        <v>-539.42735999999604</v>
      </c>
      <c r="AM522" s="62">
        <v>0</v>
      </c>
    </row>
    <row r="523" spans="1:39">
      <c r="A523" s="9">
        <v>95701</v>
      </c>
      <c r="B523" s="10" t="s">
        <v>1898</v>
      </c>
      <c r="C523" s="60">
        <v>1.3747E-3</v>
      </c>
      <c r="E523" s="62">
        <v>140247.36429711781</v>
      </c>
      <c r="F523" s="62">
        <v>624422.20478815516</v>
      </c>
      <c r="G523" s="62">
        <v>318196.80841069977</v>
      </c>
      <c r="H523" s="62">
        <v>-148574.82309999983</v>
      </c>
      <c r="I523" s="62">
        <v>0</v>
      </c>
      <c r="J523" s="62"/>
      <c r="K523" s="62">
        <v>-8271.5699000000004</v>
      </c>
      <c r="L523" s="62">
        <v>17411.950199999999</v>
      </c>
      <c r="M523" s="62">
        <v>32308.199399999998</v>
      </c>
      <c r="N523" s="62">
        <v>20091.2405</v>
      </c>
      <c r="O523" s="62">
        <v>0</v>
      </c>
      <c r="P523" s="62"/>
      <c r="Q523" s="62">
        <v>30264.020499999999</v>
      </c>
      <c r="R523" s="62">
        <v>502095.42800000001</v>
      </c>
      <c r="S523" s="62">
        <v>192130.82139999999</v>
      </c>
      <c r="T523" s="62">
        <v>-214568.67480000001</v>
      </c>
      <c r="U523" s="62">
        <v>0</v>
      </c>
      <c r="V523" s="62"/>
      <c r="W523" s="62">
        <v>89736.291899999997</v>
      </c>
      <c r="X523" s="62">
        <v>89736.291899999997</v>
      </c>
      <c r="Y523" s="62">
        <v>82490.248200000002</v>
      </c>
      <c r="Z523" s="62">
        <v>37969.214</v>
      </c>
      <c r="AA523" s="62">
        <v>0</v>
      </c>
      <c r="AB523" s="62"/>
      <c r="AC523" s="62">
        <v>28518.621797117808</v>
      </c>
      <c r="AD523" s="62">
        <v>15178.534688155163</v>
      </c>
      <c r="AE523" s="62">
        <v>11267.539410699821</v>
      </c>
      <c r="AF523" s="62">
        <v>7933.3972000001922</v>
      </c>
      <c r="AG523" s="62">
        <v>0</v>
      </c>
      <c r="AH523" s="62"/>
      <c r="AI523" s="62">
        <v>0</v>
      </c>
      <c r="AJ523" s="62">
        <v>0</v>
      </c>
      <c r="AK523" s="62">
        <v>0</v>
      </c>
      <c r="AL523" s="62">
        <v>0</v>
      </c>
      <c r="AM523" s="62">
        <v>0</v>
      </c>
    </row>
    <row r="524" spans="1:39">
      <c r="A524" s="9">
        <v>95711</v>
      </c>
      <c r="B524" s="10" t="s">
        <v>1899</v>
      </c>
      <c r="C524" s="60">
        <v>1.394E-4</v>
      </c>
      <c r="E524" s="62">
        <v>12993.223032496977</v>
      </c>
      <c r="F524" s="62">
        <v>62990.590250588262</v>
      </c>
      <c r="G524" s="62">
        <v>29910.958023539108</v>
      </c>
      <c r="H524" s="62">
        <v>-17311.69435999999</v>
      </c>
      <c r="I524" s="62">
        <v>0</v>
      </c>
      <c r="J524" s="62"/>
      <c r="K524" s="62">
        <v>-838.76980000000003</v>
      </c>
      <c r="L524" s="62">
        <v>1765.6404</v>
      </c>
      <c r="M524" s="62">
        <v>3276.1788000000001</v>
      </c>
      <c r="N524" s="62">
        <v>2037.3309999999999</v>
      </c>
      <c r="O524" s="62">
        <v>0</v>
      </c>
      <c r="P524" s="62"/>
      <c r="Q524" s="62">
        <v>3068.8910000000001</v>
      </c>
      <c r="R524" s="62">
        <v>50914.455999999998</v>
      </c>
      <c r="S524" s="62">
        <v>19482.822800000002</v>
      </c>
      <c r="T524" s="62">
        <v>-21758.1096</v>
      </c>
      <c r="U524" s="62">
        <v>0</v>
      </c>
      <c r="V524" s="62"/>
      <c r="W524" s="62">
        <v>9099.6137999999992</v>
      </c>
      <c r="X524" s="62">
        <v>9099.6137999999992</v>
      </c>
      <c r="Y524" s="62">
        <v>8364.8364000000001</v>
      </c>
      <c r="Z524" s="62">
        <v>3850.2280000000001</v>
      </c>
      <c r="AA524" s="62">
        <v>0</v>
      </c>
      <c r="AB524" s="62"/>
      <c r="AC524" s="62">
        <v>3175.9117924969646</v>
      </c>
      <c r="AD524" s="62">
        <v>2652.0238105882522</v>
      </c>
      <c r="AE524" s="62">
        <v>228.26378353909399</v>
      </c>
      <c r="AF524" s="62">
        <v>0</v>
      </c>
      <c r="AG524" s="62">
        <v>0</v>
      </c>
      <c r="AH524" s="62"/>
      <c r="AI524" s="62">
        <v>-1512.4237599999874</v>
      </c>
      <c r="AJ524" s="62">
        <v>-1441.1437599999874</v>
      </c>
      <c r="AK524" s="62">
        <v>-1441.1437599999874</v>
      </c>
      <c r="AL524" s="62">
        <v>-1441.1437599999874</v>
      </c>
      <c r="AM524" s="62">
        <v>0</v>
      </c>
    </row>
    <row r="525" spans="1:39">
      <c r="A525" s="9">
        <v>95721</v>
      </c>
      <c r="B525" s="10" t="s">
        <v>1900</v>
      </c>
      <c r="C525" s="60">
        <v>6.7600000000000003E-5</v>
      </c>
      <c r="E525" s="62">
        <v>899.67399238290363</v>
      </c>
      <c r="F525" s="62">
        <v>27796.299899768797</v>
      </c>
      <c r="G525" s="62">
        <v>13181.742688559672</v>
      </c>
      <c r="H525" s="62">
        <v>-8649.7245600000024</v>
      </c>
      <c r="I525" s="62">
        <v>0</v>
      </c>
      <c r="J525" s="62"/>
      <c r="K525" s="62">
        <v>-406.74920000000003</v>
      </c>
      <c r="L525" s="62">
        <v>856.22160000000008</v>
      </c>
      <c r="M525" s="62">
        <v>1588.7352000000001</v>
      </c>
      <c r="N525" s="62">
        <v>987.97400000000005</v>
      </c>
      <c r="O525" s="62">
        <v>0</v>
      </c>
      <c r="P525" s="62"/>
      <c r="Q525" s="62">
        <v>1488.2140000000002</v>
      </c>
      <c r="R525" s="62">
        <v>24690.224000000002</v>
      </c>
      <c r="S525" s="62">
        <v>9447.9112000000005</v>
      </c>
      <c r="T525" s="62">
        <v>-10551.278400000001</v>
      </c>
      <c r="U525" s="62">
        <v>0</v>
      </c>
      <c r="V525" s="62"/>
      <c r="W525" s="62">
        <v>4412.7251999999999</v>
      </c>
      <c r="X525" s="62">
        <v>4412.7251999999999</v>
      </c>
      <c r="Y525" s="62">
        <v>4056.4056</v>
      </c>
      <c r="Z525" s="62">
        <v>1867.1120000000001</v>
      </c>
      <c r="AA525" s="62">
        <v>0</v>
      </c>
      <c r="AB525" s="62"/>
      <c r="AC525" s="62">
        <v>0</v>
      </c>
      <c r="AD525" s="62">
        <v>0</v>
      </c>
      <c r="AE525" s="62">
        <v>0</v>
      </c>
      <c r="AF525" s="62">
        <v>0</v>
      </c>
      <c r="AG525" s="62">
        <v>0</v>
      </c>
      <c r="AH525" s="62"/>
      <c r="AI525" s="62">
        <v>-4594.5160076170969</v>
      </c>
      <c r="AJ525" s="62">
        <v>-2162.8709002312044</v>
      </c>
      <c r="AK525" s="62">
        <v>-1911.3093114403287</v>
      </c>
      <c r="AL525" s="62">
        <v>-953.53216000000111</v>
      </c>
      <c r="AM525" s="62">
        <v>0</v>
      </c>
    </row>
    <row r="526" spans="1:39">
      <c r="A526" s="9">
        <v>95733</v>
      </c>
      <c r="B526" s="10" t="s">
        <v>1901</v>
      </c>
      <c r="C526" s="60">
        <v>1.5400000000000002E-5</v>
      </c>
      <c r="E526" s="62">
        <v>1460.34090941311</v>
      </c>
      <c r="F526" s="62">
        <v>6927.1823409483804</v>
      </c>
      <c r="G526" s="62">
        <v>3312.6174171193402</v>
      </c>
      <c r="H526" s="62">
        <v>-1821.2586800000013</v>
      </c>
      <c r="I526" s="62">
        <v>0</v>
      </c>
      <c r="J526" s="62"/>
      <c r="K526" s="62">
        <v>-92.661800000000014</v>
      </c>
      <c r="L526" s="62">
        <v>195.05640000000002</v>
      </c>
      <c r="M526" s="62">
        <v>361.93080000000003</v>
      </c>
      <c r="N526" s="62">
        <v>225.07100000000003</v>
      </c>
      <c r="O526" s="62">
        <v>0</v>
      </c>
      <c r="P526" s="62"/>
      <c r="Q526" s="62">
        <v>339.03100000000006</v>
      </c>
      <c r="R526" s="62">
        <v>5624.6960000000008</v>
      </c>
      <c r="S526" s="62">
        <v>2152.3348000000001</v>
      </c>
      <c r="T526" s="62">
        <v>-2403.6936000000001</v>
      </c>
      <c r="U526" s="62">
        <v>0</v>
      </c>
      <c r="V526" s="62"/>
      <c r="W526" s="62">
        <v>1005.2658000000001</v>
      </c>
      <c r="X526" s="62">
        <v>1005.2658000000001</v>
      </c>
      <c r="Y526" s="62">
        <v>924.09240000000011</v>
      </c>
      <c r="Z526" s="62">
        <v>425.34800000000007</v>
      </c>
      <c r="AA526" s="62">
        <v>0</v>
      </c>
      <c r="AB526" s="62"/>
      <c r="AC526" s="62">
        <v>343.84871369294655</v>
      </c>
      <c r="AD526" s="62">
        <v>237.30694522821625</v>
      </c>
      <c r="AE526" s="62">
        <v>0</v>
      </c>
      <c r="AF526" s="62">
        <v>0</v>
      </c>
      <c r="AG526" s="62">
        <v>0</v>
      </c>
      <c r="AH526" s="62"/>
      <c r="AI526" s="62">
        <v>-135.14280427983675</v>
      </c>
      <c r="AJ526" s="62">
        <v>-135.14280427983675</v>
      </c>
      <c r="AK526" s="62">
        <v>-125.74058288065979</v>
      </c>
      <c r="AL526" s="62">
        <v>-67.984080000001086</v>
      </c>
      <c r="AM526" s="62">
        <v>0</v>
      </c>
    </row>
    <row r="527" spans="1:39">
      <c r="A527" s="9">
        <v>95801</v>
      </c>
      <c r="B527" s="10" t="s">
        <v>1902</v>
      </c>
      <c r="C527" s="60">
        <v>9.6310000000000005E-4</v>
      </c>
      <c r="E527" s="62">
        <v>92713.859058110043</v>
      </c>
      <c r="F527" s="62">
        <v>444183.71674624289</v>
      </c>
      <c r="G527" s="62">
        <v>228148.22750905348</v>
      </c>
      <c r="H527" s="62">
        <v>-96454.888700000025</v>
      </c>
      <c r="I527" s="62">
        <v>0</v>
      </c>
      <c r="J527" s="62"/>
      <c r="K527" s="62">
        <v>-5794.9727000000003</v>
      </c>
      <c r="L527" s="62">
        <v>12198.624600000001</v>
      </c>
      <c r="M527" s="62">
        <v>22634.7762</v>
      </c>
      <c r="N527" s="62">
        <v>14075.7065</v>
      </c>
      <c r="O527" s="62">
        <v>0</v>
      </c>
      <c r="P527" s="62"/>
      <c r="Q527" s="62">
        <v>21202.646500000003</v>
      </c>
      <c r="R527" s="62">
        <v>351762.64400000003</v>
      </c>
      <c r="S527" s="62">
        <v>134604.78220000002</v>
      </c>
      <c r="T527" s="62">
        <v>-150324.50040000002</v>
      </c>
      <c r="U527" s="62">
        <v>0</v>
      </c>
      <c r="V527" s="62"/>
      <c r="W527" s="62">
        <v>62868.278700000003</v>
      </c>
      <c r="X527" s="62">
        <v>62868.278700000003</v>
      </c>
      <c r="Y527" s="62">
        <v>57791.778600000005</v>
      </c>
      <c r="Z527" s="62">
        <v>26600.822</v>
      </c>
      <c r="AA527" s="62">
        <v>0</v>
      </c>
      <c r="AB527" s="62"/>
      <c r="AC527" s="62">
        <v>18375.622710373449</v>
      </c>
      <c r="AD527" s="62">
        <v>17442.76559850623</v>
      </c>
      <c r="AE527" s="62">
        <v>13193.083199999994</v>
      </c>
      <c r="AF527" s="62">
        <v>13193.083199999994</v>
      </c>
      <c r="AG527" s="62">
        <v>0</v>
      </c>
      <c r="AH527" s="62"/>
      <c r="AI527" s="62">
        <v>-3937.7161522634001</v>
      </c>
      <c r="AJ527" s="62">
        <v>-88.59615226339929</v>
      </c>
      <c r="AK527" s="62">
        <v>-76.192690946523413</v>
      </c>
      <c r="AL527" s="62">
        <v>0</v>
      </c>
      <c r="AM527" s="62">
        <v>0</v>
      </c>
    </row>
    <row r="528" spans="1:39">
      <c r="A528" s="9">
        <v>95802</v>
      </c>
      <c r="B528" s="10" t="s">
        <v>1903</v>
      </c>
      <c r="C528" s="60">
        <v>6.1E-6</v>
      </c>
      <c r="E528" s="62">
        <v>427.76886005464166</v>
      </c>
      <c r="F528" s="62">
        <v>3801.6470268596213</v>
      </c>
      <c r="G528" s="62">
        <v>2033.2075863374489</v>
      </c>
      <c r="H528" s="62">
        <v>-347.12114000000003</v>
      </c>
      <c r="I528" s="62">
        <v>0</v>
      </c>
      <c r="J528" s="62"/>
      <c r="K528" s="62">
        <v>-36.703699999999998</v>
      </c>
      <c r="L528" s="62">
        <v>77.262600000000006</v>
      </c>
      <c r="M528" s="62">
        <v>143.3622</v>
      </c>
      <c r="N528" s="62">
        <v>89.151499999999999</v>
      </c>
      <c r="O528" s="62">
        <v>0</v>
      </c>
      <c r="P528" s="62"/>
      <c r="Q528" s="62">
        <v>134.29150000000001</v>
      </c>
      <c r="R528" s="62">
        <v>2227.9639999999999</v>
      </c>
      <c r="S528" s="62">
        <v>852.54819999999995</v>
      </c>
      <c r="T528" s="62">
        <v>-952.11239999999998</v>
      </c>
      <c r="U528" s="62">
        <v>0</v>
      </c>
      <c r="V528" s="62"/>
      <c r="W528" s="62">
        <v>398.18970000000002</v>
      </c>
      <c r="X528" s="62">
        <v>398.18970000000002</v>
      </c>
      <c r="Y528" s="62">
        <v>366.03660000000002</v>
      </c>
      <c r="Z528" s="62">
        <v>168.482</v>
      </c>
      <c r="AA528" s="62">
        <v>0</v>
      </c>
      <c r="AB528" s="62"/>
      <c r="AC528" s="62">
        <v>1180.3813600546418</v>
      </c>
      <c r="AD528" s="62">
        <v>1098.2307268596212</v>
      </c>
      <c r="AE528" s="62">
        <v>671.26058633744867</v>
      </c>
      <c r="AF528" s="62">
        <v>347.35776000000004</v>
      </c>
      <c r="AG528" s="62">
        <v>0</v>
      </c>
      <c r="AH528" s="62"/>
      <c r="AI528" s="62">
        <v>-1248.3900000000003</v>
      </c>
      <c r="AJ528" s="62">
        <v>0</v>
      </c>
      <c r="AK528" s="62">
        <v>0</v>
      </c>
      <c r="AL528" s="62">
        <v>0</v>
      </c>
      <c r="AM528" s="62">
        <v>0</v>
      </c>
    </row>
    <row r="529" spans="1:39">
      <c r="A529" s="9">
        <v>95804</v>
      </c>
      <c r="B529" s="10" t="s">
        <v>1904</v>
      </c>
      <c r="C529" s="60">
        <v>2.19E-5</v>
      </c>
      <c r="E529" s="62">
        <v>3403.2504288130722</v>
      </c>
      <c r="F529" s="62">
        <v>10723.175174871165</v>
      </c>
      <c r="G529" s="62">
        <v>5438.6070279012347</v>
      </c>
      <c r="H529" s="62">
        <v>-2052.1829400000006</v>
      </c>
      <c r="I529" s="62">
        <v>0</v>
      </c>
      <c r="J529" s="62"/>
      <c r="K529" s="62">
        <v>-131.7723</v>
      </c>
      <c r="L529" s="62">
        <v>277.3854</v>
      </c>
      <c r="M529" s="62">
        <v>514.69380000000001</v>
      </c>
      <c r="N529" s="62">
        <v>320.06850000000003</v>
      </c>
      <c r="O529" s="62">
        <v>0</v>
      </c>
      <c r="P529" s="62"/>
      <c r="Q529" s="62">
        <v>482.12850000000003</v>
      </c>
      <c r="R529" s="62">
        <v>7998.7560000000003</v>
      </c>
      <c r="S529" s="62">
        <v>3060.7878000000001</v>
      </c>
      <c r="T529" s="62">
        <v>-3418.2395999999999</v>
      </c>
      <c r="U529" s="62">
        <v>0</v>
      </c>
      <c r="V529" s="62"/>
      <c r="W529" s="62">
        <v>1429.5663</v>
      </c>
      <c r="X529" s="62">
        <v>1429.5663</v>
      </c>
      <c r="Y529" s="62">
        <v>1314.1314</v>
      </c>
      <c r="Z529" s="62">
        <v>604.87800000000004</v>
      </c>
      <c r="AA529" s="62">
        <v>0</v>
      </c>
      <c r="AB529" s="62"/>
      <c r="AC529" s="62">
        <v>1623.327928813072</v>
      </c>
      <c r="AD529" s="62">
        <v>1017.4674748711636</v>
      </c>
      <c r="AE529" s="62">
        <v>548.99402790123418</v>
      </c>
      <c r="AF529" s="62">
        <v>441.1101599999995</v>
      </c>
      <c r="AG529" s="62">
        <v>0</v>
      </c>
      <c r="AH529" s="62"/>
      <c r="AI529" s="62">
        <v>0</v>
      </c>
      <c r="AJ529" s="62">
        <v>0</v>
      </c>
      <c r="AK529" s="62">
        <v>0</v>
      </c>
      <c r="AL529" s="62">
        <v>0</v>
      </c>
      <c r="AM529" s="62">
        <v>0</v>
      </c>
    </row>
    <row r="530" spans="1:39">
      <c r="A530" s="9">
        <v>95811</v>
      </c>
      <c r="B530" s="10" t="s">
        <v>1905</v>
      </c>
      <c r="C530" s="60">
        <v>5.3129999999999996E-4</v>
      </c>
      <c r="E530" s="62">
        <v>41675.708979920062</v>
      </c>
      <c r="F530" s="62">
        <v>233878.85942846775</v>
      </c>
      <c r="G530" s="62">
        <v>118531.82430148145</v>
      </c>
      <c r="H530" s="62">
        <v>-60957.706580000013</v>
      </c>
      <c r="I530" s="62">
        <v>0</v>
      </c>
      <c r="J530" s="62"/>
      <c r="K530" s="62">
        <v>-3196.8320999999996</v>
      </c>
      <c r="L530" s="62">
        <v>6729.4457999999995</v>
      </c>
      <c r="M530" s="62">
        <v>12486.612599999999</v>
      </c>
      <c r="N530" s="62">
        <v>7764.9494999999997</v>
      </c>
      <c r="O530" s="62">
        <v>0</v>
      </c>
      <c r="P530" s="62"/>
      <c r="Q530" s="62">
        <v>11696.5695</v>
      </c>
      <c r="R530" s="62">
        <v>194052.01199999999</v>
      </c>
      <c r="S530" s="62">
        <v>74255.550599999988</v>
      </c>
      <c r="T530" s="62">
        <v>-82927.429199999999</v>
      </c>
      <c r="U530" s="62">
        <v>0</v>
      </c>
      <c r="V530" s="62"/>
      <c r="W530" s="62">
        <v>34681.670099999996</v>
      </c>
      <c r="X530" s="62">
        <v>34681.670099999996</v>
      </c>
      <c r="Y530" s="62">
        <v>31881.187799999996</v>
      </c>
      <c r="Z530" s="62">
        <v>14674.505999999999</v>
      </c>
      <c r="AA530" s="62">
        <v>0</v>
      </c>
      <c r="AB530" s="62"/>
      <c r="AC530" s="62">
        <v>859.53462962963727</v>
      </c>
      <c r="AD530" s="62">
        <v>439.77462962963716</v>
      </c>
      <c r="AE530" s="62">
        <v>378.2061814814881</v>
      </c>
      <c r="AF530" s="62">
        <v>0</v>
      </c>
      <c r="AG530" s="62">
        <v>0</v>
      </c>
      <c r="AH530" s="62"/>
      <c r="AI530" s="62">
        <v>-2365.2331497095629</v>
      </c>
      <c r="AJ530" s="62">
        <v>-2024.0431011618457</v>
      </c>
      <c r="AK530" s="62">
        <v>-469.73288000001924</v>
      </c>
      <c r="AL530" s="62">
        <v>-469.73288000001924</v>
      </c>
      <c r="AM530" s="62">
        <v>0</v>
      </c>
    </row>
    <row r="531" spans="1:39">
      <c r="A531" s="9">
        <v>95813</v>
      </c>
      <c r="B531" s="10" t="s">
        <v>1906</v>
      </c>
      <c r="C531" s="60">
        <v>4.88E-5</v>
      </c>
      <c r="E531" s="62">
        <v>28419.520068661779</v>
      </c>
      <c r="F531" s="62">
        <v>44440.877156628587</v>
      </c>
      <c r="G531" s="62">
        <v>26712.383014979423</v>
      </c>
      <c r="H531" s="62">
        <v>3360.750879999996</v>
      </c>
      <c r="I531" s="62">
        <v>0</v>
      </c>
      <c r="J531" s="62"/>
      <c r="K531" s="62">
        <v>-293.62959999999998</v>
      </c>
      <c r="L531" s="62">
        <v>618.10080000000005</v>
      </c>
      <c r="M531" s="62">
        <v>1146.8976</v>
      </c>
      <c r="N531" s="62">
        <v>713.21199999999999</v>
      </c>
      <c r="O531" s="62">
        <v>0</v>
      </c>
      <c r="P531" s="62"/>
      <c r="Q531" s="62">
        <v>1074.3320000000001</v>
      </c>
      <c r="R531" s="62">
        <v>17823.712</v>
      </c>
      <c r="S531" s="62">
        <v>6820.3855999999996</v>
      </c>
      <c r="T531" s="62">
        <v>-7616.8991999999998</v>
      </c>
      <c r="U531" s="62">
        <v>0</v>
      </c>
      <c r="V531" s="62"/>
      <c r="W531" s="62">
        <v>3185.5176000000001</v>
      </c>
      <c r="X531" s="62">
        <v>3185.5176000000001</v>
      </c>
      <c r="Y531" s="62">
        <v>2928.2928000000002</v>
      </c>
      <c r="Z531" s="62">
        <v>1347.856</v>
      </c>
      <c r="AA531" s="62">
        <v>0</v>
      </c>
      <c r="AB531" s="62"/>
      <c r="AC531" s="62">
        <v>24453.300068661778</v>
      </c>
      <c r="AD531" s="62">
        <v>22813.546756628588</v>
      </c>
      <c r="AE531" s="62">
        <v>15816.807014979422</v>
      </c>
      <c r="AF531" s="62">
        <v>8916.5820799999965</v>
      </c>
      <c r="AG531" s="62">
        <v>0</v>
      </c>
      <c r="AH531" s="62"/>
      <c r="AI531" s="62">
        <v>0</v>
      </c>
      <c r="AJ531" s="62">
        <v>0</v>
      </c>
      <c r="AK531" s="62">
        <v>0</v>
      </c>
      <c r="AL531" s="62">
        <v>0</v>
      </c>
      <c r="AM531" s="62">
        <v>0</v>
      </c>
    </row>
    <row r="532" spans="1:39">
      <c r="A532" s="9">
        <v>95821</v>
      </c>
      <c r="B532" s="10" t="s">
        <v>1904</v>
      </c>
      <c r="C532" s="60">
        <v>0</v>
      </c>
      <c r="E532" s="62">
        <v>458.44357556341021</v>
      </c>
      <c r="F532" s="62">
        <v>279.93992079162609</v>
      </c>
      <c r="G532" s="62">
        <v>65.473481563785953</v>
      </c>
      <c r="H532" s="62">
        <v>-162.99856000000017</v>
      </c>
      <c r="I532" s="62">
        <v>0</v>
      </c>
      <c r="J532" s="62"/>
      <c r="K532" s="62">
        <v>0</v>
      </c>
      <c r="L532" s="62">
        <v>0</v>
      </c>
      <c r="M532" s="62">
        <v>0</v>
      </c>
      <c r="N532" s="62">
        <v>0</v>
      </c>
      <c r="O532" s="62">
        <v>0</v>
      </c>
      <c r="P532" s="62"/>
      <c r="Q532" s="62">
        <v>0</v>
      </c>
      <c r="R532" s="62">
        <v>0</v>
      </c>
      <c r="S532" s="62">
        <v>0</v>
      </c>
      <c r="T532" s="62">
        <v>0</v>
      </c>
      <c r="U532" s="62">
        <v>0</v>
      </c>
      <c r="V532" s="62"/>
      <c r="W532" s="62">
        <v>0</v>
      </c>
      <c r="X532" s="62">
        <v>0</v>
      </c>
      <c r="Y532" s="62">
        <v>0</v>
      </c>
      <c r="Z532" s="62">
        <v>0</v>
      </c>
      <c r="AA532" s="62">
        <v>0</v>
      </c>
      <c r="AB532" s="62"/>
      <c r="AC532" s="62">
        <v>621.44213556341037</v>
      </c>
      <c r="AD532" s="62">
        <v>442.93848079162626</v>
      </c>
      <c r="AE532" s="62">
        <v>228.47204156378612</v>
      </c>
      <c r="AF532" s="62">
        <v>0</v>
      </c>
      <c r="AG532" s="62">
        <v>0</v>
      </c>
      <c r="AH532" s="62"/>
      <c r="AI532" s="62">
        <v>-162.99856000000017</v>
      </c>
      <c r="AJ532" s="62">
        <v>-162.99856000000017</v>
      </c>
      <c r="AK532" s="62">
        <v>-162.99856000000017</v>
      </c>
      <c r="AL532" s="62">
        <v>-162.99856000000017</v>
      </c>
      <c r="AM532" s="62">
        <v>0</v>
      </c>
    </row>
    <row r="533" spans="1:39">
      <c r="A533" s="9">
        <v>95831</v>
      </c>
      <c r="B533" s="10" t="s">
        <v>1908</v>
      </c>
      <c r="C533" s="60">
        <v>1.6799999999999998E-5</v>
      </c>
      <c r="E533" s="62">
        <v>9431.3033646459371</v>
      </c>
      <c r="F533" s="62">
        <v>14858.157542239298</v>
      </c>
      <c r="G533" s="62">
        <v>8834.0710393415648</v>
      </c>
      <c r="H533" s="62">
        <v>1487.9543200000021</v>
      </c>
      <c r="I533" s="62">
        <v>0</v>
      </c>
      <c r="J533" s="62"/>
      <c r="K533" s="62">
        <v>-101.08559999999999</v>
      </c>
      <c r="L533" s="62">
        <v>212.78879999999998</v>
      </c>
      <c r="M533" s="62">
        <v>394.83359999999999</v>
      </c>
      <c r="N533" s="62">
        <v>245.53199999999998</v>
      </c>
      <c r="O533" s="62">
        <v>0</v>
      </c>
      <c r="P533" s="62"/>
      <c r="Q533" s="62">
        <v>369.85199999999998</v>
      </c>
      <c r="R533" s="62">
        <v>6136.0319999999992</v>
      </c>
      <c r="S533" s="62">
        <v>2348.0015999999996</v>
      </c>
      <c r="T533" s="62">
        <v>-2622.2111999999997</v>
      </c>
      <c r="U533" s="62">
        <v>0</v>
      </c>
      <c r="V533" s="62"/>
      <c r="W533" s="62">
        <v>1096.6535999999999</v>
      </c>
      <c r="X533" s="62">
        <v>1096.6535999999999</v>
      </c>
      <c r="Y533" s="62">
        <v>1008.1007999999999</v>
      </c>
      <c r="Z533" s="62">
        <v>464.01599999999996</v>
      </c>
      <c r="AA533" s="62">
        <v>0</v>
      </c>
      <c r="AB533" s="62"/>
      <c r="AC533" s="62">
        <v>8065.8833646459379</v>
      </c>
      <c r="AD533" s="62">
        <v>7412.6831422392988</v>
      </c>
      <c r="AE533" s="62">
        <v>5083.135039341566</v>
      </c>
      <c r="AF533" s="62">
        <v>3400.6175200000016</v>
      </c>
      <c r="AG533" s="62">
        <v>0</v>
      </c>
      <c r="AH533" s="62"/>
      <c r="AI533" s="62">
        <v>0</v>
      </c>
      <c r="AJ533" s="62">
        <v>0</v>
      </c>
      <c r="AK533" s="62">
        <v>0</v>
      </c>
      <c r="AL533" s="62">
        <v>0</v>
      </c>
      <c r="AM533" s="62">
        <v>0</v>
      </c>
    </row>
    <row r="534" spans="1:39">
      <c r="A534" s="9">
        <v>95841</v>
      </c>
      <c r="B534" s="10" t="s">
        <v>1909</v>
      </c>
      <c r="C534" s="60">
        <v>2.0999999999999999E-5</v>
      </c>
      <c r="E534" s="62">
        <v>2522.3724279111375</v>
      </c>
      <c r="F534" s="62">
        <v>9947.5064718945414</v>
      </c>
      <c r="G534" s="62">
        <v>5119.7850331687232</v>
      </c>
      <c r="H534" s="62">
        <v>-2174.7574800000002</v>
      </c>
      <c r="I534" s="62">
        <v>0</v>
      </c>
      <c r="J534" s="62"/>
      <c r="K534" s="62">
        <v>-126.357</v>
      </c>
      <c r="L534" s="62">
        <v>265.98599999999999</v>
      </c>
      <c r="M534" s="62">
        <v>493.54199999999997</v>
      </c>
      <c r="N534" s="62">
        <v>306.91499999999996</v>
      </c>
      <c r="O534" s="62">
        <v>0</v>
      </c>
      <c r="P534" s="62"/>
      <c r="Q534" s="62">
        <v>462.315</v>
      </c>
      <c r="R534" s="62">
        <v>7670.04</v>
      </c>
      <c r="S534" s="62">
        <v>2935.002</v>
      </c>
      <c r="T534" s="62">
        <v>-3277.7639999999997</v>
      </c>
      <c r="U534" s="62">
        <v>0</v>
      </c>
      <c r="V534" s="62"/>
      <c r="W534" s="62">
        <v>1370.817</v>
      </c>
      <c r="X534" s="62">
        <v>1370.817</v>
      </c>
      <c r="Y534" s="62">
        <v>1260.126</v>
      </c>
      <c r="Z534" s="62">
        <v>580.02</v>
      </c>
      <c r="AA534" s="62">
        <v>0</v>
      </c>
      <c r="AB534" s="62"/>
      <c r="AC534" s="62">
        <v>815.59742791113763</v>
      </c>
      <c r="AD534" s="62">
        <v>640.66347189454018</v>
      </c>
      <c r="AE534" s="62">
        <v>431.11503316872353</v>
      </c>
      <c r="AF534" s="62">
        <v>216.07151999999951</v>
      </c>
      <c r="AG534" s="62">
        <v>0</v>
      </c>
      <c r="AH534" s="62"/>
      <c r="AI534" s="62">
        <v>0</v>
      </c>
      <c r="AJ534" s="62">
        <v>0</v>
      </c>
      <c r="AK534" s="62">
        <v>0</v>
      </c>
      <c r="AL534" s="62">
        <v>0</v>
      </c>
      <c r="AM534" s="62">
        <v>0</v>
      </c>
    </row>
    <row r="535" spans="1:39">
      <c r="A535" s="9">
        <v>95851</v>
      </c>
      <c r="B535" s="10" t="s">
        <v>1910</v>
      </c>
      <c r="C535" s="60">
        <v>1.327E-4</v>
      </c>
      <c r="E535" s="62">
        <v>50658.20704280278</v>
      </c>
      <c r="F535" s="62">
        <v>100363.63023010569</v>
      </c>
      <c r="G535" s="62">
        <v>57915.142210946498</v>
      </c>
      <c r="H535" s="62">
        <v>1635.7860199999923</v>
      </c>
      <c r="I535" s="62">
        <v>0</v>
      </c>
      <c r="J535" s="62"/>
      <c r="K535" s="62">
        <v>-798.45590000000004</v>
      </c>
      <c r="L535" s="62">
        <v>1680.7782</v>
      </c>
      <c r="M535" s="62">
        <v>3118.7154</v>
      </c>
      <c r="N535" s="62">
        <v>1939.4105</v>
      </c>
      <c r="O535" s="62">
        <v>0</v>
      </c>
      <c r="P535" s="62"/>
      <c r="Q535" s="62">
        <v>2921.3905</v>
      </c>
      <c r="R535" s="62">
        <v>48467.347999999998</v>
      </c>
      <c r="S535" s="62">
        <v>18546.417399999998</v>
      </c>
      <c r="T535" s="62">
        <v>-20712.346799999999</v>
      </c>
      <c r="U535" s="62">
        <v>0</v>
      </c>
      <c r="V535" s="62"/>
      <c r="W535" s="62">
        <v>8662.2579000000005</v>
      </c>
      <c r="X535" s="62">
        <v>8662.2579000000005</v>
      </c>
      <c r="Y535" s="62">
        <v>7962.7961999999998</v>
      </c>
      <c r="Z535" s="62">
        <v>3665.174</v>
      </c>
      <c r="AA535" s="62">
        <v>0</v>
      </c>
      <c r="AB535" s="62"/>
      <c r="AC535" s="62">
        <v>44052.794542802782</v>
      </c>
      <c r="AD535" s="62">
        <v>41553.24613010569</v>
      </c>
      <c r="AE535" s="62">
        <v>28287.213210946498</v>
      </c>
      <c r="AF535" s="62">
        <v>16743.548319999994</v>
      </c>
      <c r="AG535" s="62">
        <v>0</v>
      </c>
      <c r="AH535" s="62"/>
      <c r="AI535" s="62">
        <v>-4179.7800000000007</v>
      </c>
      <c r="AJ535" s="62">
        <v>0</v>
      </c>
      <c r="AK535" s="62">
        <v>0</v>
      </c>
      <c r="AL535" s="62">
        <v>0</v>
      </c>
      <c r="AM535" s="62">
        <v>0</v>
      </c>
    </row>
    <row r="536" spans="1:39">
      <c r="A536" s="9">
        <v>95853</v>
      </c>
      <c r="B536" s="10" t="s">
        <v>1911</v>
      </c>
      <c r="C536" s="60">
        <v>2.69E-5</v>
      </c>
      <c r="E536" s="62">
        <v>5851.2734370660655</v>
      </c>
      <c r="F536" s="62">
        <v>14432.236469431211</v>
      </c>
      <c r="G536" s="62">
        <v>7738.1406658436217</v>
      </c>
      <c r="H536" s="62">
        <v>-2177.5532999999991</v>
      </c>
      <c r="I536" s="62">
        <v>0</v>
      </c>
      <c r="J536" s="62"/>
      <c r="K536" s="62">
        <v>-161.85730000000001</v>
      </c>
      <c r="L536" s="62">
        <v>340.71539999999999</v>
      </c>
      <c r="M536" s="62">
        <v>632.2038</v>
      </c>
      <c r="N536" s="62">
        <v>393.14350000000002</v>
      </c>
      <c r="O536" s="62">
        <v>0</v>
      </c>
      <c r="P536" s="62"/>
      <c r="Q536" s="62">
        <v>592.20349999999996</v>
      </c>
      <c r="R536" s="62">
        <v>9824.9560000000001</v>
      </c>
      <c r="S536" s="62">
        <v>3759.5978</v>
      </c>
      <c r="T536" s="62">
        <v>-4198.6596</v>
      </c>
      <c r="U536" s="62">
        <v>0</v>
      </c>
      <c r="V536" s="62"/>
      <c r="W536" s="62">
        <v>1755.9512999999999</v>
      </c>
      <c r="X536" s="62">
        <v>1755.9512999999999</v>
      </c>
      <c r="Y536" s="62">
        <v>1614.1614</v>
      </c>
      <c r="Z536" s="62">
        <v>742.97799999999995</v>
      </c>
      <c r="AA536" s="62">
        <v>0</v>
      </c>
      <c r="AB536" s="62"/>
      <c r="AC536" s="62">
        <v>3664.9759370660663</v>
      </c>
      <c r="AD536" s="62">
        <v>2510.6137694312115</v>
      </c>
      <c r="AE536" s="62">
        <v>1732.1776658436222</v>
      </c>
      <c r="AF536" s="62">
        <v>884.98480000000063</v>
      </c>
      <c r="AG536" s="62">
        <v>0</v>
      </c>
      <c r="AH536" s="62"/>
      <c r="AI536" s="62">
        <v>0</v>
      </c>
      <c r="AJ536" s="62">
        <v>0</v>
      </c>
      <c r="AK536" s="62">
        <v>0</v>
      </c>
      <c r="AL536" s="62">
        <v>0</v>
      </c>
      <c r="AM536" s="62">
        <v>0</v>
      </c>
    </row>
    <row r="537" spans="1:39">
      <c r="A537" s="9">
        <v>95901</v>
      </c>
      <c r="B537" s="10" t="s">
        <v>1912</v>
      </c>
      <c r="C537" s="60">
        <v>1.8714999999999999E-3</v>
      </c>
      <c r="E537" s="62">
        <v>180299.0968003725</v>
      </c>
      <c r="F537" s="62">
        <v>829597.08714402386</v>
      </c>
      <c r="G537" s="62">
        <v>414123.83083958842</v>
      </c>
      <c r="H537" s="62">
        <v>-214253.97406000012</v>
      </c>
      <c r="I537" s="62">
        <v>0</v>
      </c>
      <c r="J537" s="62"/>
      <c r="K537" s="62">
        <v>-11260.815499999999</v>
      </c>
      <c r="L537" s="62">
        <v>23704.418999999998</v>
      </c>
      <c r="M537" s="62">
        <v>43983.992999999995</v>
      </c>
      <c r="N537" s="62">
        <v>27351.9725</v>
      </c>
      <c r="O537" s="62">
        <v>0</v>
      </c>
      <c r="P537" s="62"/>
      <c r="Q537" s="62">
        <v>41201.072499999995</v>
      </c>
      <c r="R537" s="62">
        <v>683546.65999999992</v>
      </c>
      <c r="S537" s="62">
        <v>261564.58299999998</v>
      </c>
      <c r="T537" s="62">
        <v>-292111.20600000001</v>
      </c>
      <c r="U537" s="62">
        <v>0</v>
      </c>
      <c r="V537" s="62"/>
      <c r="W537" s="62">
        <v>122165.90549999999</v>
      </c>
      <c r="X537" s="62">
        <v>122165.90549999999</v>
      </c>
      <c r="Y537" s="62">
        <v>112301.22899999999</v>
      </c>
      <c r="Z537" s="62">
        <v>51690.829999999994</v>
      </c>
      <c r="AA537" s="62">
        <v>0</v>
      </c>
      <c r="AB537" s="62"/>
      <c r="AC537" s="62">
        <v>32332.462535269711</v>
      </c>
      <c r="AD537" s="62">
        <v>4319.630878921158</v>
      </c>
      <c r="AE537" s="62">
        <v>0</v>
      </c>
      <c r="AF537" s="62">
        <v>0</v>
      </c>
      <c r="AG537" s="62">
        <v>0</v>
      </c>
      <c r="AH537" s="62"/>
      <c r="AI537" s="62">
        <v>-4139.5282348971905</v>
      </c>
      <c r="AJ537" s="62">
        <v>-4139.5282348971905</v>
      </c>
      <c r="AK537" s="62">
        <v>-3725.9741604115979</v>
      </c>
      <c r="AL537" s="62">
        <v>-1185.5705600000929</v>
      </c>
      <c r="AM537" s="62">
        <v>0</v>
      </c>
    </row>
    <row r="538" spans="1:39">
      <c r="A538" s="9">
        <v>95908</v>
      </c>
      <c r="B538" s="10" t="s">
        <v>1913</v>
      </c>
      <c r="C538" s="60">
        <v>7.2200000000000007E-5</v>
      </c>
      <c r="E538" s="62">
        <v>-4842.8741539845978</v>
      </c>
      <c r="F538" s="62">
        <v>24751.619891658556</v>
      </c>
      <c r="G538" s="62">
        <v>13589.460779423867</v>
      </c>
      <c r="H538" s="62">
        <v>-9895.997400000002</v>
      </c>
      <c r="I538" s="62">
        <v>0</v>
      </c>
      <c r="J538" s="62"/>
      <c r="K538" s="62">
        <v>-434.42740000000003</v>
      </c>
      <c r="L538" s="62">
        <v>914.48520000000008</v>
      </c>
      <c r="M538" s="62">
        <v>1696.8444000000002</v>
      </c>
      <c r="N538" s="62">
        <v>1055.2030000000002</v>
      </c>
      <c r="O538" s="62">
        <v>0</v>
      </c>
      <c r="P538" s="62"/>
      <c r="Q538" s="62">
        <v>1589.4830000000002</v>
      </c>
      <c r="R538" s="62">
        <v>26370.328000000001</v>
      </c>
      <c r="S538" s="62">
        <v>10090.816400000002</v>
      </c>
      <c r="T538" s="62">
        <v>-11269.264800000001</v>
      </c>
      <c r="U538" s="62">
        <v>0</v>
      </c>
      <c r="V538" s="62"/>
      <c r="W538" s="62">
        <v>4712.9994000000006</v>
      </c>
      <c r="X538" s="62">
        <v>4712.9994000000006</v>
      </c>
      <c r="Y538" s="62">
        <v>4332.4332000000004</v>
      </c>
      <c r="Z538" s="62">
        <v>1994.1640000000002</v>
      </c>
      <c r="AA538" s="62">
        <v>0</v>
      </c>
      <c r="AB538" s="62"/>
      <c r="AC538" s="62">
        <v>0</v>
      </c>
      <c r="AD538" s="62">
        <v>0</v>
      </c>
      <c r="AE538" s="62">
        <v>0</v>
      </c>
      <c r="AF538" s="62">
        <v>0</v>
      </c>
      <c r="AG538" s="62">
        <v>0</v>
      </c>
      <c r="AH538" s="62"/>
      <c r="AI538" s="62">
        <v>-10710.929153984598</v>
      </c>
      <c r="AJ538" s="62">
        <v>-7246.1927083414466</v>
      </c>
      <c r="AK538" s="62">
        <v>-2530.6332205761332</v>
      </c>
      <c r="AL538" s="62">
        <v>-1676.0996000000014</v>
      </c>
      <c r="AM538" s="62">
        <v>0</v>
      </c>
    </row>
    <row r="539" spans="1:39">
      <c r="A539" s="9">
        <v>95911</v>
      </c>
      <c r="B539" s="10" t="s">
        <v>1914</v>
      </c>
      <c r="C539" s="60">
        <v>5.7450000000000003E-4</v>
      </c>
      <c r="E539" s="62">
        <v>32655.557304120059</v>
      </c>
      <c r="F539" s="62">
        <v>244133.25774121549</v>
      </c>
      <c r="G539" s="62">
        <v>117718.17742584368</v>
      </c>
      <c r="H539" s="62">
        <v>-68398.215139999942</v>
      </c>
      <c r="I539" s="62">
        <v>0</v>
      </c>
      <c r="J539" s="62"/>
      <c r="K539" s="62">
        <v>-3456.7665000000002</v>
      </c>
      <c r="L539" s="62">
        <v>7276.6170000000002</v>
      </c>
      <c r="M539" s="62">
        <v>13501.899000000001</v>
      </c>
      <c r="N539" s="62">
        <v>8396.317500000001</v>
      </c>
      <c r="O539" s="62">
        <v>0</v>
      </c>
      <c r="P539" s="62"/>
      <c r="Q539" s="62">
        <v>12647.6175</v>
      </c>
      <c r="R539" s="62">
        <v>209830.38</v>
      </c>
      <c r="S539" s="62">
        <v>80293.269</v>
      </c>
      <c r="T539" s="62">
        <v>-89670.258000000002</v>
      </c>
      <c r="U539" s="62">
        <v>0</v>
      </c>
      <c r="V539" s="62"/>
      <c r="W539" s="62">
        <v>37501.636500000001</v>
      </c>
      <c r="X539" s="62">
        <v>37501.636500000001</v>
      </c>
      <c r="Y539" s="62">
        <v>34473.447</v>
      </c>
      <c r="Z539" s="62">
        <v>15867.69</v>
      </c>
      <c r="AA539" s="62">
        <v>0</v>
      </c>
      <c r="AB539" s="62"/>
      <c r="AC539" s="62">
        <v>1592.0864605809102</v>
      </c>
      <c r="AD539" s="62">
        <v>1305.5108976763468</v>
      </c>
      <c r="AE539" s="62">
        <v>0</v>
      </c>
      <c r="AF539" s="62">
        <v>0</v>
      </c>
      <c r="AG539" s="62">
        <v>0</v>
      </c>
      <c r="AH539" s="62"/>
      <c r="AI539" s="62">
        <v>-15629.016656460855</v>
      </c>
      <c r="AJ539" s="62">
        <v>-11780.886656460854</v>
      </c>
      <c r="AK539" s="62">
        <v>-10550.437574156331</v>
      </c>
      <c r="AL539" s="62">
        <v>-2991.9646399999501</v>
      </c>
      <c r="AM539" s="62">
        <v>0</v>
      </c>
    </row>
    <row r="540" spans="1:39">
      <c r="A540" s="9">
        <v>95917</v>
      </c>
      <c r="B540" s="10" t="s">
        <v>1915</v>
      </c>
      <c r="C540" s="60">
        <v>2.6699999999999998E-5</v>
      </c>
      <c r="E540" s="62">
        <v>4374.0399433659486</v>
      </c>
      <c r="F540" s="62">
        <v>12718.26389855267</v>
      </c>
      <c r="G540" s="62">
        <v>6280.1136223868316</v>
      </c>
      <c r="H540" s="62">
        <v>-2570.3566199999991</v>
      </c>
      <c r="I540" s="62">
        <v>0</v>
      </c>
      <c r="J540" s="62"/>
      <c r="K540" s="62">
        <v>-160.65389999999999</v>
      </c>
      <c r="L540" s="62">
        <v>338.18219999999997</v>
      </c>
      <c r="M540" s="62">
        <v>627.50339999999994</v>
      </c>
      <c r="N540" s="62">
        <v>390.22049999999996</v>
      </c>
      <c r="O540" s="62">
        <v>0</v>
      </c>
      <c r="P540" s="62"/>
      <c r="Q540" s="62">
        <v>587.80049999999994</v>
      </c>
      <c r="R540" s="62">
        <v>9751.9079999999994</v>
      </c>
      <c r="S540" s="62">
        <v>3731.6453999999999</v>
      </c>
      <c r="T540" s="62">
        <v>-4167.4427999999998</v>
      </c>
      <c r="U540" s="62">
        <v>0</v>
      </c>
      <c r="V540" s="62"/>
      <c r="W540" s="62">
        <v>1742.8959</v>
      </c>
      <c r="X540" s="62">
        <v>1742.8959</v>
      </c>
      <c r="Y540" s="62">
        <v>1602.1601999999998</v>
      </c>
      <c r="Z540" s="62">
        <v>737.45399999999995</v>
      </c>
      <c r="AA540" s="62">
        <v>0</v>
      </c>
      <c r="AB540" s="62"/>
      <c r="AC540" s="62">
        <v>2379.121928962657</v>
      </c>
      <c r="AD540" s="62">
        <v>1060.4022841493788</v>
      </c>
      <c r="AE540" s="62">
        <v>469.41168000000073</v>
      </c>
      <c r="AF540" s="62">
        <v>469.41168000000073</v>
      </c>
      <c r="AG540" s="62">
        <v>0</v>
      </c>
      <c r="AH540" s="62"/>
      <c r="AI540" s="62">
        <v>-175.1244855967077</v>
      </c>
      <c r="AJ540" s="62">
        <v>-175.1244855967077</v>
      </c>
      <c r="AK540" s="62">
        <v>-150.60705761316868</v>
      </c>
      <c r="AL540" s="62">
        <v>0</v>
      </c>
      <c r="AM540" s="62">
        <v>0</v>
      </c>
    </row>
    <row r="541" spans="1:39">
      <c r="A541" s="9">
        <v>95921</v>
      </c>
      <c r="B541" s="10" t="s">
        <v>1916</v>
      </c>
      <c r="C541" s="60">
        <v>4.7500000000000003E-5</v>
      </c>
      <c r="E541" s="62">
        <v>4395.7634832576896</v>
      </c>
      <c r="F541" s="62">
        <v>22467.365214212048</v>
      </c>
      <c r="G541" s="62">
        <v>11567.720390205763</v>
      </c>
      <c r="H541" s="62">
        <v>-5345.4404599999998</v>
      </c>
      <c r="I541" s="62">
        <v>0</v>
      </c>
      <c r="J541" s="62"/>
      <c r="K541" s="62">
        <v>-285.8075</v>
      </c>
      <c r="L541" s="62">
        <v>601.63499999999999</v>
      </c>
      <c r="M541" s="62">
        <v>1116.345</v>
      </c>
      <c r="N541" s="62">
        <v>694.21250000000009</v>
      </c>
      <c r="O541" s="62">
        <v>0</v>
      </c>
      <c r="P541" s="62"/>
      <c r="Q541" s="62">
        <v>1045.7125000000001</v>
      </c>
      <c r="R541" s="62">
        <v>17348.900000000001</v>
      </c>
      <c r="S541" s="62">
        <v>6638.6950000000006</v>
      </c>
      <c r="T541" s="62">
        <v>-7413.9900000000007</v>
      </c>
      <c r="U541" s="62">
        <v>0</v>
      </c>
      <c r="V541" s="62"/>
      <c r="W541" s="62">
        <v>3100.6575000000003</v>
      </c>
      <c r="X541" s="62">
        <v>3100.6575000000003</v>
      </c>
      <c r="Y541" s="62">
        <v>2850.2850000000003</v>
      </c>
      <c r="Z541" s="62">
        <v>1311.95</v>
      </c>
      <c r="AA541" s="62">
        <v>0</v>
      </c>
      <c r="AB541" s="62"/>
      <c r="AC541" s="62">
        <v>1483.6209832576897</v>
      </c>
      <c r="AD541" s="62">
        <v>1416.1727142120467</v>
      </c>
      <c r="AE541" s="62">
        <v>962.39539020576262</v>
      </c>
      <c r="AF541" s="62">
        <v>62.387040000000695</v>
      </c>
      <c r="AG541" s="62">
        <v>0</v>
      </c>
      <c r="AH541" s="62"/>
      <c r="AI541" s="62">
        <v>-948.42000000000019</v>
      </c>
      <c r="AJ541" s="62">
        <v>0</v>
      </c>
      <c r="AK541" s="62">
        <v>0</v>
      </c>
      <c r="AL541" s="62">
        <v>0</v>
      </c>
      <c r="AM541" s="62">
        <v>0</v>
      </c>
    </row>
    <row r="542" spans="1:39">
      <c r="A542" s="9">
        <v>96001</v>
      </c>
      <c r="B542" s="10" t="s">
        <v>1917</v>
      </c>
      <c r="C542" s="60">
        <v>4.4386399999999999E-2</v>
      </c>
      <c r="E542" s="62">
        <v>4804240.4421404321</v>
      </c>
      <c r="F542" s="62">
        <v>19651209.008528814</v>
      </c>
      <c r="G542" s="62">
        <v>9780056.9249075726</v>
      </c>
      <c r="H542" s="62">
        <v>-5120460.7235199995</v>
      </c>
      <c r="I542" s="62">
        <v>0</v>
      </c>
      <c r="J542" s="62"/>
      <c r="K542" s="62">
        <v>-267072.96879999997</v>
      </c>
      <c r="L542" s="62">
        <v>562198.14240000001</v>
      </c>
      <c r="M542" s="62">
        <v>1043169.1727999999</v>
      </c>
      <c r="N542" s="62">
        <v>648707.23600000003</v>
      </c>
      <c r="O542" s="62">
        <v>0</v>
      </c>
      <c r="P542" s="62"/>
      <c r="Q542" s="62">
        <v>977166.59600000002</v>
      </c>
      <c r="R542" s="62">
        <v>16211688.736</v>
      </c>
      <c r="S542" s="62">
        <v>6203532.0367999999</v>
      </c>
      <c r="T542" s="62">
        <v>-6928006.8575999998</v>
      </c>
      <c r="U542" s="62">
        <v>0</v>
      </c>
      <c r="V542" s="62"/>
      <c r="W542" s="62">
        <v>2897411.0328000002</v>
      </c>
      <c r="X542" s="62">
        <v>2897411.0328000002</v>
      </c>
      <c r="Y542" s="62">
        <v>2663450.3183999998</v>
      </c>
      <c r="Z542" s="62">
        <v>1225952.368</v>
      </c>
      <c r="AA542" s="62">
        <v>0</v>
      </c>
      <c r="AB542" s="62"/>
      <c r="AC542" s="62">
        <v>1337083.1278423234</v>
      </c>
      <c r="AD542" s="62">
        <v>120258.44303070514</v>
      </c>
      <c r="AE542" s="62">
        <v>0</v>
      </c>
      <c r="AF542" s="62">
        <v>0</v>
      </c>
      <c r="AG542" s="62">
        <v>0</v>
      </c>
      <c r="AH542" s="62"/>
      <c r="AI542" s="62">
        <v>-140347.34570189146</v>
      </c>
      <c r="AJ542" s="62">
        <v>-140347.34570189146</v>
      </c>
      <c r="AK542" s="62">
        <v>-130094.60309242652</v>
      </c>
      <c r="AL542" s="62">
        <v>-67113.469919998941</v>
      </c>
      <c r="AM542" s="62">
        <v>0</v>
      </c>
    </row>
    <row r="543" spans="1:39">
      <c r="A543" s="9">
        <v>96003</v>
      </c>
      <c r="B543" s="10" t="s">
        <v>1918</v>
      </c>
      <c r="C543" s="60">
        <v>1.6523E-3</v>
      </c>
      <c r="E543" s="62">
        <v>78515.405602546467</v>
      </c>
      <c r="F543" s="62">
        <v>701389.96870545112</v>
      </c>
      <c r="G543" s="62">
        <v>338885.02724748955</v>
      </c>
      <c r="H543" s="62">
        <v>-204321.63382000016</v>
      </c>
      <c r="I543" s="62">
        <v>0</v>
      </c>
      <c r="J543" s="62"/>
      <c r="K543" s="62">
        <v>-9941.8891000000003</v>
      </c>
      <c r="L543" s="62">
        <v>20928.031800000001</v>
      </c>
      <c r="M543" s="62">
        <v>38832.354599999999</v>
      </c>
      <c r="N543" s="62">
        <v>24148.3645</v>
      </c>
      <c r="O543" s="62">
        <v>0</v>
      </c>
      <c r="P543" s="62"/>
      <c r="Q543" s="62">
        <v>36375.3845</v>
      </c>
      <c r="R543" s="62">
        <v>603486.05200000003</v>
      </c>
      <c r="S543" s="62">
        <v>230928.75260000001</v>
      </c>
      <c r="T543" s="62">
        <v>-257897.5932</v>
      </c>
      <c r="U543" s="62">
        <v>0</v>
      </c>
      <c r="V543" s="62"/>
      <c r="W543" s="62">
        <v>107857.1871</v>
      </c>
      <c r="X543" s="62">
        <v>107857.1871</v>
      </c>
      <c r="Y543" s="62">
        <v>99147.913799999995</v>
      </c>
      <c r="Z543" s="62">
        <v>45636.525999999998</v>
      </c>
      <c r="AA543" s="62">
        <v>0</v>
      </c>
      <c r="AB543" s="62"/>
      <c r="AC543" s="62">
        <v>1697.1405394190569</v>
      </c>
      <c r="AD543" s="62">
        <v>1391.6552423236271</v>
      </c>
      <c r="AE543" s="62">
        <v>0</v>
      </c>
      <c r="AF543" s="62">
        <v>0</v>
      </c>
      <c r="AG543" s="62">
        <v>0</v>
      </c>
      <c r="AH543" s="62"/>
      <c r="AI543" s="62">
        <v>-57472.417436872587</v>
      </c>
      <c r="AJ543" s="62">
        <v>-32272.957436872581</v>
      </c>
      <c r="AK543" s="62">
        <v>-30023.993752510443</v>
      </c>
      <c r="AL543" s="62">
        <v>-16208.931120000128</v>
      </c>
      <c r="AM543" s="62">
        <v>0</v>
      </c>
    </row>
    <row r="544" spans="1:39">
      <c r="A544" s="9">
        <v>96004</v>
      </c>
      <c r="B544" s="10" t="s">
        <v>1919</v>
      </c>
      <c r="C544" s="60">
        <v>8.9439999999999995E-4</v>
      </c>
      <c r="E544" s="62">
        <v>138013.09139673854</v>
      </c>
      <c r="F544" s="62">
        <v>440257.34619806631</v>
      </c>
      <c r="G544" s="62">
        <v>226777.78742798357</v>
      </c>
      <c r="H544" s="62">
        <v>-88560.607199999984</v>
      </c>
      <c r="I544" s="62">
        <v>0</v>
      </c>
      <c r="J544" s="62"/>
      <c r="K544" s="62">
        <v>-5381.6048000000001</v>
      </c>
      <c r="L544" s="62">
        <v>11328.4704</v>
      </c>
      <c r="M544" s="62">
        <v>21020.1888</v>
      </c>
      <c r="N544" s="62">
        <v>13071.655999999999</v>
      </c>
      <c r="O544" s="62">
        <v>0</v>
      </c>
      <c r="P544" s="62"/>
      <c r="Q544" s="62">
        <v>19690.216</v>
      </c>
      <c r="R544" s="62">
        <v>326670.65599999996</v>
      </c>
      <c r="S544" s="62">
        <v>125003.13279999999</v>
      </c>
      <c r="T544" s="62">
        <v>-139601.52959999998</v>
      </c>
      <c r="U544" s="62">
        <v>0</v>
      </c>
      <c r="V544" s="62"/>
      <c r="W544" s="62">
        <v>58383.748799999994</v>
      </c>
      <c r="X544" s="62">
        <v>58383.748799999994</v>
      </c>
      <c r="Y544" s="62">
        <v>53669.366399999999</v>
      </c>
      <c r="Z544" s="62">
        <v>24703.327999999998</v>
      </c>
      <c r="AA544" s="62">
        <v>0</v>
      </c>
      <c r="AB544" s="62"/>
      <c r="AC544" s="62">
        <v>65320.731396738542</v>
      </c>
      <c r="AD544" s="62">
        <v>43874.470998066361</v>
      </c>
      <c r="AE544" s="62">
        <v>27085.099427983572</v>
      </c>
      <c r="AF544" s="62">
        <v>13265.938399999995</v>
      </c>
      <c r="AG544" s="62">
        <v>0</v>
      </c>
      <c r="AH544" s="62"/>
      <c r="AI544" s="62">
        <v>0</v>
      </c>
      <c r="AJ544" s="62">
        <v>0</v>
      </c>
      <c r="AK544" s="62">
        <v>0</v>
      </c>
      <c r="AL544" s="62">
        <v>0</v>
      </c>
      <c r="AM544" s="62">
        <v>0</v>
      </c>
    </row>
    <row r="545" spans="1:39">
      <c r="A545" s="9">
        <v>96005</v>
      </c>
      <c r="B545" s="10" t="s">
        <v>1920</v>
      </c>
      <c r="C545" s="60">
        <v>2.6733999999999998E-3</v>
      </c>
      <c r="E545" s="62">
        <v>375324.3167760038</v>
      </c>
      <c r="F545" s="62">
        <v>1231655.0225535971</v>
      </c>
      <c r="G545" s="62">
        <v>607043.71449390927</v>
      </c>
      <c r="H545" s="62">
        <v>-297126.02036000008</v>
      </c>
      <c r="I545" s="62">
        <v>0</v>
      </c>
      <c r="J545" s="62"/>
      <c r="K545" s="62">
        <v>-16085.8478</v>
      </c>
      <c r="L545" s="62">
        <v>33861.284399999997</v>
      </c>
      <c r="M545" s="62">
        <v>62830.246799999994</v>
      </c>
      <c r="N545" s="62">
        <v>39071.740999999995</v>
      </c>
      <c r="O545" s="62">
        <v>0</v>
      </c>
      <c r="P545" s="62"/>
      <c r="Q545" s="62">
        <v>58854.900999999998</v>
      </c>
      <c r="R545" s="62">
        <v>976432.61599999992</v>
      </c>
      <c r="S545" s="62">
        <v>373639.73079999996</v>
      </c>
      <c r="T545" s="62">
        <v>-417274.9656</v>
      </c>
      <c r="U545" s="62">
        <v>0</v>
      </c>
      <c r="V545" s="62"/>
      <c r="W545" s="62">
        <v>174511.5318</v>
      </c>
      <c r="X545" s="62">
        <v>174511.5318</v>
      </c>
      <c r="Y545" s="62">
        <v>160420.0404</v>
      </c>
      <c r="Z545" s="62">
        <v>73839.30799999999</v>
      </c>
      <c r="AA545" s="62">
        <v>0</v>
      </c>
      <c r="AB545" s="62"/>
      <c r="AC545" s="62">
        <v>158043.73177600378</v>
      </c>
      <c r="AD545" s="62">
        <v>46849.590353597123</v>
      </c>
      <c r="AE545" s="62">
        <v>10153.696493909289</v>
      </c>
      <c r="AF545" s="62">
        <v>7237.8962399999145</v>
      </c>
      <c r="AG545" s="62">
        <v>0</v>
      </c>
      <c r="AH545" s="62"/>
      <c r="AI545" s="62">
        <v>0</v>
      </c>
      <c r="AJ545" s="62">
        <v>0</v>
      </c>
      <c r="AK545" s="62">
        <v>0</v>
      </c>
      <c r="AL545" s="62">
        <v>0</v>
      </c>
      <c r="AM545" s="62">
        <v>0</v>
      </c>
    </row>
    <row r="546" spans="1:39">
      <c r="A546" s="9">
        <v>96008</v>
      </c>
      <c r="B546" s="10" t="s">
        <v>1921</v>
      </c>
      <c r="C546" s="60">
        <v>5.9955E-3</v>
      </c>
      <c r="E546" s="62">
        <v>213441.50842223875</v>
      </c>
      <c r="F546" s="62">
        <v>2463761.8052620729</v>
      </c>
      <c r="G546" s="62">
        <v>1164747.4619591769</v>
      </c>
      <c r="H546" s="62">
        <v>-808550.24134000007</v>
      </c>
      <c r="I546" s="62">
        <v>0</v>
      </c>
      <c r="J546" s="62"/>
      <c r="K546" s="62">
        <v>-36074.923499999997</v>
      </c>
      <c r="L546" s="62">
        <v>75939.002999999997</v>
      </c>
      <c r="M546" s="62">
        <v>140906.24100000001</v>
      </c>
      <c r="N546" s="62">
        <v>87624.232499999998</v>
      </c>
      <c r="O546" s="62">
        <v>0</v>
      </c>
      <c r="P546" s="62"/>
      <c r="Q546" s="62">
        <v>131990.9325</v>
      </c>
      <c r="R546" s="62">
        <v>2189796.42</v>
      </c>
      <c r="S546" s="62">
        <v>837943.071</v>
      </c>
      <c r="T546" s="62">
        <v>-935801.62199999997</v>
      </c>
      <c r="U546" s="62">
        <v>0</v>
      </c>
      <c r="V546" s="62"/>
      <c r="W546" s="62">
        <v>391368.25349999999</v>
      </c>
      <c r="X546" s="62">
        <v>391368.25349999999</v>
      </c>
      <c r="Y546" s="62">
        <v>359765.973</v>
      </c>
      <c r="Z546" s="62">
        <v>165595.71</v>
      </c>
      <c r="AA546" s="62">
        <v>0</v>
      </c>
      <c r="AB546" s="62"/>
      <c r="AC546" s="62">
        <v>0</v>
      </c>
      <c r="AD546" s="62">
        <v>0</v>
      </c>
      <c r="AE546" s="62">
        <v>0</v>
      </c>
      <c r="AF546" s="62">
        <v>0</v>
      </c>
      <c r="AG546" s="62">
        <v>0</v>
      </c>
      <c r="AH546" s="62"/>
      <c r="AI546" s="62">
        <v>-273842.7540777612</v>
      </c>
      <c r="AJ546" s="62">
        <v>-193341.87123792715</v>
      </c>
      <c r="AK546" s="62">
        <v>-173867.82304082325</v>
      </c>
      <c r="AL546" s="62">
        <v>-125968.56184000014</v>
      </c>
      <c r="AM546" s="62">
        <v>0</v>
      </c>
    </row>
    <row r="547" spans="1:39">
      <c r="A547" s="9">
        <v>96009</v>
      </c>
      <c r="B547" s="10" t="s">
        <v>1922</v>
      </c>
      <c r="C547" s="60">
        <v>3.7609999999999998E-4</v>
      </c>
      <c r="E547" s="62">
        <v>42029.226661205561</v>
      </c>
      <c r="F547" s="62">
        <v>173361.01982884042</v>
      </c>
      <c r="G547" s="62">
        <v>89804.10774106998</v>
      </c>
      <c r="H547" s="62">
        <v>-36206.153539999992</v>
      </c>
      <c r="I547" s="62">
        <v>0</v>
      </c>
      <c r="J547" s="62"/>
      <c r="K547" s="62">
        <v>-2262.9937</v>
      </c>
      <c r="L547" s="62">
        <v>4763.6826000000001</v>
      </c>
      <c r="M547" s="62">
        <v>8839.1021999999994</v>
      </c>
      <c r="N547" s="62">
        <v>5496.7015000000001</v>
      </c>
      <c r="O547" s="62">
        <v>0</v>
      </c>
      <c r="P547" s="62"/>
      <c r="Q547" s="62">
        <v>8279.8415000000005</v>
      </c>
      <c r="R547" s="62">
        <v>137366.764</v>
      </c>
      <c r="S547" s="62">
        <v>52564.4882</v>
      </c>
      <c r="T547" s="62">
        <v>-58703.1924</v>
      </c>
      <c r="U547" s="62">
        <v>0</v>
      </c>
      <c r="V547" s="62"/>
      <c r="W547" s="62">
        <v>24550.679699999997</v>
      </c>
      <c r="X547" s="62">
        <v>24550.679699999997</v>
      </c>
      <c r="Y547" s="62">
        <v>22568.256600000001</v>
      </c>
      <c r="Z547" s="62">
        <v>10387.882</v>
      </c>
      <c r="AA547" s="62">
        <v>0</v>
      </c>
      <c r="AB547" s="62"/>
      <c r="AC547" s="62">
        <v>12368.902206473049</v>
      </c>
      <c r="AD547" s="62">
        <v>7587.0965741078999</v>
      </c>
      <c r="AE547" s="62">
        <v>6612.4553600000045</v>
      </c>
      <c r="AF547" s="62">
        <v>6612.4553600000045</v>
      </c>
      <c r="AG547" s="62">
        <v>0</v>
      </c>
      <c r="AH547" s="62"/>
      <c r="AI547" s="62">
        <v>-907.20304526749032</v>
      </c>
      <c r="AJ547" s="62">
        <v>-907.20304526749032</v>
      </c>
      <c r="AK547" s="62">
        <v>-780.194618930042</v>
      </c>
      <c r="AL547" s="62">
        <v>0</v>
      </c>
      <c r="AM547" s="62">
        <v>0</v>
      </c>
    </row>
    <row r="548" spans="1:39">
      <c r="A548" s="9">
        <v>96011</v>
      </c>
      <c r="B548" s="10" t="s">
        <v>1923</v>
      </c>
      <c r="C548" s="60">
        <v>6.1150400000000001E-2</v>
      </c>
      <c r="E548" s="62">
        <v>5182520.5073414166</v>
      </c>
      <c r="F548" s="62">
        <v>27303991.588630632</v>
      </c>
      <c r="G548" s="62">
        <v>13810045.002962966</v>
      </c>
      <c r="H548" s="62">
        <v>-6789841.9087999975</v>
      </c>
      <c r="I548" s="62">
        <v>0</v>
      </c>
      <c r="J548" s="62"/>
      <c r="K548" s="62">
        <v>-367941.95679999999</v>
      </c>
      <c r="L548" s="62">
        <v>774530.96640000003</v>
      </c>
      <c r="M548" s="62">
        <v>1437156.7008</v>
      </c>
      <c r="N548" s="62">
        <v>893713.09600000002</v>
      </c>
      <c r="O548" s="62">
        <v>0</v>
      </c>
      <c r="P548" s="62"/>
      <c r="Q548" s="62">
        <v>1346226.0560000001</v>
      </c>
      <c r="R548" s="62">
        <v>22334572.096000001</v>
      </c>
      <c r="S548" s="62">
        <v>8546502.2048000004</v>
      </c>
      <c r="T548" s="62">
        <v>-9544599.0336000007</v>
      </c>
      <c r="U548" s="62">
        <v>0</v>
      </c>
      <c r="V548" s="62"/>
      <c r="W548" s="62">
        <v>3991714.6608000002</v>
      </c>
      <c r="X548" s="62">
        <v>3991714.6608000002</v>
      </c>
      <c r="Y548" s="62">
        <v>3669390.9024</v>
      </c>
      <c r="Z548" s="62">
        <v>1688974.048</v>
      </c>
      <c r="AA548" s="62">
        <v>0</v>
      </c>
      <c r="AB548" s="62"/>
      <c r="AC548" s="62">
        <v>231378.15808215857</v>
      </c>
      <c r="AD548" s="62">
        <v>220702.68617137041</v>
      </c>
      <c r="AE548" s="62">
        <v>172069.98080000206</v>
      </c>
      <c r="AF548" s="62">
        <v>172069.98080000206</v>
      </c>
      <c r="AG548" s="62">
        <v>0</v>
      </c>
      <c r="AH548" s="62"/>
      <c r="AI548" s="62">
        <v>-18856.410740741969</v>
      </c>
      <c r="AJ548" s="62">
        <v>-17528.820740741969</v>
      </c>
      <c r="AK548" s="62">
        <v>-15074.785837038098</v>
      </c>
      <c r="AL548" s="62">
        <v>0</v>
      </c>
      <c r="AM548" s="62">
        <v>0</v>
      </c>
    </row>
    <row r="549" spans="1:39">
      <c r="A549" s="9">
        <v>96012</v>
      </c>
      <c r="B549" s="10" t="s">
        <v>1924</v>
      </c>
      <c r="C549" s="60">
        <v>2.4417000000000002E-3</v>
      </c>
      <c r="E549" s="62">
        <v>233959.00323495577</v>
      </c>
      <c r="F549" s="62">
        <v>1107543.7831494787</v>
      </c>
      <c r="G549" s="62">
        <v>560602.57234855986</v>
      </c>
      <c r="H549" s="62">
        <v>-278219.24089999998</v>
      </c>
      <c r="I549" s="62">
        <v>0</v>
      </c>
      <c r="J549" s="62"/>
      <c r="K549" s="62">
        <v>-14691.708900000001</v>
      </c>
      <c r="L549" s="62">
        <v>30926.572200000002</v>
      </c>
      <c r="M549" s="62">
        <v>57384.833400000003</v>
      </c>
      <c r="N549" s="62">
        <v>35685.445500000002</v>
      </c>
      <c r="O549" s="62">
        <v>0</v>
      </c>
      <c r="P549" s="62"/>
      <c r="Q549" s="62">
        <v>53754.025500000003</v>
      </c>
      <c r="R549" s="62">
        <v>891806.50800000003</v>
      </c>
      <c r="S549" s="62">
        <v>341256.87540000002</v>
      </c>
      <c r="T549" s="62">
        <v>-381110.3028</v>
      </c>
      <c r="U549" s="62">
        <v>0</v>
      </c>
      <c r="V549" s="62"/>
      <c r="W549" s="62">
        <v>159386.85090000002</v>
      </c>
      <c r="X549" s="62">
        <v>159386.85090000002</v>
      </c>
      <c r="Y549" s="62">
        <v>146516.6502</v>
      </c>
      <c r="Z549" s="62">
        <v>67439.754000000001</v>
      </c>
      <c r="AA549" s="62">
        <v>0</v>
      </c>
      <c r="AB549" s="62"/>
      <c r="AC549" s="62">
        <v>35743.973334955677</v>
      </c>
      <c r="AD549" s="62">
        <v>25657.989649478492</v>
      </c>
      <c r="AE549" s="62">
        <v>15678.350948559762</v>
      </c>
      <c r="AF549" s="62">
        <v>0</v>
      </c>
      <c r="AG549" s="62">
        <v>0</v>
      </c>
      <c r="AH549" s="62"/>
      <c r="AI549" s="62">
        <v>-234.13759999997001</v>
      </c>
      <c r="AJ549" s="62">
        <v>-234.13759999997001</v>
      </c>
      <c r="AK549" s="62">
        <v>-234.13759999997001</v>
      </c>
      <c r="AL549" s="62">
        <v>-234.13759999997001</v>
      </c>
      <c r="AM549" s="62">
        <v>0</v>
      </c>
    </row>
    <row r="550" spans="1:39">
      <c r="A550" s="9">
        <v>96018</v>
      </c>
      <c r="B550" s="10" t="s">
        <v>1925</v>
      </c>
      <c r="C550" s="60">
        <v>4.3600000000000003E-5</v>
      </c>
      <c r="E550" s="62">
        <v>9420.3776062688066</v>
      </c>
      <c r="F550" s="62">
        <v>21393.564397970051</v>
      </c>
      <c r="G550" s="62">
        <v>10646.717381563787</v>
      </c>
      <c r="H550" s="62">
        <v>-4119.774559999998</v>
      </c>
      <c r="I550" s="62">
        <v>0</v>
      </c>
      <c r="J550" s="62"/>
      <c r="K550" s="62">
        <v>-262.34120000000001</v>
      </c>
      <c r="L550" s="62">
        <v>552.23760000000004</v>
      </c>
      <c r="M550" s="62">
        <v>1024.6872000000001</v>
      </c>
      <c r="N550" s="62">
        <v>637.21400000000006</v>
      </c>
      <c r="O550" s="62">
        <v>0</v>
      </c>
      <c r="P550" s="62"/>
      <c r="Q550" s="62">
        <v>959.85400000000004</v>
      </c>
      <c r="R550" s="62">
        <v>15924.464000000002</v>
      </c>
      <c r="S550" s="62">
        <v>6093.6232</v>
      </c>
      <c r="T550" s="62">
        <v>-6805.2624000000005</v>
      </c>
      <c r="U550" s="62">
        <v>0</v>
      </c>
      <c r="V550" s="62"/>
      <c r="W550" s="62">
        <v>2846.0772000000002</v>
      </c>
      <c r="X550" s="62">
        <v>2846.0772000000002</v>
      </c>
      <c r="Y550" s="62">
        <v>2616.2616000000003</v>
      </c>
      <c r="Z550" s="62">
        <v>1204.232</v>
      </c>
      <c r="AA550" s="62">
        <v>0</v>
      </c>
      <c r="AB550" s="62"/>
      <c r="AC550" s="62">
        <v>5876.7876062688065</v>
      </c>
      <c r="AD550" s="62">
        <v>2070.7855979700516</v>
      </c>
      <c r="AE550" s="62">
        <v>912.14538156378751</v>
      </c>
      <c r="AF550" s="62">
        <v>844.04184000000248</v>
      </c>
      <c r="AG550" s="62">
        <v>0</v>
      </c>
      <c r="AH550" s="62"/>
      <c r="AI550" s="62">
        <v>0</v>
      </c>
      <c r="AJ550" s="62">
        <v>0</v>
      </c>
      <c r="AK550" s="62">
        <v>0</v>
      </c>
      <c r="AL550" s="62">
        <v>0</v>
      </c>
      <c r="AM550" s="62">
        <v>0</v>
      </c>
    </row>
    <row r="551" spans="1:39">
      <c r="A551" s="9">
        <v>96021</v>
      </c>
      <c r="B551" s="10" t="s">
        <v>1926</v>
      </c>
      <c r="C551" s="60">
        <v>7.2090000000000001E-4</v>
      </c>
      <c r="E551" s="62">
        <v>44703.603014322573</v>
      </c>
      <c r="F551" s="62">
        <v>300783.95120328525</v>
      </c>
      <c r="G551" s="62">
        <v>129881.99644353901</v>
      </c>
      <c r="H551" s="62">
        <v>-105756.94554000004</v>
      </c>
      <c r="I551" s="62">
        <v>0</v>
      </c>
      <c r="J551" s="62"/>
      <c r="K551" s="62">
        <v>-4337.6553000000004</v>
      </c>
      <c r="L551" s="62">
        <v>9130.9194000000007</v>
      </c>
      <c r="M551" s="62">
        <v>16942.591800000002</v>
      </c>
      <c r="N551" s="62">
        <v>10535.9535</v>
      </c>
      <c r="O551" s="62">
        <v>0</v>
      </c>
      <c r="P551" s="62"/>
      <c r="Q551" s="62">
        <v>15870.613499999999</v>
      </c>
      <c r="R551" s="62">
        <v>263301.516</v>
      </c>
      <c r="S551" s="62">
        <v>100754.4258</v>
      </c>
      <c r="T551" s="62">
        <v>-112520.9556</v>
      </c>
      <c r="U551" s="62">
        <v>0</v>
      </c>
      <c r="V551" s="62"/>
      <c r="W551" s="62">
        <v>47058.189299999998</v>
      </c>
      <c r="X551" s="62">
        <v>47058.189299999998</v>
      </c>
      <c r="Y551" s="62">
        <v>43258.325400000002</v>
      </c>
      <c r="Z551" s="62">
        <v>19911.258000000002</v>
      </c>
      <c r="AA551" s="62">
        <v>0</v>
      </c>
      <c r="AB551" s="62"/>
      <c r="AC551" s="62">
        <v>18388.848950207412</v>
      </c>
      <c r="AD551" s="62">
        <v>13569.719939170083</v>
      </c>
      <c r="AE551" s="62">
        <v>0</v>
      </c>
      <c r="AF551" s="62">
        <v>0</v>
      </c>
      <c r="AG551" s="62">
        <v>0</v>
      </c>
      <c r="AH551" s="62"/>
      <c r="AI551" s="62">
        <v>-32276.393435884842</v>
      </c>
      <c r="AJ551" s="62">
        <v>-32276.393435884842</v>
      </c>
      <c r="AK551" s="62">
        <v>-31073.346556460972</v>
      </c>
      <c r="AL551" s="62">
        <v>-23683.201440000055</v>
      </c>
      <c r="AM551" s="62">
        <v>0</v>
      </c>
    </row>
    <row r="552" spans="1:39">
      <c r="A552" s="9">
        <v>96031</v>
      </c>
      <c r="B552" s="10" t="s">
        <v>1927</v>
      </c>
      <c r="C552" s="60">
        <v>8.2580000000000001E-4</v>
      </c>
      <c r="E552" s="62">
        <v>-7150.030632002381</v>
      </c>
      <c r="F552" s="62">
        <v>315092.47438949137</v>
      </c>
      <c r="G552" s="62">
        <v>153751.02859481488</v>
      </c>
      <c r="H552" s="62">
        <v>-117499.36211999998</v>
      </c>
      <c r="I552" s="62">
        <v>0</v>
      </c>
      <c r="J552" s="62"/>
      <c r="K552" s="62">
        <v>-4968.8386</v>
      </c>
      <c r="L552" s="62">
        <v>10459.5828</v>
      </c>
      <c r="M552" s="62">
        <v>19407.9516</v>
      </c>
      <c r="N552" s="62">
        <v>12069.067000000001</v>
      </c>
      <c r="O552" s="62">
        <v>0</v>
      </c>
      <c r="P552" s="62"/>
      <c r="Q552" s="62">
        <v>18179.987000000001</v>
      </c>
      <c r="R552" s="62">
        <v>301615.19199999998</v>
      </c>
      <c r="S552" s="62">
        <v>115415.4596</v>
      </c>
      <c r="T552" s="62">
        <v>-128894.1672</v>
      </c>
      <c r="U552" s="62">
        <v>0</v>
      </c>
      <c r="V552" s="62"/>
      <c r="W552" s="62">
        <v>53905.746599999999</v>
      </c>
      <c r="X552" s="62">
        <v>53905.746599999999</v>
      </c>
      <c r="Y552" s="62">
        <v>49552.9548</v>
      </c>
      <c r="Z552" s="62">
        <v>22808.596000000001</v>
      </c>
      <c r="AA552" s="62">
        <v>0</v>
      </c>
      <c r="AB552" s="62"/>
      <c r="AC552" s="62">
        <v>0</v>
      </c>
      <c r="AD552" s="62">
        <v>0</v>
      </c>
      <c r="AE552" s="62">
        <v>0</v>
      </c>
      <c r="AF552" s="62">
        <v>0</v>
      </c>
      <c r="AG552" s="62">
        <v>0</v>
      </c>
      <c r="AH552" s="62"/>
      <c r="AI552" s="62">
        <v>-74266.925632002385</v>
      </c>
      <c r="AJ552" s="62">
        <v>-50888.047010508613</v>
      </c>
      <c r="AK552" s="62">
        <v>-30625.337405185132</v>
      </c>
      <c r="AL552" s="62">
        <v>-23482.85791999998</v>
      </c>
      <c r="AM552" s="62">
        <v>0</v>
      </c>
    </row>
    <row r="553" spans="1:39">
      <c r="A553" s="9">
        <v>96041</v>
      </c>
      <c r="B553" s="10" t="s">
        <v>1928</v>
      </c>
      <c r="C553" s="60">
        <v>1.7361E-3</v>
      </c>
      <c r="E553" s="62">
        <v>81197.36522946546</v>
      </c>
      <c r="F553" s="62">
        <v>729333.04555925785</v>
      </c>
      <c r="G553" s="62">
        <v>362653.99374230456</v>
      </c>
      <c r="H553" s="62">
        <v>-212110.64154000004</v>
      </c>
      <c r="I553" s="62">
        <v>0</v>
      </c>
      <c r="J553" s="62"/>
      <c r="K553" s="62">
        <v>-10446.1137</v>
      </c>
      <c r="L553" s="62">
        <v>21989.442599999998</v>
      </c>
      <c r="M553" s="62">
        <v>40801.822200000002</v>
      </c>
      <c r="N553" s="62">
        <v>25373.101500000001</v>
      </c>
      <c r="O553" s="62">
        <v>0</v>
      </c>
      <c r="P553" s="62"/>
      <c r="Q553" s="62">
        <v>38220.241499999996</v>
      </c>
      <c r="R553" s="62">
        <v>634093.16399999999</v>
      </c>
      <c r="S553" s="62">
        <v>242640.8082</v>
      </c>
      <c r="T553" s="62">
        <v>-270977.43239999999</v>
      </c>
      <c r="U553" s="62">
        <v>0</v>
      </c>
      <c r="V553" s="62"/>
      <c r="W553" s="62">
        <v>113327.39969999999</v>
      </c>
      <c r="X553" s="62">
        <v>113327.39969999999</v>
      </c>
      <c r="Y553" s="62">
        <v>104176.4166</v>
      </c>
      <c r="Z553" s="62">
        <v>47951.082000000002</v>
      </c>
      <c r="AA553" s="62">
        <v>0</v>
      </c>
      <c r="AB553" s="62"/>
      <c r="AC553" s="62">
        <v>0</v>
      </c>
      <c r="AD553" s="62">
        <v>0</v>
      </c>
      <c r="AE553" s="62">
        <v>0</v>
      </c>
      <c r="AF553" s="62">
        <v>0</v>
      </c>
      <c r="AG553" s="62">
        <v>0</v>
      </c>
      <c r="AH553" s="62"/>
      <c r="AI553" s="62">
        <v>-59904.162270534536</v>
      </c>
      <c r="AJ553" s="62">
        <v>-40076.960740742019</v>
      </c>
      <c r="AK553" s="62">
        <v>-24965.053257695436</v>
      </c>
      <c r="AL553" s="62">
        <v>-14457.392640000047</v>
      </c>
      <c r="AM553" s="62">
        <v>0</v>
      </c>
    </row>
    <row r="554" spans="1:39">
      <c r="A554" s="9">
        <v>96051</v>
      </c>
      <c r="B554" s="10" t="s">
        <v>1929</v>
      </c>
      <c r="C554" s="60">
        <v>1.0062000000000001E-3</v>
      </c>
      <c r="E554" s="62">
        <v>37139.426100221572</v>
      </c>
      <c r="F554" s="62">
        <v>414283.46271557431</v>
      </c>
      <c r="G554" s="62">
        <v>203337.8051468312</v>
      </c>
      <c r="H554" s="62">
        <v>-126557.08924000003</v>
      </c>
      <c r="I554" s="62">
        <v>0</v>
      </c>
      <c r="J554" s="62"/>
      <c r="K554" s="62">
        <v>-6054.3054000000002</v>
      </c>
      <c r="L554" s="62">
        <v>12744.529200000001</v>
      </c>
      <c r="M554" s="62">
        <v>23647.7124</v>
      </c>
      <c r="N554" s="62">
        <v>14705.613000000001</v>
      </c>
      <c r="O554" s="62">
        <v>0</v>
      </c>
      <c r="P554" s="62"/>
      <c r="Q554" s="62">
        <v>22151.493000000002</v>
      </c>
      <c r="R554" s="62">
        <v>367504.48800000001</v>
      </c>
      <c r="S554" s="62">
        <v>140628.52439999999</v>
      </c>
      <c r="T554" s="62">
        <v>-157051.72080000001</v>
      </c>
      <c r="U554" s="62">
        <v>0</v>
      </c>
      <c r="V554" s="62"/>
      <c r="W554" s="62">
        <v>65681.717400000009</v>
      </c>
      <c r="X554" s="62">
        <v>65681.717400000009</v>
      </c>
      <c r="Y554" s="62">
        <v>60378.037200000006</v>
      </c>
      <c r="Z554" s="62">
        <v>27791.244000000002</v>
      </c>
      <c r="AA554" s="62">
        <v>0</v>
      </c>
      <c r="AB554" s="62"/>
      <c r="AC554" s="62">
        <v>0</v>
      </c>
      <c r="AD554" s="62">
        <v>0</v>
      </c>
      <c r="AE554" s="62">
        <v>0</v>
      </c>
      <c r="AF554" s="62">
        <v>0</v>
      </c>
      <c r="AG554" s="62">
        <v>0</v>
      </c>
      <c r="AH554" s="62"/>
      <c r="AI554" s="62">
        <v>-44639.478899778442</v>
      </c>
      <c r="AJ554" s="62">
        <v>-31647.271884425743</v>
      </c>
      <c r="AK554" s="62">
        <v>-21316.468853168786</v>
      </c>
      <c r="AL554" s="62">
        <v>-12002.225440000044</v>
      </c>
      <c r="AM554" s="62">
        <v>0</v>
      </c>
    </row>
    <row r="555" spans="1:39">
      <c r="A555" s="9">
        <v>96061</v>
      </c>
      <c r="B555" s="10" t="s">
        <v>1930</v>
      </c>
      <c r="C555" s="60">
        <v>3.3950000000000001E-4</v>
      </c>
      <c r="E555" s="62">
        <v>29850.071219973339</v>
      </c>
      <c r="F555" s="62">
        <v>154171.80367615592</v>
      </c>
      <c r="G555" s="62">
        <v>79146.712627160465</v>
      </c>
      <c r="H555" s="62">
        <v>-33546.01190000002</v>
      </c>
      <c r="I555" s="62">
        <v>0</v>
      </c>
      <c r="J555" s="62"/>
      <c r="K555" s="62">
        <v>-2042.7715000000001</v>
      </c>
      <c r="L555" s="62">
        <v>4300.107</v>
      </c>
      <c r="M555" s="62">
        <v>7978.9290000000001</v>
      </c>
      <c r="N555" s="62">
        <v>4961.7925000000005</v>
      </c>
      <c r="O555" s="62">
        <v>0</v>
      </c>
      <c r="P555" s="62"/>
      <c r="Q555" s="62">
        <v>7474.0925000000007</v>
      </c>
      <c r="R555" s="62">
        <v>123998.98000000001</v>
      </c>
      <c r="S555" s="62">
        <v>47449.199000000001</v>
      </c>
      <c r="T555" s="62">
        <v>-52990.518000000004</v>
      </c>
      <c r="U555" s="62">
        <v>0</v>
      </c>
      <c r="V555" s="62"/>
      <c r="W555" s="62">
        <v>22161.541499999999</v>
      </c>
      <c r="X555" s="62">
        <v>22161.541499999999</v>
      </c>
      <c r="Y555" s="62">
        <v>20372.037</v>
      </c>
      <c r="Z555" s="62">
        <v>9376.99</v>
      </c>
      <c r="AA555" s="62">
        <v>0</v>
      </c>
      <c r="AB555" s="62"/>
      <c r="AC555" s="62">
        <v>5899.6321767634699</v>
      </c>
      <c r="AD555" s="62">
        <v>5756.728632946043</v>
      </c>
      <c r="AE555" s="62">
        <v>5105.7235999999857</v>
      </c>
      <c r="AF555" s="62">
        <v>5105.7235999999857</v>
      </c>
      <c r="AG555" s="62">
        <v>0</v>
      </c>
      <c r="AH555" s="62"/>
      <c r="AI555" s="62">
        <v>-3642.4234567901276</v>
      </c>
      <c r="AJ555" s="62">
        <v>-2045.5534567901273</v>
      </c>
      <c r="AK555" s="62">
        <v>-1759.17597283951</v>
      </c>
      <c r="AL555" s="62">
        <v>0</v>
      </c>
      <c r="AM555" s="62">
        <v>0</v>
      </c>
    </row>
    <row r="556" spans="1:39">
      <c r="A556" s="9">
        <v>96071</v>
      </c>
      <c r="B556" s="10" t="s">
        <v>1931</v>
      </c>
      <c r="C556" s="60">
        <v>1.1367E-3</v>
      </c>
      <c r="E556" s="62">
        <v>91208.830990121191</v>
      </c>
      <c r="F556" s="62">
        <v>508907.15378157346</v>
      </c>
      <c r="G556" s="62">
        <v>243235.357018354</v>
      </c>
      <c r="H556" s="62">
        <v>-121537.01637999996</v>
      </c>
      <c r="I556" s="62">
        <v>0</v>
      </c>
      <c r="J556" s="62"/>
      <c r="K556" s="62">
        <v>-6839.5239000000001</v>
      </c>
      <c r="L556" s="62">
        <v>14397.442200000001</v>
      </c>
      <c r="M556" s="62">
        <v>26714.723400000003</v>
      </c>
      <c r="N556" s="62">
        <v>16612.870500000001</v>
      </c>
      <c r="O556" s="62">
        <v>0</v>
      </c>
      <c r="P556" s="62"/>
      <c r="Q556" s="62">
        <v>25024.450499999999</v>
      </c>
      <c r="R556" s="62">
        <v>415168.30800000002</v>
      </c>
      <c r="S556" s="62">
        <v>158867.46540000002</v>
      </c>
      <c r="T556" s="62">
        <v>-177420.68280000001</v>
      </c>
      <c r="U556" s="62">
        <v>0</v>
      </c>
      <c r="V556" s="62"/>
      <c r="W556" s="62">
        <v>74200.365900000004</v>
      </c>
      <c r="X556" s="62">
        <v>74200.365900000004</v>
      </c>
      <c r="Y556" s="62">
        <v>68208.820200000002</v>
      </c>
      <c r="Z556" s="62">
        <v>31395.654000000002</v>
      </c>
      <c r="AA556" s="62">
        <v>0</v>
      </c>
      <c r="AB556" s="62"/>
      <c r="AC556" s="62">
        <v>30676.424189709618</v>
      </c>
      <c r="AD556" s="62">
        <v>26572.193381161906</v>
      </c>
      <c r="AE556" s="62">
        <v>7875.1419200000591</v>
      </c>
      <c r="AF556" s="62">
        <v>7875.1419200000591</v>
      </c>
      <c r="AG556" s="62">
        <v>0</v>
      </c>
      <c r="AH556" s="62"/>
      <c r="AI556" s="62">
        <v>-31852.885699588442</v>
      </c>
      <c r="AJ556" s="62">
        <v>-21431.155699588438</v>
      </c>
      <c r="AK556" s="62">
        <v>-18430.793901646062</v>
      </c>
      <c r="AL556" s="62">
        <v>0</v>
      </c>
      <c r="AM556" s="62">
        <v>0</v>
      </c>
    </row>
    <row r="557" spans="1:39">
      <c r="A557" s="9">
        <v>96081</v>
      </c>
      <c r="B557" s="10" t="s">
        <v>1932</v>
      </c>
      <c r="C557" s="60">
        <v>5.0900000000000001E-4</v>
      </c>
      <c r="E557" s="62">
        <v>46445.655620837693</v>
      </c>
      <c r="F557" s="62">
        <v>225053.47230191654</v>
      </c>
      <c r="G557" s="62">
        <v>114888.23320378599</v>
      </c>
      <c r="H557" s="62">
        <v>-57217.256760000018</v>
      </c>
      <c r="I557" s="62">
        <v>0</v>
      </c>
      <c r="J557" s="62"/>
      <c r="K557" s="62">
        <v>-3062.6530000000002</v>
      </c>
      <c r="L557" s="62">
        <v>6446.9940000000006</v>
      </c>
      <c r="M557" s="62">
        <v>11962.518</v>
      </c>
      <c r="N557" s="62">
        <v>7439.0349999999999</v>
      </c>
      <c r="O557" s="62">
        <v>0</v>
      </c>
      <c r="P557" s="62"/>
      <c r="Q557" s="62">
        <v>11205.635</v>
      </c>
      <c r="R557" s="62">
        <v>185907.16</v>
      </c>
      <c r="S557" s="62">
        <v>71138.858000000007</v>
      </c>
      <c r="T557" s="62">
        <v>-79446.756000000008</v>
      </c>
      <c r="U557" s="62">
        <v>0</v>
      </c>
      <c r="V557" s="62"/>
      <c r="W557" s="62">
        <v>33225.993000000002</v>
      </c>
      <c r="X557" s="62">
        <v>33225.993000000002</v>
      </c>
      <c r="Y557" s="62">
        <v>30543.054</v>
      </c>
      <c r="Z557" s="62">
        <v>14058.58</v>
      </c>
      <c r="AA557" s="62">
        <v>0</v>
      </c>
      <c r="AB557" s="62"/>
      <c r="AC557" s="62">
        <v>7337.4288490534764</v>
      </c>
      <c r="AD557" s="62">
        <v>1327.1388490534755</v>
      </c>
      <c r="AE557" s="62">
        <v>1243.8032037859871</v>
      </c>
      <c r="AF557" s="62">
        <v>731.88423999998486</v>
      </c>
      <c r="AG557" s="62">
        <v>0</v>
      </c>
      <c r="AH557" s="62"/>
      <c r="AI557" s="62">
        <v>-2260.7482282157844</v>
      </c>
      <c r="AJ557" s="62">
        <v>-1853.8135471369437</v>
      </c>
      <c r="AK557" s="62">
        <v>0</v>
      </c>
      <c r="AL557" s="62">
        <v>0</v>
      </c>
      <c r="AM557" s="62">
        <v>0</v>
      </c>
    </row>
    <row r="558" spans="1:39">
      <c r="A558" s="9">
        <v>96101</v>
      </c>
      <c r="B558" s="10" t="s">
        <v>1933</v>
      </c>
      <c r="C558" s="60">
        <v>7.6749999999999995E-4</v>
      </c>
      <c r="E558" s="62">
        <v>79536.713380278627</v>
      </c>
      <c r="F558" s="62">
        <v>349098.09797098394</v>
      </c>
      <c r="G558" s="62">
        <v>175638.46297432092</v>
      </c>
      <c r="H558" s="62">
        <v>-82048.53198</v>
      </c>
      <c r="I558" s="62">
        <v>0</v>
      </c>
      <c r="J558" s="62"/>
      <c r="K558" s="62">
        <v>-4618.0474999999997</v>
      </c>
      <c r="L558" s="62">
        <v>9721.1549999999988</v>
      </c>
      <c r="M558" s="62">
        <v>18037.785</v>
      </c>
      <c r="N558" s="62">
        <v>11217.012499999999</v>
      </c>
      <c r="O558" s="62">
        <v>0</v>
      </c>
      <c r="P558" s="62"/>
      <c r="Q558" s="62">
        <v>16896.512500000001</v>
      </c>
      <c r="R558" s="62">
        <v>280321.7</v>
      </c>
      <c r="S558" s="62">
        <v>107267.33499999999</v>
      </c>
      <c r="T558" s="62">
        <v>-119794.46999999999</v>
      </c>
      <c r="U558" s="62">
        <v>0</v>
      </c>
      <c r="V558" s="62"/>
      <c r="W558" s="62">
        <v>50100.097499999996</v>
      </c>
      <c r="X558" s="62">
        <v>50100.097499999996</v>
      </c>
      <c r="Y558" s="62">
        <v>46054.604999999996</v>
      </c>
      <c r="Z558" s="62">
        <v>21198.35</v>
      </c>
      <c r="AA558" s="62">
        <v>0</v>
      </c>
      <c r="AB558" s="62"/>
      <c r="AC558" s="62">
        <v>18381.217793858908</v>
      </c>
      <c r="AD558" s="62">
        <v>10178.212384564305</v>
      </c>
      <c r="AE558" s="62">
        <v>5330.5755199999894</v>
      </c>
      <c r="AF558" s="62">
        <v>5330.5755199999894</v>
      </c>
      <c r="AG558" s="62">
        <v>0</v>
      </c>
      <c r="AH558" s="62"/>
      <c r="AI558" s="62">
        <v>-1223.0669135802689</v>
      </c>
      <c r="AJ558" s="62">
        <v>-1223.0669135802689</v>
      </c>
      <c r="AK558" s="62">
        <v>-1051.8375456790316</v>
      </c>
      <c r="AL558" s="62">
        <v>0</v>
      </c>
      <c r="AM558" s="62">
        <v>0</v>
      </c>
    </row>
    <row r="559" spans="1:39">
      <c r="A559" s="9">
        <v>96102</v>
      </c>
      <c r="B559" s="10" t="s">
        <v>1934</v>
      </c>
      <c r="C559" s="60">
        <v>1.36E-5</v>
      </c>
      <c r="E559" s="62">
        <v>-325.01063752335062</v>
      </c>
      <c r="F559" s="62">
        <v>5117.2334579123344</v>
      </c>
      <c r="G559" s="62">
        <v>2573.8324737448561</v>
      </c>
      <c r="H559" s="62">
        <v>-1882.0369600000001</v>
      </c>
      <c r="I559" s="62">
        <v>0</v>
      </c>
      <c r="J559" s="62"/>
      <c r="K559" s="62">
        <v>-81.831199999999995</v>
      </c>
      <c r="L559" s="62">
        <v>172.2576</v>
      </c>
      <c r="M559" s="62">
        <v>319.62720000000002</v>
      </c>
      <c r="N559" s="62">
        <v>198.76400000000001</v>
      </c>
      <c r="O559" s="62">
        <v>0</v>
      </c>
      <c r="P559" s="62"/>
      <c r="Q559" s="62">
        <v>299.404</v>
      </c>
      <c r="R559" s="62">
        <v>4967.2640000000001</v>
      </c>
      <c r="S559" s="62">
        <v>1900.7632000000001</v>
      </c>
      <c r="T559" s="62">
        <v>-2122.7424000000001</v>
      </c>
      <c r="U559" s="62">
        <v>0</v>
      </c>
      <c r="V559" s="62"/>
      <c r="W559" s="62">
        <v>887.7672</v>
      </c>
      <c r="X559" s="62">
        <v>887.7672</v>
      </c>
      <c r="Y559" s="62">
        <v>816.08159999999998</v>
      </c>
      <c r="Z559" s="62">
        <v>375.63200000000001</v>
      </c>
      <c r="AA559" s="62">
        <v>0</v>
      </c>
      <c r="AB559" s="62"/>
      <c r="AC559" s="62">
        <v>0</v>
      </c>
      <c r="AD559" s="62">
        <v>0</v>
      </c>
      <c r="AE559" s="62">
        <v>0</v>
      </c>
      <c r="AF559" s="62">
        <v>0</v>
      </c>
      <c r="AG559" s="62">
        <v>0</v>
      </c>
      <c r="AH559" s="62"/>
      <c r="AI559" s="62">
        <v>-1430.3506375233505</v>
      </c>
      <c r="AJ559" s="62">
        <v>-910.05534208766608</v>
      </c>
      <c r="AK559" s="62">
        <v>-462.63952625514423</v>
      </c>
      <c r="AL559" s="62">
        <v>-333.69056000000018</v>
      </c>
      <c r="AM559" s="62">
        <v>0</v>
      </c>
    </row>
    <row r="560" spans="1:39">
      <c r="A560" s="9">
        <v>96111</v>
      </c>
      <c r="B560" s="10" t="s">
        <v>1935</v>
      </c>
      <c r="C560" s="60">
        <v>1.5349999999999999E-4</v>
      </c>
      <c r="E560" s="62">
        <v>19174.211799436845</v>
      </c>
      <c r="F560" s="62">
        <v>69108.137831553031</v>
      </c>
      <c r="G560" s="62">
        <v>34634.491488559674</v>
      </c>
      <c r="H560" s="62">
        <v>-17896.507659999999</v>
      </c>
      <c r="I560" s="62">
        <v>0</v>
      </c>
      <c r="J560" s="62"/>
      <c r="K560" s="62">
        <v>-923.60949999999991</v>
      </c>
      <c r="L560" s="62">
        <v>1944.231</v>
      </c>
      <c r="M560" s="62">
        <v>3607.5569999999998</v>
      </c>
      <c r="N560" s="62">
        <v>2243.4024999999997</v>
      </c>
      <c r="O560" s="62">
        <v>0</v>
      </c>
      <c r="P560" s="62"/>
      <c r="Q560" s="62">
        <v>3379.3024999999998</v>
      </c>
      <c r="R560" s="62">
        <v>56064.34</v>
      </c>
      <c r="S560" s="62">
        <v>21453.466999999997</v>
      </c>
      <c r="T560" s="62">
        <v>-23958.894</v>
      </c>
      <c r="U560" s="62">
        <v>0</v>
      </c>
      <c r="V560" s="62"/>
      <c r="W560" s="62">
        <v>10020.019499999999</v>
      </c>
      <c r="X560" s="62">
        <v>10020.019499999999</v>
      </c>
      <c r="Y560" s="62">
        <v>9210.9210000000003</v>
      </c>
      <c r="Z560" s="62">
        <v>4239.67</v>
      </c>
      <c r="AA560" s="62">
        <v>0</v>
      </c>
      <c r="AB560" s="62"/>
      <c r="AC560" s="62">
        <v>7119.1854594368488</v>
      </c>
      <c r="AD560" s="62">
        <v>1500.2334915530305</v>
      </c>
      <c r="AE560" s="62">
        <v>783.23264855967318</v>
      </c>
      <c r="AF560" s="62">
        <v>0</v>
      </c>
      <c r="AG560" s="62">
        <v>0</v>
      </c>
      <c r="AH560" s="62"/>
      <c r="AI560" s="62">
        <v>-420.68616000000043</v>
      </c>
      <c r="AJ560" s="62">
        <v>-420.68616000000043</v>
      </c>
      <c r="AK560" s="62">
        <v>-420.68616000000043</v>
      </c>
      <c r="AL560" s="62">
        <v>-420.68616000000043</v>
      </c>
      <c r="AM560" s="62">
        <v>0</v>
      </c>
    </row>
    <row r="561" spans="1:39">
      <c r="A561" s="9">
        <v>96121</v>
      </c>
      <c r="B561" s="10" t="s">
        <v>1936</v>
      </c>
      <c r="C561" s="60">
        <v>2.2500000000000001E-5</v>
      </c>
      <c r="E561" s="62">
        <v>890.08707875040682</v>
      </c>
      <c r="F561" s="62">
        <v>9800.2600878790381</v>
      </c>
      <c r="G561" s="62">
        <v>4954.5335376954745</v>
      </c>
      <c r="H561" s="62">
        <v>-2749.951779999999</v>
      </c>
      <c r="I561" s="62">
        <v>0</v>
      </c>
      <c r="J561" s="62"/>
      <c r="K561" s="62">
        <v>-135.38250000000002</v>
      </c>
      <c r="L561" s="62">
        <v>284.98500000000001</v>
      </c>
      <c r="M561" s="62">
        <v>528.79500000000007</v>
      </c>
      <c r="N561" s="62">
        <v>328.83750000000003</v>
      </c>
      <c r="O561" s="62">
        <v>0</v>
      </c>
      <c r="P561" s="62"/>
      <c r="Q561" s="62">
        <v>495.33750000000003</v>
      </c>
      <c r="R561" s="62">
        <v>8217.9</v>
      </c>
      <c r="S561" s="62">
        <v>3144.645</v>
      </c>
      <c r="T561" s="62">
        <v>-3511.8900000000003</v>
      </c>
      <c r="U561" s="62">
        <v>0</v>
      </c>
      <c r="V561" s="62"/>
      <c r="W561" s="62">
        <v>1468.7325000000001</v>
      </c>
      <c r="X561" s="62">
        <v>1468.7325000000001</v>
      </c>
      <c r="Y561" s="62">
        <v>1350.135</v>
      </c>
      <c r="Z561" s="62">
        <v>621.45000000000005</v>
      </c>
      <c r="AA561" s="62">
        <v>0</v>
      </c>
      <c r="AB561" s="62"/>
      <c r="AC561" s="62">
        <v>138.73002057613166</v>
      </c>
      <c r="AD561" s="62">
        <v>138.73002057613166</v>
      </c>
      <c r="AE561" s="62">
        <v>119.30781769547328</v>
      </c>
      <c r="AF561" s="62">
        <v>0</v>
      </c>
      <c r="AG561" s="62">
        <v>0</v>
      </c>
      <c r="AH561" s="62"/>
      <c r="AI561" s="62">
        <v>-1077.3304418257248</v>
      </c>
      <c r="AJ561" s="62">
        <v>-310.08743269709407</v>
      </c>
      <c r="AK561" s="62">
        <v>-188.34927999999888</v>
      </c>
      <c r="AL561" s="62">
        <v>-188.34927999999888</v>
      </c>
      <c r="AM561" s="62">
        <v>0</v>
      </c>
    </row>
    <row r="562" spans="1:39">
      <c r="A562" s="9">
        <v>96201</v>
      </c>
      <c r="B562" s="10" t="s">
        <v>1937</v>
      </c>
      <c r="C562" s="60">
        <v>1.1788E-3</v>
      </c>
      <c r="E562" s="62">
        <v>72570.098517297287</v>
      </c>
      <c r="F562" s="62">
        <v>501651.98131920601</v>
      </c>
      <c r="G562" s="62">
        <v>245417.47087728395</v>
      </c>
      <c r="H562" s="62">
        <v>-145542.05223999999</v>
      </c>
      <c r="I562" s="62">
        <v>0</v>
      </c>
      <c r="J562" s="62"/>
      <c r="K562" s="62">
        <v>-7092.8396000000002</v>
      </c>
      <c r="L562" s="62">
        <v>14930.6808</v>
      </c>
      <c r="M562" s="62">
        <v>27704.157600000002</v>
      </c>
      <c r="N562" s="62">
        <v>17228.162</v>
      </c>
      <c r="O562" s="62">
        <v>0</v>
      </c>
      <c r="P562" s="62"/>
      <c r="Q562" s="62">
        <v>25951.281999999999</v>
      </c>
      <c r="R562" s="62">
        <v>430544.91200000001</v>
      </c>
      <c r="S562" s="62">
        <v>164751.44560000001</v>
      </c>
      <c r="T562" s="62">
        <v>-183991.8192</v>
      </c>
      <c r="U562" s="62">
        <v>0</v>
      </c>
      <c r="V562" s="62"/>
      <c r="W562" s="62">
        <v>76948.527600000001</v>
      </c>
      <c r="X562" s="62">
        <v>76948.527600000001</v>
      </c>
      <c r="Y562" s="62">
        <v>70735.072800000009</v>
      </c>
      <c r="Z562" s="62">
        <v>32558.456000000002</v>
      </c>
      <c r="AA562" s="62">
        <v>0</v>
      </c>
      <c r="AB562" s="62"/>
      <c r="AC562" s="62">
        <v>0</v>
      </c>
      <c r="AD562" s="62">
        <v>0</v>
      </c>
      <c r="AE562" s="62">
        <v>0</v>
      </c>
      <c r="AF562" s="62">
        <v>0</v>
      </c>
      <c r="AG562" s="62">
        <v>0</v>
      </c>
      <c r="AH562" s="62"/>
      <c r="AI562" s="62">
        <v>-23236.871482702718</v>
      </c>
      <c r="AJ562" s="62">
        <v>-20772.139080794012</v>
      </c>
      <c r="AK562" s="62">
        <v>-17773.20512271607</v>
      </c>
      <c r="AL562" s="62">
        <v>-11336.851040000001</v>
      </c>
      <c r="AM562" s="62">
        <v>0</v>
      </c>
    </row>
    <row r="563" spans="1:39">
      <c r="A563" s="9">
        <v>96204</v>
      </c>
      <c r="B563" s="10" t="s">
        <v>1938</v>
      </c>
      <c r="C563" s="60">
        <v>1.5099999999999999E-5</v>
      </c>
      <c r="E563" s="62">
        <v>2877.533607638612</v>
      </c>
      <c r="F563" s="62">
        <v>7736.3427171821804</v>
      </c>
      <c r="G563" s="62">
        <v>3929.7000018107001</v>
      </c>
      <c r="H563" s="62">
        <v>-1455.2366199999997</v>
      </c>
      <c r="I563" s="62">
        <v>0</v>
      </c>
      <c r="J563" s="62"/>
      <c r="K563" s="62">
        <v>-90.856700000000004</v>
      </c>
      <c r="L563" s="62">
        <v>191.25659999999999</v>
      </c>
      <c r="M563" s="62">
        <v>354.8802</v>
      </c>
      <c r="N563" s="62">
        <v>220.6865</v>
      </c>
      <c r="O563" s="62">
        <v>0</v>
      </c>
      <c r="P563" s="62"/>
      <c r="Q563" s="62">
        <v>332.42649999999998</v>
      </c>
      <c r="R563" s="62">
        <v>5515.1239999999998</v>
      </c>
      <c r="S563" s="62">
        <v>2110.4061999999999</v>
      </c>
      <c r="T563" s="62">
        <v>-2356.8683999999998</v>
      </c>
      <c r="U563" s="62">
        <v>0</v>
      </c>
      <c r="V563" s="62"/>
      <c r="W563" s="62">
        <v>985.68269999999995</v>
      </c>
      <c r="X563" s="62">
        <v>985.68269999999995</v>
      </c>
      <c r="Y563" s="62">
        <v>906.09059999999999</v>
      </c>
      <c r="Z563" s="62">
        <v>417.06200000000001</v>
      </c>
      <c r="AA563" s="62">
        <v>0</v>
      </c>
      <c r="AB563" s="62"/>
      <c r="AC563" s="62">
        <v>1650.281107638612</v>
      </c>
      <c r="AD563" s="62">
        <v>1044.2794171821804</v>
      </c>
      <c r="AE563" s="62">
        <v>558.32300181070013</v>
      </c>
      <c r="AF563" s="62">
        <v>263.88328000000052</v>
      </c>
      <c r="AG563" s="62">
        <v>0</v>
      </c>
      <c r="AH563" s="62"/>
      <c r="AI563" s="62">
        <v>0</v>
      </c>
      <c r="AJ563" s="62">
        <v>0</v>
      </c>
      <c r="AK563" s="62">
        <v>0</v>
      </c>
      <c r="AL563" s="62">
        <v>0</v>
      </c>
      <c r="AM563" s="62">
        <v>0</v>
      </c>
    </row>
    <row r="564" spans="1:39">
      <c r="A564" s="9">
        <v>96211</v>
      </c>
      <c r="B564" s="10" t="s">
        <v>1939</v>
      </c>
      <c r="C564" s="60">
        <v>2.62E-5</v>
      </c>
      <c r="E564" s="62">
        <v>-506.52537714734899</v>
      </c>
      <c r="F564" s="62">
        <v>13276.696159865101</v>
      </c>
      <c r="G564" s="62">
        <v>6676.8660749794226</v>
      </c>
      <c r="H564" s="62">
        <v>-2807.0435600000019</v>
      </c>
      <c r="I564" s="62">
        <v>0</v>
      </c>
      <c r="J564" s="62"/>
      <c r="K564" s="62">
        <v>-157.6454</v>
      </c>
      <c r="L564" s="62">
        <v>331.8492</v>
      </c>
      <c r="M564" s="62">
        <v>615.75239999999997</v>
      </c>
      <c r="N564" s="62">
        <v>382.91300000000001</v>
      </c>
      <c r="O564" s="62">
        <v>0</v>
      </c>
      <c r="P564" s="62"/>
      <c r="Q564" s="62">
        <v>576.79300000000001</v>
      </c>
      <c r="R564" s="62">
        <v>9569.2880000000005</v>
      </c>
      <c r="S564" s="62">
        <v>3661.7644</v>
      </c>
      <c r="T564" s="62">
        <v>-4089.4007999999999</v>
      </c>
      <c r="U564" s="62">
        <v>0</v>
      </c>
      <c r="V564" s="62"/>
      <c r="W564" s="62">
        <v>1710.2574</v>
      </c>
      <c r="X564" s="62">
        <v>1710.2574</v>
      </c>
      <c r="Y564" s="62">
        <v>1572.1572000000001</v>
      </c>
      <c r="Z564" s="62">
        <v>723.64400000000001</v>
      </c>
      <c r="AA564" s="62">
        <v>0</v>
      </c>
      <c r="AB564" s="62"/>
      <c r="AC564" s="62">
        <v>1825.9996228526525</v>
      </c>
      <c r="AD564" s="62">
        <v>1665.3015598651007</v>
      </c>
      <c r="AE564" s="62">
        <v>827.19207497942159</v>
      </c>
      <c r="AF564" s="62">
        <v>175.80023999999798</v>
      </c>
      <c r="AG564" s="62">
        <v>0</v>
      </c>
      <c r="AH564" s="62"/>
      <c r="AI564" s="62">
        <v>-4461.9300000000012</v>
      </c>
      <c r="AJ564" s="62">
        <v>0</v>
      </c>
      <c r="AK564" s="62">
        <v>0</v>
      </c>
      <c r="AL564" s="62">
        <v>0</v>
      </c>
      <c r="AM564" s="62">
        <v>0</v>
      </c>
    </row>
    <row r="565" spans="1:39">
      <c r="A565" s="9">
        <v>96221</v>
      </c>
      <c r="B565" s="10" t="s">
        <v>1940</v>
      </c>
      <c r="C565" s="60">
        <v>2.3350000000000001E-4</v>
      </c>
      <c r="E565" s="62">
        <v>15596.508040954544</v>
      </c>
      <c r="F565" s="62">
        <v>98128.156091079029</v>
      </c>
      <c r="G565" s="62">
        <v>49218.641600082308</v>
      </c>
      <c r="H565" s="62">
        <v>-27535.355659999994</v>
      </c>
      <c r="I565" s="62">
        <v>0</v>
      </c>
      <c r="J565" s="62"/>
      <c r="K565" s="62">
        <v>-1404.9695000000002</v>
      </c>
      <c r="L565" s="62">
        <v>2957.511</v>
      </c>
      <c r="M565" s="62">
        <v>5487.7170000000006</v>
      </c>
      <c r="N565" s="62">
        <v>3412.6025</v>
      </c>
      <c r="O565" s="62">
        <v>0</v>
      </c>
      <c r="P565" s="62"/>
      <c r="Q565" s="62">
        <v>5140.5025000000005</v>
      </c>
      <c r="R565" s="62">
        <v>85283.540000000008</v>
      </c>
      <c r="S565" s="62">
        <v>32634.427</v>
      </c>
      <c r="T565" s="62">
        <v>-36445.614000000001</v>
      </c>
      <c r="U565" s="62">
        <v>0</v>
      </c>
      <c r="V565" s="62"/>
      <c r="W565" s="62">
        <v>15242.1795</v>
      </c>
      <c r="X565" s="62">
        <v>15242.1795</v>
      </c>
      <c r="Y565" s="62">
        <v>14011.401</v>
      </c>
      <c r="Z565" s="62">
        <v>6449.27</v>
      </c>
      <c r="AA565" s="62">
        <v>0</v>
      </c>
      <c r="AB565" s="62"/>
      <c r="AC565" s="62">
        <v>2439.3600000000006</v>
      </c>
      <c r="AD565" s="62">
        <v>0</v>
      </c>
      <c r="AE565" s="62">
        <v>0</v>
      </c>
      <c r="AF565" s="62">
        <v>0</v>
      </c>
      <c r="AG565" s="62">
        <v>0</v>
      </c>
      <c r="AH565" s="62"/>
      <c r="AI565" s="62">
        <v>-5820.5644590454585</v>
      </c>
      <c r="AJ565" s="62">
        <v>-5355.0744089209784</v>
      </c>
      <c r="AK565" s="62">
        <v>-2914.9033999176886</v>
      </c>
      <c r="AL565" s="62">
        <v>-951.61415999999451</v>
      </c>
      <c r="AM565" s="62">
        <v>0</v>
      </c>
    </row>
    <row r="566" spans="1:39">
      <c r="A566" s="9">
        <v>96231</v>
      </c>
      <c r="B566" s="10" t="s">
        <v>1941</v>
      </c>
      <c r="C566" s="60">
        <v>1.3339999999999999E-4</v>
      </c>
      <c r="E566" s="62">
        <v>3771.1422355104778</v>
      </c>
      <c r="F566" s="62">
        <v>54845.059082896354</v>
      </c>
      <c r="G566" s="62">
        <v>28087.955016049378</v>
      </c>
      <c r="H566" s="62">
        <v>-14548.836200000003</v>
      </c>
      <c r="I566" s="62">
        <v>0</v>
      </c>
      <c r="J566" s="62"/>
      <c r="K566" s="62">
        <v>-802.66779999999994</v>
      </c>
      <c r="L566" s="62">
        <v>1689.6443999999999</v>
      </c>
      <c r="M566" s="62">
        <v>3135.1668</v>
      </c>
      <c r="N566" s="62">
        <v>1949.6409999999998</v>
      </c>
      <c r="O566" s="62">
        <v>0</v>
      </c>
      <c r="P566" s="62"/>
      <c r="Q566" s="62">
        <v>2936.8009999999999</v>
      </c>
      <c r="R566" s="62">
        <v>48723.015999999996</v>
      </c>
      <c r="S566" s="62">
        <v>18644.250799999998</v>
      </c>
      <c r="T566" s="62">
        <v>-20821.605599999999</v>
      </c>
      <c r="U566" s="62">
        <v>0</v>
      </c>
      <c r="V566" s="62"/>
      <c r="W566" s="62">
        <v>8707.9517999999989</v>
      </c>
      <c r="X566" s="62">
        <v>8707.9517999999989</v>
      </c>
      <c r="Y566" s="62">
        <v>8004.8003999999992</v>
      </c>
      <c r="Z566" s="62">
        <v>3684.5079999999998</v>
      </c>
      <c r="AA566" s="62">
        <v>0</v>
      </c>
      <c r="AB566" s="62"/>
      <c r="AC566" s="62">
        <v>638.6203999999957</v>
      </c>
      <c r="AD566" s="62">
        <v>638.6203999999957</v>
      </c>
      <c r="AE566" s="62">
        <v>638.6203999999957</v>
      </c>
      <c r="AF566" s="62">
        <v>638.6203999999957</v>
      </c>
      <c r="AG566" s="62">
        <v>0</v>
      </c>
      <c r="AH566" s="62"/>
      <c r="AI566" s="62">
        <v>-7709.5631644895175</v>
      </c>
      <c r="AJ566" s="62">
        <v>-4914.1735171036271</v>
      </c>
      <c r="AK566" s="62">
        <v>-2334.883383950616</v>
      </c>
      <c r="AL566" s="62">
        <v>0</v>
      </c>
      <c r="AM566" s="62">
        <v>0</v>
      </c>
    </row>
    <row r="567" spans="1:39">
      <c r="A567" s="9">
        <v>96241</v>
      </c>
      <c r="B567" s="10" t="s">
        <v>1942</v>
      </c>
      <c r="C567" s="60">
        <v>4.4700000000000002E-5</v>
      </c>
      <c r="E567" s="62">
        <v>6008.1937689882698</v>
      </c>
      <c r="F567" s="62">
        <v>18966.754038614825</v>
      </c>
      <c r="G567" s="62">
        <v>8885.0210323456813</v>
      </c>
      <c r="H567" s="62">
        <v>-4869.6927800000003</v>
      </c>
      <c r="I567" s="62">
        <v>0</v>
      </c>
      <c r="J567" s="62"/>
      <c r="K567" s="62">
        <v>-268.9599</v>
      </c>
      <c r="L567" s="62">
        <v>566.17020000000002</v>
      </c>
      <c r="M567" s="62">
        <v>1050.5394000000001</v>
      </c>
      <c r="N567" s="62">
        <v>653.29050000000007</v>
      </c>
      <c r="O567" s="62">
        <v>0</v>
      </c>
      <c r="P567" s="62"/>
      <c r="Q567" s="62">
        <v>984.07050000000004</v>
      </c>
      <c r="R567" s="62">
        <v>16326.228000000001</v>
      </c>
      <c r="S567" s="62">
        <v>6247.3614000000007</v>
      </c>
      <c r="T567" s="62">
        <v>-6976.9548000000004</v>
      </c>
      <c r="U567" s="62">
        <v>0</v>
      </c>
      <c r="V567" s="62"/>
      <c r="W567" s="62">
        <v>2917.8819000000003</v>
      </c>
      <c r="X567" s="62">
        <v>2917.8819000000003</v>
      </c>
      <c r="Y567" s="62">
        <v>2682.2682</v>
      </c>
      <c r="Z567" s="62">
        <v>1234.614</v>
      </c>
      <c r="AA567" s="62">
        <v>0</v>
      </c>
      <c r="AB567" s="62"/>
      <c r="AC567" s="62">
        <v>3903.6960220746896</v>
      </c>
      <c r="AD567" s="62">
        <v>684.96869170124523</v>
      </c>
      <c r="AE567" s="62">
        <v>219.35752000000065</v>
      </c>
      <c r="AF567" s="62">
        <v>219.35752000000065</v>
      </c>
      <c r="AG567" s="62">
        <v>0</v>
      </c>
      <c r="AH567" s="62"/>
      <c r="AI567" s="62">
        <v>-1528.4947530864201</v>
      </c>
      <c r="AJ567" s="62">
        <v>-1528.4947530864201</v>
      </c>
      <c r="AK567" s="62">
        <v>-1314.5054876543218</v>
      </c>
      <c r="AL567" s="62">
        <v>0</v>
      </c>
      <c r="AM567" s="62">
        <v>0</v>
      </c>
    </row>
    <row r="568" spans="1:39">
      <c r="A568" s="9">
        <v>96251</v>
      </c>
      <c r="B568" s="10" t="s">
        <v>1943</v>
      </c>
      <c r="C568" s="60">
        <v>9.3999999999999994E-5</v>
      </c>
      <c r="E568" s="62">
        <v>553.64218285197057</v>
      </c>
      <c r="F568" s="62">
        <v>37007.212440279349</v>
      </c>
      <c r="G568" s="62">
        <v>20488.011714650202</v>
      </c>
      <c r="H568" s="62">
        <v>-9152.379280000001</v>
      </c>
      <c r="I568" s="62">
        <v>0</v>
      </c>
      <c r="J568" s="62"/>
      <c r="K568" s="62">
        <v>-565.59799999999996</v>
      </c>
      <c r="L568" s="62">
        <v>1190.604</v>
      </c>
      <c r="M568" s="62">
        <v>2209.1879999999996</v>
      </c>
      <c r="N568" s="62">
        <v>1373.81</v>
      </c>
      <c r="O568" s="62">
        <v>0</v>
      </c>
      <c r="P568" s="62"/>
      <c r="Q568" s="62">
        <v>2069.41</v>
      </c>
      <c r="R568" s="62">
        <v>34332.559999999998</v>
      </c>
      <c r="S568" s="62">
        <v>13137.627999999999</v>
      </c>
      <c r="T568" s="62">
        <v>-14671.895999999999</v>
      </c>
      <c r="U568" s="62">
        <v>0</v>
      </c>
      <c r="V568" s="62"/>
      <c r="W568" s="62">
        <v>6136.0379999999996</v>
      </c>
      <c r="X568" s="62">
        <v>6136.0379999999996</v>
      </c>
      <c r="Y568" s="62">
        <v>5640.5639999999994</v>
      </c>
      <c r="Z568" s="62">
        <v>2596.2799999999997</v>
      </c>
      <c r="AA568" s="62">
        <v>0</v>
      </c>
      <c r="AB568" s="62"/>
      <c r="AC568" s="62">
        <v>1549.4267199999986</v>
      </c>
      <c r="AD568" s="62">
        <v>1549.4267199999986</v>
      </c>
      <c r="AE568" s="62">
        <v>1549.4267199999986</v>
      </c>
      <c r="AF568" s="62">
        <v>1549.4267199999986</v>
      </c>
      <c r="AG568" s="62">
        <v>0</v>
      </c>
      <c r="AH568" s="62"/>
      <c r="AI568" s="62">
        <v>-8635.6345371480274</v>
      </c>
      <c r="AJ568" s="62">
        <v>-6201.4162797206427</v>
      </c>
      <c r="AK568" s="62">
        <v>-2048.7950053497939</v>
      </c>
      <c r="AL568" s="62">
        <v>0</v>
      </c>
      <c r="AM568" s="62">
        <v>0</v>
      </c>
    </row>
    <row r="569" spans="1:39">
      <c r="A569" s="9">
        <v>96301</v>
      </c>
      <c r="B569" s="10" t="s">
        <v>1944</v>
      </c>
      <c r="C569" s="60">
        <v>4.3712999999999998E-3</v>
      </c>
      <c r="E569" s="62">
        <v>327669.78262183024</v>
      </c>
      <c r="F569" s="62">
        <v>1920328.127749797</v>
      </c>
      <c r="G569" s="62">
        <v>935755.89320230437</v>
      </c>
      <c r="H569" s="62">
        <v>-512580.56618000037</v>
      </c>
      <c r="I569" s="62">
        <v>0</v>
      </c>
      <c r="J569" s="62"/>
      <c r="K569" s="62">
        <v>-26302.112099999998</v>
      </c>
      <c r="L569" s="62">
        <v>55366.885799999996</v>
      </c>
      <c r="M569" s="62">
        <v>102734.2926</v>
      </c>
      <c r="N569" s="62">
        <v>63886.549500000001</v>
      </c>
      <c r="O569" s="62">
        <v>0</v>
      </c>
      <c r="P569" s="62"/>
      <c r="Q569" s="62">
        <v>96234.169500000004</v>
      </c>
      <c r="R569" s="62">
        <v>1596573.612</v>
      </c>
      <c r="S569" s="62">
        <v>610941.63060000003</v>
      </c>
      <c r="T569" s="62">
        <v>-682289.98919999995</v>
      </c>
      <c r="U569" s="62">
        <v>0</v>
      </c>
      <c r="V569" s="62"/>
      <c r="W569" s="62">
        <v>285345.35009999998</v>
      </c>
      <c r="X569" s="62">
        <v>285345.35009999998</v>
      </c>
      <c r="Y569" s="62">
        <v>262304.22779999999</v>
      </c>
      <c r="Z569" s="62">
        <v>120735.306</v>
      </c>
      <c r="AA569" s="62">
        <v>0</v>
      </c>
      <c r="AB569" s="62"/>
      <c r="AC569" s="62">
        <v>33398.862622406661</v>
      </c>
      <c r="AD569" s="62">
        <v>27387.067350373472</v>
      </c>
      <c r="AE569" s="62">
        <v>0</v>
      </c>
      <c r="AF569" s="62">
        <v>0</v>
      </c>
      <c r="AG569" s="62">
        <v>0</v>
      </c>
      <c r="AH569" s="62"/>
      <c r="AI569" s="62">
        <v>-61006.487500576397</v>
      </c>
      <c r="AJ569" s="62">
        <v>-44344.787500576393</v>
      </c>
      <c r="AK569" s="62">
        <v>-40224.257797695755</v>
      </c>
      <c r="AL569" s="62">
        <v>-14912.432480000378</v>
      </c>
      <c r="AM569" s="62">
        <v>0</v>
      </c>
    </row>
    <row r="570" spans="1:39">
      <c r="A570" s="9">
        <v>96302</v>
      </c>
      <c r="B570" s="10" t="s">
        <v>1945</v>
      </c>
      <c r="C570" s="60">
        <v>2.5199999999999999E-5</v>
      </c>
      <c r="E570" s="62">
        <v>4675.2668866813528</v>
      </c>
      <c r="F570" s="62">
        <v>13326.999147760191</v>
      </c>
      <c r="G570" s="62">
        <v>7123.051140411525</v>
      </c>
      <c r="H570" s="62">
        <v>-1752.8913599999985</v>
      </c>
      <c r="I570" s="62">
        <v>0</v>
      </c>
      <c r="J570" s="62"/>
      <c r="K570" s="62">
        <v>-151.6284</v>
      </c>
      <c r="L570" s="62">
        <v>319.1832</v>
      </c>
      <c r="M570" s="62">
        <v>592.25040000000001</v>
      </c>
      <c r="N570" s="62">
        <v>368.298</v>
      </c>
      <c r="O570" s="62">
        <v>0</v>
      </c>
      <c r="P570" s="62"/>
      <c r="Q570" s="62">
        <v>554.77800000000002</v>
      </c>
      <c r="R570" s="62">
        <v>9204.0479999999989</v>
      </c>
      <c r="S570" s="62">
        <v>3522.0023999999999</v>
      </c>
      <c r="T570" s="62">
        <v>-3933.3168000000001</v>
      </c>
      <c r="U570" s="62">
        <v>0</v>
      </c>
      <c r="V570" s="62"/>
      <c r="W570" s="62">
        <v>1644.9803999999999</v>
      </c>
      <c r="X570" s="62">
        <v>1644.9803999999999</v>
      </c>
      <c r="Y570" s="62">
        <v>1512.1512</v>
      </c>
      <c r="Z570" s="62">
        <v>696.024</v>
      </c>
      <c r="AA570" s="62">
        <v>0</v>
      </c>
      <c r="AB570" s="62"/>
      <c r="AC570" s="62">
        <v>2627.1368866813532</v>
      </c>
      <c r="AD570" s="62">
        <v>2158.7875477601915</v>
      </c>
      <c r="AE570" s="62">
        <v>1496.6471404115243</v>
      </c>
      <c r="AF570" s="62">
        <v>1116.1034400000015</v>
      </c>
      <c r="AG570" s="62">
        <v>0</v>
      </c>
      <c r="AH570" s="62"/>
      <c r="AI570" s="62">
        <v>0</v>
      </c>
      <c r="AJ570" s="62">
        <v>0</v>
      </c>
      <c r="AK570" s="62">
        <v>0</v>
      </c>
      <c r="AL570" s="62">
        <v>0</v>
      </c>
      <c r="AM570" s="62">
        <v>0</v>
      </c>
    </row>
    <row r="571" spans="1:39">
      <c r="A571" s="9">
        <v>96304</v>
      </c>
      <c r="B571" s="10" t="s">
        <v>1946</v>
      </c>
      <c r="C571" s="60">
        <v>4.5500000000000001E-5</v>
      </c>
      <c r="E571" s="62">
        <v>5783.7228675931892</v>
      </c>
      <c r="F571" s="62">
        <v>22101.688354730126</v>
      </c>
      <c r="G571" s="62">
        <v>10757.221659917695</v>
      </c>
      <c r="H571" s="62">
        <v>-5424.3547800000006</v>
      </c>
      <c r="I571" s="62">
        <v>0</v>
      </c>
      <c r="J571" s="62"/>
      <c r="K571" s="62">
        <v>-273.77350000000001</v>
      </c>
      <c r="L571" s="62">
        <v>576.303</v>
      </c>
      <c r="M571" s="62">
        <v>1069.3410000000001</v>
      </c>
      <c r="N571" s="62">
        <v>664.98250000000007</v>
      </c>
      <c r="O571" s="62">
        <v>0</v>
      </c>
      <c r="P571" s="62"/>
      <c r="Q571" s="62">
        <v>1001.6825</v>
      </c>
      <c r="R571" s="62">
        <v>16618.420000000002</v>
      </c>
      <c r="S571" s="62">
        <v>6359.1710000000003</v>
      </c>
      <c r="T571" s="62">
        <v>-7101.8220000000001</v>
      </c>
      <c r="U571" s="62">
        <v>0</v>
      </c>
      <c r="V571" s="62"/>
      <c r="W571" s="62">
        <v>2970.1035000000002</v>
      </c>
      <c r="X571" s="62">
        <v>2970.1035000000002</v>
      </c>
      <c r="Y571" s="62">
        <v>2730.2730000000001</v>
      </c>
      <c r="Z571" s="62">
        <v>1256.71</v>
      </c>
      <c r="AA571" s="62">
        <v>0</v>
      </c>
      <c r="AB571" s="62"/>
      <c r="AC571" s="62">
        <v>2444.7756475931897</v>
      </c>
      <c r="AD571" s="62">
        <v>2181.0871347301199</v>
      </c>
      <c r="AE571" s="62">
        <v>842.66193991769603</v>
      </c>
      <c r="AF571" s="62">
        <v>0</v>
      </c>
      <c r="AG571" s="62">
        <v>0</v>
      </c>
      <c r="AH571" s="62"/>
      <c r="AI571" s="62">
        <v>-359.06528000000037</v>
      </c>
      <c r="AJ571" s="62">
        <v>-244.22528000000034</v>
      </c>
      <c r="AK571" s="62">
        <v>-244.22528000000034</v>
      </c>
      <c r="AL571" s="62">
        <v>-244.22528000000034</v>
      </c>
      <c r="AM571" s="62">
        <v>0</v>
      </c>
    </row>
    <row r="572" spans="1:39">
      <c r="A572" s="9">
        <v>96305</v>
      </c>
      <c r="B572" s="10" t="s">
        <v>1947</v>
      </c>
      <c r="C572" s="60">
        <v>4.5500000000000001E-5</v>
      </c>
      <c r="E572" s="62">
        <v>8449.2307329306914</v>
      </c>
      <c r="F572" s="62">
        <v>24548.625827536503</v>
      </c>
      <c r="G572" s="62">
        <v>12877.997632592593</v>
      </c>
      <c r="H572" s="62">
        <v>-3706.4392599999992</v>
      </c>
      <c r="I572" s="62">
        <v>0</v>
      </c>
      <c r="J572" s="62"/>
      <c r="K572" s="62">
        <v>-273.77350000000001</v>
      </c>
      <c r="L572" s="62">
        <v>576.303</v>
      </c>
      <c r="M572" s="62">
        <v>1069.3410000000001</v>
      </c>
      <c r="N572" s="62">
        <v>664.98250000000007</v>
      </c>
      <c r="O572" s="62">
        <v>0</v>
      </c>
      <c r="P572" s="62"/>
      <c r="Q572" s="62">
        <v>1001.6825</v>
      </c>
      <c r="R572" s="62">
        <v>16618.420000000002</v>
      </c>
      <c r="S572" s="62">
        <v>6359.1710000000003</v>
      </c>
      <c r="T572" s="62">
        <v>-7101.8220000000001</v>
      </c>
      <c r="U572" s="62">
        <v>0</v>
      </c>
      <c r="V572" s="62"/>
      <c r="W572" s="62">
        <v>2970.1035000000002</v>
      </c>
      <c r="X572" s="62">
        <v>2970.1035000000002</v>
      </c>
      <c r="Y572" s="62">
        <v>2730.2730000000001</v>
      </c>
      <c r="Z572" s="62">
        <v>1256.71</v>
      </c>
      <c r="AA572" s="62">
        <v>0</v>
      </c>
      <c r="AB572" s="62"/>
      <c r="AC572" s="62">
        <v>4751.2182329306906</v>
      </c>
      <c r="AD572" s="62">
        <v>4383.7993275365006</v>
      </c>
      <c r="AE572" s="62">
        <v>2719.2126325925929</v>
      </c>
      <c r="AF572" s="62">
        <v>1473.6902400000008</v>
      </c>
      <c r="AG572" s="62">
        <v>0</v>
      </c>
      <c r="AH572" s="62"/>
      <c r="AI572" s="62">
        <v>0</v>
      </c>
      <c r="AJ572" s="62">
        <v>0</v>
      </c>
      <c r="AK572" s="62">
        <v>0</v>
      </c>
      <c r="AL572" s="62">
        <v>0</v>
      </c>
      <c r="AM572" s="62">
        <v>0</v>
      </c>
    </row>
    <row r="573" spans="1:39">
      <c r="A573" s="9">
        <v>96310</v>
      </c>
      <c r="B573" s="10" t="s">
        <v>1948</v>
      </c>
      <c r="C573" s="60">
        <v>6.1099999999999994E-5</v>
      </c>
      <c r="E573" s="62">
        <v>8450.6746421047355</v>
      </c>
      <c r="F573" s="62">
        <v>28354.093313474026</v>
      </c>
      <c r="G573" s="62">
        <v>14528.133134485593</v>
      </c>
      <c r="H573" s="62">
        <v>-5151.1377399999974</v>
      </c>
      <c r="I573" s="62">
        <v>0</v>
      </c>
      <c r="J573" s="62"/>
      <c r="K573" s="62">
        <v>-367.63869999999997</v>
      </c>
      <c r="L573" s="62">
        <v>773.8925999999999</v>
      </c>
      <c r="M573" s="62">
        <v>1435.9721999999999</v>
      </c>
      <c r="N573" s="62">
        <v>892.97649999999987</v>
      </c>
      <c r="O573" s="62">
        <v>0</v>
      </c>
      <c r="P573" s="62"/>
      <c r="Q573" s="62">
        <v>1345.1164999999999</v>
      </c>
      <c r="R573" s="62">
        <v>22316.163999999997</v>
      </c>
      <c r="S573" s="62">
        <v>8539.4581999999991</v>
      </c>
      <c r="T573" s="62">
        <v>-9536.732399999999</v>
      </c>
      <c r="U573" s="62">
        <v>0</v>
      </c>
      <c r="V573" s="62"/>
      <c r="W573" s="62">
        <v>3988.4246999999996</v>
      </c>
      <c r="X573" s="62">
        <v>3988.4246999999996</v>
      </c>
      <c r="Y573" s="62">
        <v>3666.3665999999998</v>
      </c>
      <c r="Z573" s="62">
        <v>1687.5819999999999</v>
      </c>
      <c r="AA573" s="62">
        <v>0</v>
      </c>
      <c r="AB573" s="62"/>
      <c r="AC573" s="62">
        <v>4553.0279857261394</v>
      </c>
      <c r="AD573" s="62">
        <v>2343.8678570954339</v>
      </c>
      <c r="AE573" s="62">
        <v>1805.0361600000003</v>
      </c>
      <c r="AF573" s="62">
        <v>1805.0361600000003</v>
      </c>
      <c r="AG573" s="62">
        <v>0</v>
      </c>
      <c r="AH573" s="62"/>
      <c r="AI573" s="62">
        <v>-1068.2558436214013</v>
      </c>
      <c r="AJ573" s="62">
        <v>-1068.2558436214013</v>
      </c>
      <c r="AK573" s="62">
        <v>-918.70002551440541</v>
      </c>
      <c r="AL573" s="62">
        <v>0</v>
      </c>
      <c r="AM573" s="62">
        <v>0</v>
      </c>
    </row>
    <row r="574" spans="1:39">
      <c r="A574" s="9">
        <v>96311</v>
      </c>
      <c r="B574" s="10" t="s">
        <v>1949</v>
      </c>
      <c r="C574" s="60">
        <v>1.3113000000000001E-3</v>
      </c>
      <c r="E574" s="62">
        <v>72465.588491381524</v>
      </c>
      <c r="F574" s="62">
        <v>537714.41252706619</v>
      </c>
      <c r="G574" s="62">
        <v>259694.0965859259</v>
      </c>
      <c r="H574" s="62">
        <v>-166923.67714000001</v>
      </c>
      <c r="I574" s="62">
        <v>0</v>
      </c>
      <c r="J574" s="62"/>
      <c r="K574" s="62">
        <v>-7890.0921000000008</v>
      </c>
      <c r="L574" s="62">
        <v>16608.925800000001</v>
      </c>
      <c r="M574" s="62">
        <v>30818.172600000002</v>
      </c>
      <c r="N574" s="62">
        <v>19164.6495</v>
      </c>
      <c r="O574" s="62">
        <v>0</v>
      </c>
      <c r="P574" s="62"/>
      <c r="Q574" s="62">
        <v>28868.269500000002</v>
      </c>
      <c r="R574" s="62">
        <v>478939.212</v>
      </c>
      <c r="S574" s="62">
        <v>183269.9106</v>
      </c>
      <c r="T574" s="62">
        <v>-204672.9492</v>
      </c>
      <c r="U574" s="62">
        <v>0</v>
      </c>
      <c r="V574" s="62"/>
      <c r="W574" s="62">
        <v>85597.730100000001</v>
      </c>
      <c r="X574" s="62">
        <v>85597.730100000001</v>
      </c>
      <c r="Y574" s="62">
        <v>78685.867800000007</v>
      </c>
      <c r="Z574" s="62">
        <v>36218.106</v>
      </c>
      <c r="AA574" s="62">
        <v>0</v>
      </c>
      <c r="AB574" s="62"/>
      <c r="AC574" s="62">
        <v>11041.470000000003</v>
      </c>
      <c r="AD574" s="62">
        <v>0</v>
      </c>
      <c r="AE574" s="62">
        <v>0</v>
      </c>
      <c r="AF574" s="62">
        <v>0</v>
      </c>
      <c r="AG574" s="62">
        <v>0</v>
      </c>
      <c r="AH574" s="62"/>
      <c r="AI574" s="62">
        <v>-45151.789008618485</v>
      </c>
      <c r="AJ574" s="62">
        <v>-43431.455372933837</v>
      </c>
      <c r="AK574" s="62">
        <v>-33079.854414074114</v>
      </c>
      <c r="AL574" s="62">
        <v>-17633.483440000007</v>
      </c>
      <c r="AM574" s="62">
        <v>0</v>
      </c>
    </row>
    <row r="575" spans="1:39">
      <c r="A575" s="9">
        <v>96312</v>
      </c>
      <c r="B575" s="10" t="s">
        <v>1950</v>
      </c>
      <c r="C575" s="60">
        <v>1.5999999999999999E-5</v>
      </c>
      <c r="E575" s="62">
        <v>1688.3241635257773</v>
      </c>
      <c r="F575" s="62">
        <v>8839.7924216170632</v>
      </c>
      <c r="G575" s="62">
        <v>5330.6976994238703</v>
      </c>
      <c r="H575" s="62">
        <v>87.013120000001891</v>
      </c>
      <c r="I575" s="62">
        <v>0</v>
      </c>
      <c r="J575" s="62"/>
      <c r="K575" s="62">
        <v>-96.271999999999991</v>
      </c>
      <c r="L575" s="62">
        <v>202.65599999999998</v>
      </c>
      <c r="M575" s="62">
        <v>376.03199999999998</v>
      </c>
      <c r="N575" s="62">
        <v>233.84</v>
      </c>
      <c r="O575" s="62">
        <v>0</v>
      </c>
      <c r="P575" s="62"/>
      <c r="Q575" s="62">
        <v>352.24</v>
      </c>
      <c r="R575" s="62">
        <v>5843.84</v>
      </c>
      <c r="S575" s="62">
        <v>2236.192</v>
      </c>
      <c r="T575" s="62">
        <v>-2497.3440000000001</v>
      </c>
      <c r="U575" s="62">
        <v>0</v>
      </c>
      <c r="V575" s="62"/>
      <c r="W575" s="62">
        <v>1044.432</v>
      </c>
      <c r="X575" s="62">
        <v>1044.432</v>
      </c>
      <c r="Y575" s="62">
        <v>960.096</v>
      </c>
      <c r="Z575" s="62">
        <v>441.91999999999996</v>
      </c>
      <c r="AA575" s="62">
        <v>0</v>
      </c>
      <c r="AB575" s="62"/>
      <c r="AC575" s="62">
        <v>1926.8179083817442</v>
      </c>
      <c r="AD575" s="62">
        <v>1923.5381664730305</v>
      </c>
      <c r="AE575" s="62">
        <v>1908.5971200000017</v>
      </c>
      <c r="AF575" s="62">
        <v>1908.5971200000017</v>
      </c>
      <c r="AG575" s="62">
        <v>0</v>
      </c>
      <c r="AH575" s="62"/>
      <c r="AI575" s="62">
        <v>-1538.8937448559673</v>
      </c>
      <c r="AJ575" s="62">
        <v>-174.67374485596702</v>
      </c>
      <c r="AK575" s="62">
        <v>-150.21942057613168</v>
      </c>
      <c r="AL575" s="62">
        <v>0</v>
      </c>
      <c r="AM575" s="62">
        <v>0</v>
      </c>
    </row>
    <row r="576" spans="1:39">
      <c r="A576" s="9">
        <v>96318</v>
      </c>
      <c r="B576" s="10" t="s">
        <v>1951</v>
      </c>
      <c r="C576" s="60">
        <v>2.1684999999999999E-3</v>
      </c>
      <c r="E576" s="62">
        <v>2841348.0616988475</v>
      </c>
      <c r="F576" s="62">
        <v>3626145.5596988476</v>
      </c>
      <c r="G576" s="62">
        <v>2787148.6724046096</v>
      </c>
      <c r="H576" s="62">
        <v>-168317.95225999999</v>
      </c>
      <c r="I576" s="62">
        <v>0</v>
      </c>
      <c r="J576" s="62"/>
      <c r="K576" s="62">
        <v>-13047.8645</v>
      </c>
      <c r="L576" s="62">
        <v>27466.220999999998</v>
      </c>
      <c r="M576" s="62">
        <v>50964.087</v>
      </c>
      <c r="N576" s="62">
        <v>31692.627499999999</v>
      </c>
      <c r="O576" s="62">
        <v>0</v>
      </c>
      <c r="P576" s="62"/>
      <c r="Q576" s="62">
        <v>47739.527499999997</v>
      </c>
      <c r="R576" s="62">
        <v>792022.94</v>
      </c>
      <c r="S576" s="62">
        <v>303073.897</v>
      </c>
      <c r="T576" s="62">
        <v>-338468.15399999998</v>
      </c>
      <c r="U576" s="62">
        <v>0</v>
      </c>
      <c r="V576" s="62"/>
      <c r="W576" s="62">
        <v>141553.17449999999</v>
      </c>
      <c r="X576" s="62">
        <v>141553.17449999999</v>
      </c>
      <c r="Y576" s="62">
        <v>130123.01099999998</v>
      </c>
      <c r="Z576" s="62">
        <v>59893.969999999994</v>
      </c>
      <c r="AA576" s="62">
        <v>0</v>
      </c>
      <c r="AB576" s="62"/>
      <c r="AC576" s="62">
        <v>2665103.2241988475</v>
      </c>
      <c r="AD576" s="62">
        <v>2665103.2241988475</v>
      </c>
      <c r="AE576" s="62">
        <v>2302987.6774046095</v>
      </c>
      <c r="AF576" s="62">
        <v>78563.604239999986</v>
      </c>
      <c r="AG576" s="62">
        <v>0</v>
      </c>
      <c r="AH576" s="62"/>
      <c r="AI576" s="62">
        <v>0</v>
      </c>
      <c r="AJ576" s="62">
        <v>0</v>
      </c>
      <c r="AK576" s="62">
        <v>0</v>
      </c>
      <c r="AL576" s="62">
        <v>0</v>
      </c>
      <c r="AM576" s="62">
        <v>0</v>
      </c>
    </row>
    <row r="577" spans="1:39">
      <c r="A577" s="9">
        <v>96321</v>
      </c>
      <c r="B577" s="10" t="s">
        <v>1952</v>
      </c>
      <c r="C577" s="60">
        <v>3.6900000000000002E-5</v>
      </c>
      <c r="E577" s="62">
        <v>2513.4750892601114</v>
      </c>
      <c r="F577" s="62">
        <v>16124.35005374144</v>
      </c>
      <c r="G577" s="62">
        <v>7870.9913433744841</v>
      </c>
      <c r="H577" s="62">
        <v>-3925.5504200000018</v>
      </c>
      <c r="I577" s="62">
        <v>0</v>
      </c>
      <c r="J577" s="62"/>
      <c r="K577" s="62">
        <v>-222.02730000000003</v>
      </c>
      <c r="L577" s="62">
        <v>467.37540000000001</v>
      </c>
      <c r="M577" s="62">
        <v>867.2238000000001</v>
      </c>
      <c r="N577" s="62">
        <v>539.29349999999999</v>
      </c>
      <c r="O577" s="62">
        <v>0</v>
      </c>
      <c r="P577" s="62"/>
      <c r="Q577" s="62">
        <v>812.35350000000005</v>
      </c>
      <c r="R577" s="62">
        <v>13477.356000000002</v>
      </c>
      <c r="S577" s="62">
        <v>5157.2178000000004</v>
      </c>
      <c r="T577" s="62">
        <v>-5759.4996000000001</v>
      </c>
      <c r="U577" s="62">
        <v>0</v>
      </c>
      <c r="V577" s="62"/>
      <c r="W577" s="62">
        <v>2408.7213000000002</v>
      </c>
      <c r="X577" s="62">
        <v>2408.7213000000002</v>
      </c>
      <c r="Y577" s="62">
        <v>2214.2214000000004</v>
      </c>
      <c r="Z577" s="62">
        <v>1019.1780000000001</v>
      </c>
      <c r="AA577" s="62">
        <v>0</v>
      </c>
      <c r="AB577" s="62"/>
      <c r="AC577" s="62">
        <v>572.14565510373222</v>
      </c>
      <c r="AD577" s="62">
        <v>518.74541958506029</v>
      </c>
      <c r="AE577" s="62">
        <v>275.47767999999854</v>
      </c>
      <c r="AF577" s="62">
        <v>275.47767999999854</v>
      </c>
      <c r="AG577" s="62">
        <v>0</v>
      </c>
      <c r="AH577" s="62"/>
      <c r="AI577" s="62">
        <v>-1057.7180658436207</v>
      </c>
      <c r="AJ577" s="62">
        <v>-747.8480658436207</v>
      </c>
      <c r="AK577" s="62">
        <v>-643.14933662551402</v>
      </c>
      <c r="AL577" s="62">
        <v>0</v>
      </c>
      <c r="AM577" s="62">
        <v>0</v>
      </c>
    </row>
    <row r="578" spans="1:39">
      <c r="A578" s="9">
        <v>96331</v>
      </c>
      <c r="B578" s="10" t="s">
        <v>1953</v>
      </c>
      <c r="C578" s="60">
        <v>7.0850000000000004E-4</v>
      </c>
      <c r="E578" s="62">
        <v>35356.557013911486</v>
      </c>
      <c r="F578" s="62">
        <v>300859.19251266669</v>
      </c>
      <c r="G578" s="62">
        <v>145372.45350534981</v>
      </c>
      <c r="H578" s="62">
        <v>-82902.490099999995</v>
      </c>
      <c r="I578" s="62">
        <v>0</v>
      </c>
      <c r="J578" s="62"/>
      <c r="K578" s="62">
        <v>-4263.0445</v>
      </c>
      <c r="L578" s="62">
        <v>8973.8610000000008</v>
      </c>
      <c r="M578" s="62">
        <v>16651.167000000001</v>
      </c>
      <c r="N578" s="62">
        <v>10354.727500000001</v>
      </c>
      <c r="O578" s="62">
        <v>0</v>
      </c>
      <c r="P578" s="62"/>
      <c r="Q578" s="62">
        <v>15597.627500000001</v>
      </c>
      <c r="R578" s="62">
        <v>258772.54</v>
      </c>
      <c r="S578" s="62">
        <v>99021.377000000008</v>
      </c>
      <c r="T578" s="62">
        <v>-110585.51400000001</v>
      </c>
      <c r="U578" s="62">
        <v>0</v>
      </c>
      <c r="V578" s="62"/>
      <c r="W578" s="62">
        <v>46248.754500000003</v>
      </c>
      <c r="X578" s="62">
        <v>46248.754500000003</v>
      </c>
      <c r="Y578" s="62">
        <v>42514.251000000004</v>
      </c>
      <c r="Z578" s="62">
        <v>19568.77</v>
      </c>
      <c r="AA578" s="62">
        <v>0</v>
      </c>
      <c r="AB578" s="62"/>
      <c r="AC578" s="62">
        <v>1706.958340248927</v>
      </c>
      <c r="AD578" s="62">
        <v>1399.7058390041207</v>
      </c>
      <c r="AE578" s="62">
        <v>0</v>
      </c>
      <c r="AF578" s="62">
        <v>0</v>
      </c>
      <c r="AG578" s="62">
        <v>0</v>
      </c>
      <c r="AH578" s="62"/>
      <c r="AI578" s="62">
        <v>-23933.738826337445</v>
      </c>
      <c r="AJ578" s="62">
        <v>-14535.668826337445</v>
      </c>
      <c r="AK578" s="62">
        <v>-12814.341494650202</v>
      </c>
      <c r="AL578" s="62">
        <v>-2240.4735999999803</v>
      </c>
      <c r="AM578" s="62">
        <v>0</v>
      </c>
    </row>
    <row r="579" spans="1:39">
      <c r="A579" s="9">
        <v>96341</v>
      </c>
      <c r="B579" s="10" t="s">
        <v>1954</v>
      </c>
      <c r="C579" s="60">
        <v>8.3800000000000004E-5</v>
      </c>
      <c r="E579" s="62">
        <v>3777.3513961982771</v>
      </c>
      <c r="F579" s="62">
        <v>38935.037425741852</v>
      </c>
      <c r="G579" s="62">
        <v>17092.191847572009</v>
      </c>
      <c r="H579" s="62">
        <v>-11535.051080000007</v>
      </c>
      <c r="I579" s="62">
        <v>0</v>
      </c>
      <c r="J579" s="62"/>
      <c r="K579" s="62">
        <v>-504.22460000000001</v>
      </c>
      <c r="L579" s="62">
        <v>1061.4108000000001</v>
      </c>
      <c r="M579" s="62">
        <v>1969.4676000000002</v>
      </c>
      <c r="N579" s="62">
        <v>1224.7370000000001</v>
      </c>
      <c r="O579" s="62">
        <v>0</v>
      </c>
      <c r="P579" s="62"/>
      <c r="Q579" s="62">
        <v>1844.8570000000002</v>
      </c>
      <c r="R579" s="62">
        <v>30607.112000000001</v>
      </c>
      <c r="S579" s="62">
        <v>11712.0556</v>
      </c>
      <c r="T579" s="62">
        <v>-13079.8392</v>
      </c>
      <c r="U579" s="62">
        <v>0</v>
      </c>
      <c r="V579" s="62"/>
      <c r="W579" s="62">
        <v>5470.2125999999998</v>
      </c>
      <c r="X579" s="62">
        <v>5470.2125999999998</v>
      </c>
      <c r="Y579" s="62">
        <v>5028.5028000000002</v>
      </c>
      <c r="Z579" s="62">
        <v>2314.556</v>
      </c>
      <c r="AA579" s="62">
        <v>0</v>
      </c>
      <c r="AB579" s="62"/>
      <c r="AC579" s="62">
        <v>4526.7912761982861</v>
      </c>
      <c r="AD579" s="62">
        <v>3790.8069057418556</v>
      </c>
      <c r="AE579" s="62">
        <v>376.67072757201657</v>
      </c>
      <c r="AF579" s="62">
        <v>0</v>
      </c>
      <c r="AG579" s="62">
        <v>0</v>
      </c>
      <c r="AH579" s="62"/>
      <c r="AI579" s="62">
        <v>-7560.2848800000083</v>
      </c>
      <c r="AJ579" s="62">
        <v>-1994.5048800000063</v>
      </c>
      <c r="AK579" s="62">
        <v>-1994.5048800000063</v>
      </c>
      <c r="AL579" s="62">
        <v>-1994.5048800000063</v>
      </c>
      <c r="AM579" s="62">
        <v>0</v>
      </c>
    </row>
    <row r="580" spans="1:39">
      <c r="A580" s="9">
        <v>96351</v>
      </c>
      <c r="B580" s="10" t="s">
        <v>1955</v>
      </c>
      <c r="C580" s="60">
        <v>1.0616E-3</v>
      </c>
      <c r="E580" s="62">
        <v>81040.051154547429</v>
      </c>
      <c r="F580" s="62">
        <v>462617.96432699548</v>
      </c>
      <c r="G580" s="62">
        <v>228805.16537185182</v>
      </c>
      <c r="H580" s="62">
        <v>-122658.08888000008</v>
      </c>
      <c r="I580" s="62">
        <v>0</v>
      </c>
      <c r="J580" s="62"/>
      <c r="K580" s="62">
        <v>-6387.6472000000003</v>
      </c>
      <c r="L580" s="62">
        <v>13446.2256</v>
      </c>
      <c r="M580" s="62">
        <v>24949.7232</v>
      </c>
      <c r="N580" s="62">
        <v>15515.284</v>
      </c>
      <c r="O580" s="62">
        <v>0</v>
      </c>
      <c r="P580" s="62"/>
      <c r="Q580" s="62">
        <v>23371.124</v>
      </c>
      <c r="R580" s="62">
        <v>387738.78399999999</v>
      </c>
      <c r="S580" s="62">
        <v>148371.33919999999</v>
      </c>
      <c r="T580" s="62">
        <v>-165698.77439999999</v>
      </c>
      <c r="U580" s="62">
        <v>0</v>
      </c>
      <c r="V580" s="62"/>
      <c r="W580" s="62">
        <v>69298.063200000004</v>
      </c>
      <c r="X580" s="62">
        <v>69298.063200000004</v>
      </c>
      <c r="Y580" s="62">
        <v>63702.369599999998</v>
      </c>
      <c r="Z580" s="62">
        <v>29321.392</v>
      </c>
      <c r="AA580" s="62">
        <v>0</v>
      </c>
      <c r="AB580" s="62"/>
      <c r="AC580" s="62">
        <v>4022.2645975104142</v>
      </c>
      <c r="AD580" s="62">
        <v>1398.6449699585398</v>
      </c>
      <c r="AE580" s="62">
        <v>0</v>
      </c>
      <c r="AF580" s="62">
        <v>0</v>
      </c>
      <c r="AG580" s="62">
        <v>0</v>
      </c>
      <c r="AH580" s="62"/>
      <c r="AI580" s="62">
        <v>-9263.7534429629814</v>
      </c>
      <c r="AJ580" s="62">
        <v>-9263.7534429629814</v>
      </c>
      <c r="AK580" s="62">
        <v>-8218.2666281481761</v>
      </c>
      <c r="AL580" s="62">
        <v>-1795.9904800000718</v>
      </c>
      <c r="AM580" s="62">
        <v>0</v>
      </c>
    </row>
    <row r="581" spans="1:39">
      <c r="A581" s="9">
        <v>96361</v>
      </c>
      <c r="B581" s="10" t="s">
        <v>1956</v>
      </c>
      <c r="C581" s="60">
        <v>5.5699999999999999E-5</v>
      </c>
      <c r="E581" s="62">
        <v>5452.1930010542528</v>
      </c>
      <c r="F581" s="62">
        <v>24610.694410597818</v>
      </c>
      <c r="G581" s="62">
        <v>12358.455128148145</v>
      </c>
      <c r="H581" s="62">
        <v>-7134.1528199999993</v>
      </c>
      <c r="I581" s="62">
        <v>0</v>
      </c>
      <c r="J581" s="62"/>
      <c r="K581" s="62">
        <v>-335.14690000000002</v>
      </c>
      <c r="L581" s="62">
        <v>705.49619999999993</v>
      </c>
      <c r="M581" s="62">
        <v>1309.0614</v>
      </c>
      <c r="N581" s="62">
        <v>814.05549999999994</v>
      </c>
      <c r="O581" s="62">
        <v>0</v>
      </c>
      <c r="P581" s="62"/>
      <c r="Q581" s="62">
        <v>1226.2355</v>
      </c>
      <c r="R581" s="62">
        <v>20343.867999999999</v>
      </c>
      <c r="S581" s="62">
        <v>7784.7433999999994</v>
      </c>
      <c r="T581" s="62">
        <v>-8693.8788000000004</v>
      </c>
      <c r="U581" s="62">
        <v>0</v>
      </c>
      <c r="V581" s="62"/>
      <c r="W581" s="62">
        <v>3635.9288999999999</v>
      </c>
      <c r="X581" s="62">
        <v>3635.9288999999999</v>
      </c>
      <c r="Y581" s="62">
        <v>3342.3341999999998</v>
      </c>
      <c r="Z581" s="62">
        <v>1538.434</v>
      </c>
      <c r="AA581" s="62">
        <v>0</v>
      </c>
      <c r="AB581" s="62"/>
      <c r="AC581" s="62">
        <v>1856.1379629629621</v>
      </c>
      <c r="AD581" s="62">
        <v>831.48796296296177</v>
      </c>
      <c r="AE581" s="62">
        <v>715.07964814814738</v>
      </c>
      <c r="AF581" s="62">
        <v>0</v>
      </c>
      <c r="AG581" s="62">
        <v>0</v>
      </c>
      <c r="AH581" s="62"/>
      <c r="AI581" s="62">
        <v>-930.96246190870909</v>
      </c>
      <c r="AJ581" s="62">
        <v>-906.08665236514139</v>
      </c>
      <c r="AK581" s="62">
        <v>-792.76351999999963</v>
      </c>
      <c r="AL581" s="62">
        <v>-792.76351999999963</v>
      </c>
      <c r="AM581" s="62">
        <v>0</v>
      </c>
    </row>
    <row r="582" spans="1:39">
      <c r="A582" s="9">
        <v>96371</v>
      </c>
      <c r="B582" s="10" t="s">
        <v>1957</v>
      </c>
      <c r="C582" s="60">
        <v>1.5249999999999999E-4</v>
      </c>
      <c r="E582" s="62">
        <v>9223.2195231504484</v>
      </c>
      <c r="F582" s="62">
        <v>63194.738819250037</v>
      </c>
      <c r="G582" s="62">
        <v>30386.472238518509</v>
      </c>
      <c r="H582" s="62">
        <v>-19769.426980000004</v>
      </c>
      <c r="I582" s="62">
        <v>0</v>
      </c>
      <c r="J582" s="62"/>
      <c r="K582" s="62">
        <v>-917.59249999999997</v>
      </c>
      <c r="L582" s="62">
        <v>1931.5649999999998</v>
      </c>
      <c r="M582" s="62">
        <v>3584.0549999999998</v>
      </c>
      <c r="N582" s="62">
        <v>2228.7874999999999</v>
      </c>
      <c r="O582" s="62">
        <v>0</v>
      </c>
      <c r="P582" s="62"/>
      <c r="Q582" s="62">
        <v>3357.2874999999999</v>
      </c>
      <c r="R582" s="62">
        <v>55699.1</v>
      </c>
      <c r="S582" s="62">
        <v>21313.704999999998</v>
      </c>
      <c r="T582" s="62">
        <v>-23802.809999999998</v>
      </c>
      <c r="U582" s="62">
        <v>0</v>
      </c>
      <c r="V582" s="62"/>
      <c r="W582" s="62">
        <v>9954.7425000000003</v>
      </c>
      <c r="X582" s="62">
        <v>9954.7425000000003</v>
      </c>
      <c r="Y582" s="62">
        <v>9150.9149999999991</v>
      </c>
      <c r="Z582" s="62">
        <v>4212.05</v>
      </c>
      <c r="AA582" s="62">
        <v>0</v>
      </c>
      <c r="AB582" s="62"/>
      <c r="AC582" s="62">
        <v>1334.5200000000002</v>
      </c>
      <c r="AD582" s="62">
        <v>0</v>
      </c>
      <c r="AE582" s="62">
        <v>0</v>
      </c>
      <c r="AF582" s="62">
        <v>0</v>
      </c>
      <c r="AG582" s="62">
        <v>0</v>
      </c>
      <c r="AH582" s="62"/>
      <c r="AI582" s="62">
        <v>-4505.737976849553</v>
      </c>
      <c r="AJ582" s="62">
        <v>-4390.6686807499673</v>
      </c>
      <c r="AK582" s="62">
        <v>-3662.2027614814851</v>
      </c>
      <c r="AL582" s="62">
        <v>-2407.4544800000031</v>
      </c>
      <c r="AM582" s="62">
        <v>0</v>
      </c>
    </row>
    <row r="583" spans="1:39">
      <c r="A583" s="9">
        <v>96381</v>
      </c>
      <c r="B583" s="10" t="s">
        <v>1958</v>
      </c>
      <c r="C583" s="60">
        <v>3.2100000000000001E-5</v>
      </c>
      <c r="E583" s="62">
        <v>1449.2023951583715</v>
      </c>
      <c r="F583" s="62">
        <v>13659.701586444678</v>
      </c>
      <c r="G583" s="62">
        <v>7229.3947463374443</v>
      </c>
      <c r="H583" s="62">
        <v>-3614.262580000006</v>
      </c>
      <c r="I583" s="62">
        <v>0</v>
      </c>
      <c r="J583" s="62"/>
      <c r="K583" s="62">
        <v>-193.14570000000001</v>
      </c>
      <c r="L583" s="62">
        <v>406.57859999999999</v>
      </c>
      <c r="M583" s="62">
        <v>754.41420000000005</v>
      </c>
      <c r="N583" s="62">
        <v>469.14150000000001</v>
      </c>
      <c r="O583" s="62">
        <v>0</v>
      </c>
      <c r="P583" s="62"/>
      <c r="Q583" s="62">
        <v>706.68150000000003</v>
      </c>
      <c r="R583" s="62">
        <v>11724.204</v>
      </c>
      <c r="S583" s="62">
        <v>4486.3602000000001</v>
      </c>
      <c r="T583" s="62">
        <v>-5010.2964000000002</v>
      </c>
      <c r="U583" s="62">
        <v>0</v>
      </c>
      <c r="V583" s="62"/>
      <c r="W583" s="62">
        <v>2095.3917000000001</v>
      </c>
      <c r="X583" s="62">
        <v>2095.3917000000001</v>
      </c>
      <c r="Y583" s="62">
        <v>1926.1926000000001</v>
      </c>
      <c r="Z583" s="62">
        <v>886.60199999999998</v>
      </c>
      <c r="AA583" s="62">
        <v>0</v>
      </c>
      <c r="AB583" s="62"/>
      <c r="AC583" s="62">
        <v>66.031513415633071</v>
      </c>
      <c r="AD583" s="62">
        <v>66.031513415633071</v>
      </c>
      <c r="AE583" s="62">
        <v>62.427746337443693</v>
      </c>
      <c r="AF583" s="62">
        <v>40.290319999994608</v>
      </c>
      <c r="AG583" s="62">
        <v>0</v>
      </c>
      <c r="AH583" s="62"/>
      <c r="AI583" s="62">
        <v>-1225.7566182572618</v>
      </c>
      <c r="AJ583" s="62">
        <v>-632.50422697095485</v>
      </c>
      <c r="AK583" s="62">
        <v>0</v>
      </c>
      <c r="AL583" s="62">
        <v>0</v>
      </c>
      <c r="AM583" s="62">
        <v>0</v>
      </c>
    </row>
    <row r="584" spans="1:39">
      <c r="A584" s="9">
        <v>96391</v>
      </c>
      <c r="B584" s="10" t="s">
        <v>1959</v>
      </c>
      <c r="C584" s="60">
        <v>2.029E-4</v>
      </c>
      <c r="E584" s="62">
        <v>18399.169591015147</v>
      </c>
      <c r="F584" s="62">
        <v>82770.643879313895</v>
      </c>
      <c r="G584" s="62">
        <v>42171.568929300411</v>
      </c>
      <c r="H584" s="62">
        <v>-23104.683859999997</v>
      </c>
      <c r="I584" s="62">
        <v>0</v>
      </c>
      <c r="J584" s="62"/>
      <c r="K584" s="62">
        <v>-1220.8493000000001</v>
      </c>
      <c r="L584" s="62">
        <v>2569.9313999999999</v>
      </c>
      <c r="M584" s="62">
        <v>4768.5558000000001</v>
      </c>
      <c r="N584" s="62">
        <v>2965.3834999999999</v>
      </c>
      <c r="O584" s="62">
        <v>0</v>
      </c>
      <c r="P584" s="62"/>
      <c r="Q584" s="62">
        <v>4466.8434999999999</v>
      </c>
      <c r="R584" s="62">
        <v>74107.195999999996</v>
      </c>
      <c r="S584" s="62">
        <v>28357.709800000001</v>
      </c>
      <c r="T584" s="62">
        <v>-31669.443599999999</v>
      </c>
      <c r="U584" s="62">
        <v>0</v>
      </c>
      <c r="V584" s="62"/>
      <c r="W584" s="62">
        <v>13244.703299999999</v>
      </c>
      <c r="X584" s="62">
        <v>13244.703299999999</v>
      </c>
      <c r="Y584" s="62">
        <v>12175.2174</v>
      </c>
      <c r="Z584" s="62">
        <v>5604.098</v>
      </c>
      <c r="AA584" s="62">
        <v>0</v>
      </c>
      <c r="AB584" s="62"/>
      <c r="AC584" s="62">
        <v>9830.7000000000025</v>
      </c>
      <c r="AD584" s="62">
        <v>0</v>
      </c>
      <c r="AE584" s="62">
        <v>0</v>
      </c>
      <c r="AF584" s="62">
        <v>0</v>
      </c>
      <c r="AG584" s="62">
        <v>0</v>
      </c>
      <c r="AH584" s="62"/>
      <c r="AI584" s="62">
        <v>-7922.2279089848535</v>
      </c>
      <c r="AJ584" s="62">
        <v>-7151.1868206861</v>
      </c>
      <c r="AK584" s="62">
        <v>-3129.914070699589</v>
      </c>
      <c r="AL584" s="62">
        <v>-4.7217600000003586</v>
      </c>
      <c r="AM584" s="62">
        <v>0</v>
      </c>
    </row>
    <row r="585" spans="1:39">
      <c r="A585" s="9">
        <v>96401</v>
      </c>
      <c r="B585" s="10" t="s">
        <v>1960</v>
      </c>
      <c r="C585" s="60">
        <v>4.5672000000000004E-3</v>
      </c>
      <c r="E585" s="62">
        <v>360191.32977909246</v>
      </c>
      <c r="F585" s="62">
        <v>1998587.1896203374</v>
      </c>
      <c r="G585" s="62">
        <v>1000974.4365226339</v>
      </c>
      <c r="H585" s="62">
        <v>-535116.65879999998</v>
      </c>
      <c r="I585" s="62">
        <v>0</v>
      </c>
      <c r="J585" s="62"/>
      <c r="K585" s="62">
        <v>-27480.842400000001</v>
      </c>
      <c r="L585" s="62">
        <v>57848.155200000008</v>
      </c>
      <c r="M585" s="62">
        <v>107338.33440000001</v>
      </c>
      <c r="N585" s="62">
        <v>66749.628000000012</v>
      </c>
      <c r="O585" s="62">
        <v>0</v>
      </c>
      <c r="P585" s="62"/>
      <c r="Q585" s="62">
        <v>100546.90800000001</v>
      </c>
      <c r="R585" s="62">
        <v>1668124.1280000003</v>
      </c>
      <c r="S585" s="62">
        <v>638321.00640000007</v>
      </c>
      <c r="T585" s="62">
        <v>-712866.84480000008</v>
      </c>
      <c r="U585" s="62">
        <v>0</v>
      </c>
      <c r="V585" s="62"/>
      <c r="W585" s="62">
        <v>298133.11440000002</v>
      </c>
      <c r="X585" s="62">
        <v>298133.11440000002</v>
      </c>
      <c r="Y585" s="62">
        <v>274059.4032</v>
      </c>
      <c r="Z585" s="62">
        <v>126146.06400000001</v>
      </c>
      <c r="AA585" s="62">
        <v>0</v>
      </c>
      <c r="AB585" s="62"/>
      <c r="AC585" s="62">
        <v>15868.710000000003</v>
      </c>
      <c r="AD585" s="62">
        <v>0</v>
      </c>
      <c r="AE585" s="62">
        <v>0</v>
      </c>
      <c r="AF585" s="62">
        <v>0</v>
      </c>
      <c r="AG585" s="62">
        <v>0</v>
      </c>
      <c r="AH585" s="62"/>
      <c r="AI585" s="62">
        <v>-26876.560220907606</v>
      </c>
      <c r="AJ585" s="62">
        <v>-25518.207979662766</v>
      </c>
      <c r="AK585" s="62">
        <v>-18744.307477366288</v>
      </c>
      <c r="AL585" s="62">
        <v>-15145.505999999959</v>
      </c>
      <c r="AM585" s="62">
        <v>0</v>
      </c>
    </row>
    <row r="586" spans="1:39">
      <c r="A586" s="9">
        <v>96404</v>
      </c>
      <c r="B586" s="10" t="s">
        <v>1961</v>
      </c>
      <c r="C586" s="60">
        <v>1.026E-4</v>
      </c>
      <c r="E586" s="62">
        <v>18860.241105153087</v>
      </c>
      <c r="F586" s="62">
        <v>53658.140024655164</v>
      </c>
      <c r="G586" s="62">
        <v>28394.184123786014</v>
      </c>
      <c r="H586" s="62">
        <v>-8893.4252399999968</v>
      </c>
      <c r="I586" s="62">
        <v>0</v>
      </c>
      <c r="J586" s="62"/>
      <c r="K586" s="62">
        <v>-617.3442</v>
      </c>
      <c r="L586" s="62">
        <v>1299.5316</v>
      </c>
      <c r="M586" s="62">
        <v>2411.3051999999998</v>
      </c>
      <c r="N586" s="62">
        <v>1499.499</v>
      </c>
      <c r="O586" s="62">
        <v>0</v>
      </c>
      <c r="P586" s="62"/>
      <c r="Q586" s="62">
        <v>2258.739</v>
      </c>
      <c r="R586" s="62">
        <v>37473.624000000003</v>
      </c>
      <c r="S586" s="62">
        <v>14339.581200000001</v>
      </c>
      <c r="T586" s="62">
        <v>-16014.2184</v>
      </c>
      <c r="U586" s="62">
        <v>0</v>
      </c>
      <c r="V586" s="62"/>
      <c r="W586" s="62">
        <v>6697.4201999999996</v>
      </c>
      <c r="X586" s="62">
        <v>6697.4201999999996</v>
      </c>
      <c r="Y586" s="62">
        <v>6156.6156000000001</v>
      </c>
      <c r="Z586" s="62">
        <v>2833.8119999999999</v>
      </c>
      <c r="AA586" s="62">
        <v>0</v>
      </c>
      <c r="AB586" s="62"/>
      <c r="AC586" s="62">
        <v>10521.426105153087</v>
      </c>
      <c r="AD586" s="62">
        <v>8187.5642246551606</v>
      </c>
      <c r="AE586" s="62">
        <v>5486.6821237860113</v>
      </c>
      <c r="AF586" s="62">
        <v>2787.4821600000023</v>
      </c>
      <c r="AG586" s="62">
        <v>0</v>
      </c>
      <c r="AH586" s="62"/>
      <c r="AI586" s="62">
        <v>0</v>
      </c>
      <c r="AJ586" s="62">
        <v>0</v>
      </c>
      <c r="AK586" s="62">
        <v>0</v>
      </c>
      <c r="AL586" s="62">
        <v>0</v>
      </c>
      <c r="AM586" s="62">
        <v>0</v>
      </c>
    </row>
    <row r="587" spans="1:39">
      <c r="A587" s="9">
        <v>96405</v>
      </c>
      <c r="B587" s="10" t="s">
        <v>1962</v>
      </c>
      <c r="C587" s="60">
        <v>1.6139999999999999E-4</v>
      </c>
      <c r="E587" s="62">
        <v>17480.783615203443</v>
      </c>
      <c r="F587" s="62">
        <v>75753.025679103856</v>
      </c>
      <c r="G587" s="62">
        <v>35677.753008065833</v>
      </c>
      <c r="H587" s="62">
        <v>-18586.204280000009</v>
      </c>
      <c r="I587" s="62">
        <v>0</v>
      </c>
      <c r="J587" s="62"/>
      <c r="K587" s="62">
        <v>-971.14379999999994</v>
      </c>
      <c r="L587" s="62">
        <v>2044.2923999999998</v>
      </c>
      <c r="M587" s="62">
        <v>3793.2228</v>
      </c>
      <c r="N587" s="62">
        <v>2358.8609999999999</v>
      </c>
      <c r="O587" s="62">
        <v>0</v>
      </c>
      <c r="P587" s="62"/>
      <c r="Q587" s="62">
        <v>3553.221</v>
      </c>
      <c r="R587" s="62">
        <v>58949.735999999997</v>
      </c>
      <c r="S587" s="62">
        <v>22557.586799999997</v>
      </c>
      <c r="T587" s="62">
        <v>-25191.957599999998</v>
      </c>
      <c r="U587" s="62">
        <v>0</v>
      </c>
      <c r="V587" s="62"/>
      <c r="W587" s="62">
        <v>10535.7078</v>
      </c>
      <c r="X587" s="62">
        <v>10535.7078</v>
      </c>
      <c r="Y587" s="62">
        <v>9684.9683999999997</v>
      </c>
      <c r="Z587" s="62">
        <v>4457.8679999999995</v>
      </c>
      <c r="AA587" s="62">
        <v>0</v>
      </c>
      <c r="AB587" s="62"/>
      <c r="AC587" s="62">
        <v>5616.1618672199111</v>
      </c>
      <c r="AD587" s="62">
        <v>4605.2527311203285</v>
      </c>
      <c r="AE587" s="62">
        <v>0</v>
      </c>
      <c r="AF587" s="62">
        <v>0</v>
      </c>
      <c r="AG587" s="62">
        <v>0</v>
      </c>
      <c r="AH587" s="62"/>
      <c r="AI587" s="62">
        <v>-1253.1632520164694</v>
      </c>
      <c r="AJ587" s="62">
        <v>-381.96325201646914</v>
      </c>
      <c r="AK587" s="62">
        <v>-358.0249919341652</v>
      </c>
      <c r="AL587" s="62">
        <v>-210.97568000001183</v>
      </c>
      <c r="AM587" s="62">
        <v>0</v>
      </c>
    </row>
    <row r="588" spans="1:39">
      <c r="A588" s="9">
        <v>96411</v>
      </c>
      <c r="B588" s="10" t="s">
        <v>1963</v>
      </c>
      <c r="C588" s="60">
        <v>7.2299999999999996E-5</v>
      </c>
      <c r="E588" s="62">
        <v>8415.3059656277856</v>
      </c>
      <c r="F588" s="62">
        <v>35154.020756748119</v>
      </c>
      <c r="G588" s="62">
        <v>17017.901112592597</v>
      </c>
      <c r="H588" s="62">
        <v>-6481.1755799999964</v>
      </c>
      <c r="I588" s="62">
        <v>0</v>
      </c>
      <c r="J588" s="62"/>
      <c r="K588" s="62">
        <v>-435.02909999999997</v>
      </c>
      <c r="L588" s="62">
        <v>915.75179999999989</v>
      </c>
      <c r="M588" s="62">
        <v>1699.1945999999998</v>
      </c>
      <c r="N588" s="62">
        <v>1056.6644999999999</v>
      </c>
      <c r="O588" s="62">
        <v>0</v>
      </c>
      <c r="P588" s="62"/>
      <c r="Q588" s="62">
        <v>1591.6844999999998</v>
      </c>
      <c r="R588" s="62">
        <v>26406.851999999999</v>
      </c>
      <c r="S588" s="62">
        <v>10104.792599999999</v>
      </c>
      <c r="T588" s="62">
        <v>-11284.8732</v>
      </c>
      <c r="U588" s="62">
        <v>0</v>
      </c>
      <c r="V588" s="62"/>
      <c r="W588" s="62">
        <v>4719.5270999999993</v>
      </c>
      <c r="X588" s="62">
        <v>4719.5270999999993</v>
      </c>
      <c r="Y588" s="62">
        <v>4338.4337999999998</v>
      </c>
      <c r="Z588" s="62">
        <v>1996.9259999999999</v>
      </c>
      <c r="AA588" s="62">
        <v>0</v>
      </c>
      <c r="AB588" s="62"/>
      <c r="AC588" s="62">
        <v>4651.0716137759346</v>
      </c>
      <c r="AD588" s="62">
        <v>4128.8980048962676</v>
      </c>
      <c r="AE588" s="62">
        <v>1750.1071200000033</v>
      </c>
      <c r="AF588" s="62">
        <v>1750.1071200000033</v>
      </c>
      <c r="AG588" s="62">
        <v>0</v>
      </c>
      <c r="AH588" s="62"/>
      <c r="AI588" s="62">
        <v>-2111.9481481481471</v>
      </c>
      <c r="AJ588" s="62">
        <v>-1017.008148148147</v>
      </c>
      <c r="AK588" s="62">
        <v>-874.62700740740672</v>
      </c>
      <c r="AL588" s="62">
        <v>0</v>
      </c>
      <c r="AM588" s="62">
        <v>0</v>
      </c>
    </row>
    <row r="589" spans="1:39">
      <c r="A589" s="9">
        <v>96421</v>
      </c>
      <c r="B589" s="10" t="s">
        <v>1964</v>
      </c>
      <c r="C589" s="60">
        <v>4.2529999999999998E-4</v>
      </c>
      <c r="E589" s="62">
        <v>-491.89591820331407</v>
      </c>
      <c r="F589" s="62">
        <v>164363.8973203029</v>
      </c>
      <c r="G589" s="62">
        <v>80896.588706008217</v>
      </c>
      <c r="H589" s="62">
        <v>-53942.084180000005</v>
      </c>
      <c r="I589" s="62">
        <v>0</v>
      </c>
      <c r="J589" s="62"/>
      <c r="K589" s="62">
        <v>-2559.0300999999999</v>
      </c>
      <c r="L589" s="62">
        <v>5386.8498</v>
      </c>
      <c r="M589" s="62">
        <v>9995.400599999999</v>
      </c>
      <c r="N589" s="62">
        <v>6215.7595000000001</v>
      </c>
      <c r="O589" s="62">
        <v>0</v>
      </c>
      <c r="P589" s="62"/>
      <c r="Q589" s="62">
        <v>9362.9794999999995</v>
      </c>
      <c r="R589" s="62">
        <v>155336.57199999999</v>
      </c>
      <c r="S589" s="62">
        <v>59440.778599999998</v>
      </c>
      <c r="T589" s="62">
        <v>-66382.525200000004</v>
      </c>
      <c r="U589" s="62">
        <v>0</v>
      </c>
      <c r="V589" s="62"/>
      <c r="W589" s="62">
        <v>27762.308099999998</v>
      </c>
      <c r="X589" s="62">
        <v>27762.308099999998</v>
      </c>
      <c r="Y589" s="62">
        <v>25520.551799999997</v>
      </c>
      <c r="Z589" s="62">
        <v>11746.786</v>
      </c>
      <c r="AA589" s="62">
        <v>0</v>
      </c>
      <c r="AB589" s="62"/>
      <c r="AC589" s="62">
        <v>0</v>
      </c>
      <c r="AD589" s="62">
        <v>0</v>
      </c>
      <c r="AE589" s="62">
        <v>0</v>
      </c>
      <c r="AF589" s="62">
        <v>0</v>
      </c>
      <c r="AG589" s="62">
        <v>0</v>
      </c>
      <c r="AH589" s="62"/>
      <c r="AI589" s="62">
        <v>-35058.153418203314</v>
      </c>
      <c r="AJ589" s="62">
        <v>-24121.832579697089</v>
      </c>
      <c r="AK589" s="62">
        <v>-14060.142293991779</v>
      </c>
      <c r="AL589" s="62">
        <v>-5522.1044800000036</v>
      </c>
      <c r="AM589" s="62">
        <v>0</v>
      </c>
    </row>
    <row r="590" spans="1:39">
      <c r="A590" s="9">
        <v>96431</v>
      </c>
      <c r="B590" s="10" t="s">
        <v>1965</v>
      </c>
      <c r="C590" s="60">
        <v>4.2799999999999997E-5</v>
      </c>
      <c r="E590" s="62">
        <v>1893.056664237829</v>
      </c>
      <c r="F590" s="62">
        <v>18609.850519756499</v>
      </c>
      <c r="G590" s="62">
        <v>9542.145342633743</v>
      </c>
      <c r="H590" s="62">
        <v>-6773.9056800000008</v>
      </c>
      <c r="I590" s="62">
        <v>0</v>
      </c>
      <c r="J590" s="62"/>
      <c r="K590" s="62">
        <v>-257.52760000000001</v>
      </c>
      <c r="L590" s="62">
        <v>542.10479999999995</v>
      </c>
      <c r="M590" s="62">
        <v>1005.8856</v>
      </c>
      <c r="N590" s="62">
        <v>625.52199999999993</v>
      </c>
      <c r="O590" s="62">
        <v>0</v>
      </c>
      <c r="P590" s="62"/>
      <c r="Q590" s="62">
        <v>942.24199999999996</v>
      </c>
      <c r="R590" s="62">
        <v>15632.271999999999</v>
      </c>
      <c r="S590" s="62">
        <v>5981.8135999999995</v>
      </c>
      <c r="T590" s="62">
        <v>-6680.3951999999999</v>
      </c>
      <c r="U590" s="62">
        <v>0</v>
      </c>
      <c r="V590" s="62"/>
      <c r="W590" s="62">
        <v>2793.8555999999999</v>
      </c>
      <c r="X590" s="62">
        <v>2793.8555999999999</v>
      </c>
      <c r="Y590" s="62">
        <v>2568.2567999999997</v>
      </c>
      <c r="Z590" s="62">
        <v>1182.136</v>
      </c>
      <c r="AA590" s="62">
        <v>0</v>
      </c>
      <c r="AB590" s="62"/>
      <c r="AC590" s="62">
        <v>2194.6021193415645</v>
      </c>
      <c r="AD590" s="62">
        <v>2194.6021193415645</v>
      </c>
      <c r="AE590" s="62">
        <v>1887.3578226337461</v>
      </c>
      <c r="AF590" s="62">
        <v>0</v>
      </c>
      <c r="AG590" s="62">
        <v>0</v>
      </c>
      <c r="AH590" s="62"/>
      <c r="AI590" s="62">
        <v>-3780.1154551037353</v>
      </c>
      <c r="AJ590" s="62">
        <v>-2552.9839995850634</v>
      </c>
      <c r="AK590" s="62">
        <v>-1901.1684800000012</v>
      </c>
      <c r="AL590" s="62">
        <v>-1901.1684800000012</v>
      </c>
      <c r="AM590" s="62">
        <v>0</v>
      </c>
    </row>
    <row r="591" spans="1:39">
      <c r="A591" s="9">
        <v>96441</v>
      </c>
      <c r="B591" s="10" t="s">
        <v>1966</v>
      </c>
      <c r="C591" s="60">
        <v>2.97E-5</v>
      </c>
      <c r="E591" s="62">
        <v>5232.423249208884</v>
      </c>
      <c r="F591" s="62">
        <v>15893.716244810545</v>
      </c>
      <c r="G591" s="62">
        <v>7367.533278683125</v>
      </c>
      <c r="H591" s="62">
        <v>-2618.3454600000032</v>
      </c>
      <c r="I591" s="62">
        <v>0</v>
      </c>
      <c r="J591" s="62"/>
      <c r="K591" s="62">
        <v>-178.70490000000001</v>
      </c>
      <c r="L591" s="62">
        <v>376.18020000000001</v>
      </c>
      <c r="M591" s="62">
        <v>698.00940000000003</v>
      </c>
      <c r="N591" s="62">
        <v>434.06549999999999</v>
      </c>
      <c r="O591" s="62">
        <v>0</v>
      </c>
      <c r="P591" s="62"/>
      <c r="Q591" s="62">
        <v>653.84550000000002</v>
      </c>
      <c r="R591" s="62">
        <v>10847.628000000001</v>
      </c>
      <c r="S591" s="62">
        <v>4150.9314000000004</v>
      </c>
      <c r="T591" s="62">
        <v>-4635.6948000000002</v>
      </c>
      <c r="U591" s="62">
        <v>0</v>
      </c>
      <c r="V591" s="62"/>
      <c r="W591" s="62">
        <v>1938.7269000000001</v>
      </c>
      <c r="X591" s="62">
        <v>1938.7269000000001</v>
      </c>
      <c r="Y591" s="62">
        <v>1782.1782000000001</v>
      </c>
      <c r="Z591" s="62">
        <v>820.31399999999996</v>
      </c>
      <c r="AA591" s="62">
        <v>0</v>
      </c>
      <c r="AB591" s="62"/>
      <c r="AC591" s="62">
        <v>3200.8843088796657</v>
      </c>
      <c r="AD591" s="62">
        <v>2762.0597044813262</v>
      </c>
      <c r="AE591" s="62">
        <v>762.96983999999725</v>
      </c>
      <c r="AF591" s="62">
        <v>762.96983999999725</v>
      </c>
      <c r="AG591" s="62">
        <v>0</v>
      </c>
      <c r="AH591" s="62"/>
      <c r="AI591" s="62">
        <v>-382.32855967078177</v>
      </c>
      <c r="AJ591" s="62">
        <v>-30.878559670781669</v>
      </c>
      <c r="AK591" s="62">
        <v>-26.555561316872247</v>
      </c>
      <c r="AL591" s="62">
        <v>0</v>
      </c>
      <c r="AM591" s="62">
        <v>0</v>
      </c>
    </row>
    <row r="592" spans="1:39">
      <c r="A592" s="9">
        <v>96451</v>
      </c>
      <c r="B592" s="10" t="s">
        <v>1967</v>
      </c>
      <c r="C592" s="60">
        <v>2.0299999999999999E-5</v>
      </c>
      <c r="E592" s="62">
        <v>2647.3411179512682</v>
      </c>
      <c r="F592" s="62">
        <v>10428.747752557079</v>
      </c>
      <c r="G592" s="62">
        <v>6275.8106925102902</v>
      </c>
      <c r="H592" s="62">
        <v>-1372.2705399999977</v>
      </c>
      <c r="I592" s="62">
        <v>0</v>
      </c>
      <c r="J592" s="62"/>
      <c r="K592" s="62">
        <v>-122.1451</v>
      </c>
      <c r="L592" s="62">
        <v>257.1198</v>
      </c>
      <c r="M592" s="62">
        <v>477.09059999999999</v>
      </c>
      <c r="N592" s="62">
        <v>296.68449999999996</v>
      </c>
      <c r="O592" s="62">
        <v>0</v>
      </c>
      <c r="P592" s="62"/>
      <c r="Q592" s="62">
        <v>446.90449999999998</v>
      </c>
      <c r="R592" s="62">
        <v>7414.3719999999994</v>
      </c>
      <c r="S592" s="62">
        <v>2837.1686</v>
      </c>
      <c r="T592" s="62">
        <v>-3168.5051999999996</v>
      </c>
      <c r="U592" s="62">
        <v>0</v>
      </c>
      <c r="V592" s="62"/>
      <c r="W592" s="62">
        <v>1325.1231</v>
      </c>
      <c r="X592" s="62">
        <v>1325.1231</v>
      </c>
      <c r="Y592" s="62">
        <v>1218.1217999999999</v>
      </c>
      <c r="Z592" s="62">
        <v>560.68599999999992</v>
      </c>
      <c r="AA592" s="62">
        <v>0</v>
      </c>
      <c r="AB592" s="62"/>
      <c r="AC592" s="62">
        <v>1874.4054768724302</v>
      </c>
      <c r="AD592" s="62">
        <v>1874.4054768724302</v>
      </c>
      <c r="AE592" s="62">
        <v>1743.4296925102906</v>
      </c>
      <c r="AF592" s="62">
        <v>938.86416000000202</v>
      </c>
      <c r="AG592" s="62">
        <v>0</v>
      </c>
      <c r="AH592" s="62"/>
      <c r="AI592" s="62">
        <v>-876.94685892116195</v>
      </c>
      <c r="AJ592" s="62">
        <v>-442.27262431535286</v>
      </c>
      <c r="AK592" s="62">
        <v>0</v>
      </c>
      <c r="AL592" s="62">
        <v>0</v>
      </c>
      <c r="AM592" s="62">
        <v>0</v>
      </c>
    </row>
    <row r="593" spans="1:39">
      <c r="A593" s="9">
        <v>96461</v>
      </c>
      <c r="B593" s="10" t="s">
        <v>1968</v>
      </c>
      <c r="C593" s="60">
        <v>1.361E-4</v>
      </c>
      <c r="E593" s="62">
        <v>7098.5796093106528</v>
      </c>
      <c r="F593" s="62">
        <v>53410.636023086576</v>
      </c>
      <c r="G593" s="62">
        <v>28683.671067736625</v>
      </c>
      <c r="H593" s="62">
        <v>-14869.469780000005</v>
      </c>
      <c r="I593" s="62">
        <v>0</v>
      </c>
      <c r="J593" s="62"/>
      <c r="K593" s="62">
        <v>-818.91370000000006</v>
      </c>
      <c r="L593" s="62">
        <v>1723.8425999999999</v>
      </c>
      <c r="M593" s="62">
        <v>3198.6222000000002</v>
      </c>
      <c r="N593" s="62">
        <v>1989.1015</v>
      </c>
      <c r="O593" s="62">
        <v>0</v>
      </c>
      <c r="P593" s="62"/>
      <c r="Q593" s="62">
        <v>2996.2415000000001</v>
      </c>
      <c r="R593" s="62">
        <v>49709.163999999997</v>
      </c>
      <c r="S593" s="62">
        <v>19021.608199999999</v>
      </c>
      <c r="T593" s="62">
        <v>-21243.0324</v>
      </c>
      <c r="U593" s="62">
        <v>0</v>
      </c>
      <c r="V593" s="62"/>
      <c r="W593" s="62">
        <v>8884.1996999999992</v>
      </c>
      <c r="X593" s="62">
        <v>8884.1996999999992</v>
      </c>
      <c r="Y593" s="62">
        <v>8166.8166000000001</v>
      </c>
      <c r="Z593" s="62">
        <v>3759.0819999999999</v>
      </c>
      <c r="AA593" s="62">
        <v>0</v>
      </c>
      <c r="AB593" s="62"/>
      <c r="AC593" s="62">
        <v>4627.9491199999948</v>
      </c>
      <c r="AD593" s="62">
        <v>625.37911999999346</v>
      </c>
      <c r="AE593" s="62">
        <v>625.37911999999346</v>
      </c>
      <c r="AF593" s="62">
        <v>625.37911999999346</v>
      </c>
      <c r="AG593" s="62">
        <v>0</v>
      </c>
      <c r="AH593" s="62"/>
      <c r="AI593" s="62">
        <v>-8590.8970106893412</v>
      </c>
      <c r="AJ593" s="62">
        <v>-7531.9493969134082</v>
      </c>
      <c r="AK593" s="62">
        <v>-2328.7550522633692</v>
      </c>
      <c r="AL593" s="62">
        <v>0</v>
      </c>
      <c r="AM593" s="62">
        <v>0</v>
      </c>
    </row>
    <row r="594" spans="1:39">
      <c r="A594" s="9">
        <v>96501</v>
      </c>
      <c r="B594" s="10" t="s">
        <v>1969</v>
      </c>
      <c r="C594" s="60">
        <v>1.44739E-2</v>
      </c>
      <c r="E594" s="62">
        <v>1325609.1289659801</v>
      </c>
      <c r="F594" s="62">
        <v>6417399.5371629922</v>
      </c>
      <c r="G594" s="62">
        <v>3147585.7174024689</v>
      </c>
      <c r="H594" s="62">
        <v>-1643757.2706999995</v>
      </c>
      <c r="I594" s="62">
        <v>0</v>
      </c>
      <c r="J594" s="62"/>
      <c r="K594" s="62">
        <v>-87089.456299999991</v>
      </c>
      <c r="L594" s="62">
        <v>183326.41740000001</v>
      </c>
      <c r="M594" s="62">
        <v>340165.59779999999</v>
      </c>
      <c r="N594" s="62">
        <v>211536.0485</v>
      </c>
      <c r="O594" s="62">
        <v>0</v>
      </c>
      <c r="P594" s="62"/>
      <c r="Q594" s="62">
        <v>318642.90850000002</v>
      </c>
      <c r="R594" s="62">
        <v>5286447.2359999996</v>
      </c>
      <c r="S594" s="62">
        <v>2022901.2117999999</v>
      </c>
      <c r="T594" s="62">
        <v>-2259144.2075999998</v>
      </c>
      <c r="U594" s="62">
        <v>0</v>
      </c>
      <c r="V594" s="62"/>
      <c r="W594" s="62">
        <v>944812.77029999997</v>
      </c>
      <c r="X594" s="62">
        <v>944812.77029999997</v>
      </c>
      <c r="Y594" s="62">
        <v>868520.84340000001</v>
      </c>
      <c r="Z594" s="62">
        <v>399769.11800000002</v>
      </c>
      <c r="AA594" s="62">
        <v>0</v>
      </c>
      <c r="AB594" s="62"/>
      <c r="AC594" s="62">
        <v>251665.82041659777</v>
      </c>
      <c r="AD594" s="62">
        <v>105236.02741361025</v>
      </c>
      <c r="AE594" s="62">
        <v>4081.770400000365</v>
      </c>
      <c r="AF594" s="62">
        <v>4081.770400000365</v>
      </c>
      <c r="AG594" s="62">
        <v>0</v>
      </c>
      <c r="AH594" s="62"/>
      <c r="AI594" s="62">
        <v>-102422.91395061767</v>
      </c>
      <c r="AJ594" s="62">
        <v>-102422.91395061767</v>
      </c>
      <c r="AK594" s="62">
        <v>-88083.70599753123</v>
      </c>
      <c r="AL594" s="62">
        <v>0</v>
      </c>
      <c r="AM594" s="62">
        <v>0</v>
      </c>
    </row>
    <row r="595" spans="1:39">
      <c r="A595" s="9">
        <v>96502</v>
      </c>
      <c r="B595" s="10" t="s">
        <v>1970</v>
      </c>
      <c r="C595" s="60">
        <v>4.2440000000000002E-4</v>
      </c>
      <c r="E595" s="62">
        <v>57556.127047503738</v>
      </c>
      <c r="F595" s="62">
        <v>198148.43922899751</v>
      </c>
      <c r="G595" s="62">
        <v>100075.86067679015</v>
      </c>
      <c r="H595" s="62">
        <v>-47445.641679999972</v>
      </c>
      <c r="I595" s="62">
        <v>0</v>
      </c>
      <c r="J595" s="62"/>
      <c r="K595" s="62">
        <v>-2553.6148000000003</v>
      </c>
      <c r="L595" s="62">
        <v>5375.4504000000006</v>
      </c>
      <c r="M595" s="62">
        <v>9974.2488000000012</v>
      </c>
      <c r="N595" s="62">
        <v>6202.6060000000007</v>
      </c>
      <c r="O595" s="62">
        <v>0</v>
      </c>
      <c r="P595" s="62"/>
      <c r="Q595" s="62">
        <v>9343.1660000000011</v>
      </c>
      <c r="R595" s="62">
        <v>155007.856</v>
      </c>
      <c r="S595" s="62">
        <v>59314.9928</v>
      </c>
      <c r="T595" s="62">
        <v>-66242.049599999998</v>
      </c>
      <c r="U595" s="62">
        <v>0</v>
      </c>
      <c r="V595" s="62"/>
      <c r="W595" s="62">
        <v>27703.558800000003</v>
      </c>
      <c r="X595" s="62">
        <v>27703.558800000003</v>
      </c>
      <c r="Y595" s="62">
        <v>25466.546399999999</v>
      </c>
      <c r="Z595" s="62">
        <v>11721.928</v>
      </c>
      <c r="AA595" s="62">
        <v>0</v>
      </c>
      <c r="AB595" s="62"/>
      <c r="AC595" s="62">
        <v>23063.017047503738</v>
      </c>
      <c r="AD595" s="62">
        <v>10061.574028997511</v>
      </c>
      <c r="AE595" s="62">
        <v>5320.0726767901451</v>
      </c>
      <c r="AF595" s="62">
        <v>871.87392000002444</v>
      </c>
      <c r="AG595" s="62">
        <v>0</v>
      </c>
      <c r="AH595" s="62"/>
      <c r="AI595" s="62">
        <v>0</v>
      </c>
      <c r="AJ595" s="62">
        <v>0</v>
      </c>
      <c r="AK595" s="62">
        <v>0</v>
      </c>
      <c r="AL595" s="62">
        <v>0</v>
      </c>
      <c r="AM595" s="62">
        <v>0</v>
      </c>
    </row>
    <row r="596" spans="1:39">
      <c r="A596" s="9">
        <v>96503</v>
      </c>
      <c r="B596" s="10" t="s">
        <v>1971</v>
      </c>
      <c r="C596" s="60">
        <v>3.0039999999999998E-4</v>
      </c>
      <c r="E596" s="62">
        <v>95731.936049505646</v>
      </c>
      <c r="F596" s="62">
        <v>213255.43357481685</v>
      </c>
      <c r="G596" s="62">
        <v>115713.32566172838</v>
      </c>
      <c r="H596" s="62">
        <v>-9144.2452000000158</v>
      </c>
      <c r="I596" s="62">
        <v>0</v>
      </c>
      <c r="J596" s="62"/>
      <c r="K596" s="62">
        <v>-1807.5067999999999</v>
      </c>
      <c r="L596" s="62">
        <v>3804.8663999999999</v>
      </c>
      <c r="M596" s="62">
        <v>7060.0007999999998</v>
      </c>
      <c r="N596" s="62">
        <v>4390.3459999999995</v>
      </c>
      <c r="O596" s="62">
        <v>0</v>
      </c>
      <c r="P596" s="62"/>
      <c r="Q596" s="62">
        <v>6613.3059999999996</v>
      </c>
      <c r="R596" s="62">
        <v>109718.09599999999</v>
      </c>
      <c r="S596" s="62">
        <v>41984.504799999995</v>
      </c>
      <c r="T596" s="62">
        <v>-46887.633600000001</v>
      </c>
      <c r="U596" s="62">
        <v>0</v>
      </c>
      <c r="V596" s="62"/>
      <c r="W596" s="62">
        <v>19609.210799999997</v>
      </c>
      <c r="X596" s="62">
        <v>19609.210799999997</v>
      </c>
      <c r="Y596" s="62">
        <v>18025.8024</v>
      </c>
      <c r="Z596" s="62">
        <v>8297.0479999999989</v>
      </c>
      <c r="AA596" s="62">
        <v>0</v>
      </c>
      <c r="AB596" s="62"/>
      <c r="AC596" s="62">
        <v>86190.686049505661</v>
      </c>
      <c r="AD596" s="62">
        <v>80123.260374816862</v>
      </c>
      <c r="AE596" s="62">
        <v>48643.017661728387</v>
      </c>
      <c r="AF596" s="62">
        <v>25055.994399999985</v>
      </c>
      <c r="AG596" s="62">
        <v>0</v>
      </c>
      <c r="AH596" s="62"/>
      <c r="AI596" s="62">
        <v>-14873.760000000004</v>
      </c>
      <c r="AJ596" s="62">
        <v>0</v>
      </c>
      <c r="AK596" s="62">
        <v>0</v>
      </c>
      <c r="AL596" s="62">
        <v>0</v>
      </c>
      <c r="AM596" s="62">
        <v>0</v>
      </c>
    </row>
    <row r="597" spans="1:39">
      <c r="A597" s="9">
        <v>96504</v>
      </c>
      <c r="B597" s="10" t="s">
        <v>1972</v>
      </c>
      <c r="C597" s="60">
        <v>4.1760000000000001E-4</v>
      </c>
      <c r="E597" s="62">
        <v>45465.311606690921</v>
      </c>
      <c r="F597" s="62">
        <v>196103.53274196066</v>
      </c>
      <c r="G597" s="62">
        <v>101196.87574502057</v>
      </c>
      <c r="H597" s="62">
        <v>-38319.967119999994</v>
      </c>
      <c r="I597" s="62">
        <v>0</v>
      </c>
      <c r="J597" s="62"/>
      <c r="K597" s="62">
        <v>-2512.6992</v>
      </c>
      <c r="L597" s="62">
        <v>5289.3216000000002</v>
      </c>
      <c r="M597" s="62">
        <v>9814.4351999999999</v>
      </c>
      <c r="N597" s="62">
        <v>6103.2240000000002</v>
      </c>
      <c r="O597" s="62">
        <v>0</v>
      </c>
      <c r="P597" s="62"/>
      <c r="Q597" s="62">
        <v>9193.4639999999999</v>
      </c>
      <c r="R597" s="62">
        <v>152524.22400000002</v>
      </c>
      <c r="S597" s="62">
        <v>58364.611199999999</v>
      </c>
      <c r="T597" s="62">
        <v>-65180.678400000004</v>
      </c>
      <c r="U597" s="62">
        <v>0</v>
      </c>
      <c r="V597" s="62"/>
      <c r="W597" s="62">
        <v>27259.675200000001</v>
      </c>
      <c r="X597" s="62">
        <v>27259.675200000001</v>
      </c>
      <c r="Y597" s="62">
        <v>25058.5056</v>
      </c>
      <c r="Z597" s="62">
        <v>11534.112000000001</v>
      </c>
      <c r="AA597" s="62">
        <v>0</v>
      </c>
      <c r="AB597" s="62"/>
      <c r="AC597" s="62">
        <v>13219.428972946069</v>
      </c>
      <c r="AD597" s="62">
        <v>12500.139308215777</v>
      </c>
      <c r="AE597" s="62">
        <v>9223.3752800000075</v>
      </c>
      <c r="AF597" s="62">
        <v>9223.3752800000075</v>
      </c>
      <c r="AG597" s="62">
        <v>0</v>
      </c>
      <c r="AH597" s="62"/>
      <c r="AI597" s="62">
        <v>-1694.5573662551508</v>
      </c>
      <c r="AJ597" s="62">
        <v>-1469.8273662551508</v>
      </c>
      <c r="AK597" s="62">
        <v>-1264.05153497943</v>
      </c>
      <c r="AL597" s="62">
        <v>0</v>
      </c>
      <c r="AM597" s="62">
        <v>0</v>
      </c>
    </row>
    <row r="598" spans="1:39">
      <c r="A598" s="9">
        <v>96507</v>
      </c>
      <c r="B598" s="10" t="s">
        <v>1973</v>
      </c>
      <c r="C598" s="60">
        <v>2.2147E-3</v>
      </c>
      <c r="E598" s="62">
        <v>238613.71093911349</v>
      </c>
      <c r="F598" s="62">
        <v>1011351.9934777028</v>
      </c>
      <c r="G598" s="62">
        <v>504690.16975267499</v>
      </c>
      <c r="H598" s="62">
        <v>-257840.02069999982</v>
      </c>
      <c r="I598" s="62">
        <v>0</v>
      </c>
      <c r="J598" s="62"/>
      <c r="K598" s="62">
        <v>-13325.849899999999</v>
      </c>
      <c r="L598" s="62">
        <v>28051.390200000002</v>
      </c>
      <c r="M598" s="62">
        <v>52049.879399999998</v>
      </c>
      <c r="N598" s="62">
        <v>32367.840499999998</v>
      </c>
      <c r="O598" s="62">
        <v>0</v>
      </c>
      <c r="P598" s="62"/>
      <c r="Q598" s="62">
        <v>48756.620499999997</v>
      </c>
      <c r="R598" s="62">
        <v>808897.02800000005</v>
      </c>
      <c r="S598" s="62">
        <v>309530.90139999997</v>
      </c>
      <c r="T598" s="62">
        <v>-345679.23479999998</v>
      </c>
      <c r="U598" s="62">
        <v>0</v>
      </c>
      <c r="V598" s="62"/>
      <c r="W598" s="62">
        <v>144568.9719</v>
      </c>
      <c r="X598" s="62">
        <v>144568.9719</v>
      </c>
      <c r="Y598" s="62">
        <v>132895.28820000001</v>
      </c>
      <c r="Z598" s="62">
        <v>61170.014000000003</v>
      </c>
      <c r="AA598" s="62">
        <v>0</v>
      </c>
      <c r="AB598" s="62"/>
      <c r="AC598" s="62">
        <v>64312.608839113331</v>
      </c>
      <c r="AD598" s="62">
        <v>35533.243777702548</v>
      </c>
      <c r="AE598" s="62">
        <v>15912.741152674853</v>
      </c>
      <c r="AF598" s="62">
        <v>0</v>
      </c>
      <c r="AG598" s="62">
        <v>0</v>
      </c>
      <c r="AH598" s="62"/>
      <c r="AI598" s="62">
        <v>-5698.6403999998238</v>
      </c>
      <c r="AJ598" s="62">
        <v>-5698.6403999998238</v>
      </c>
      <c r="AK598" s="62">
        <v>-5698.6403999998238</v>
      </c>
      <c r="AL598" s="62">
        <v>-5698.6403999998238</v>
      </c>
      <c r="AM598" s="62">
        <v>0</v>
      </c>
    </row>
    <row r="599" spans="1:39">
      <c r="A599" s="9">
        <v>96508</v>
      </c>
      <c r="B599" s="10" t="s">
        <v>1974</v>
      </c>
      <c r="C599" s="60">
        <v>8.6000000000000007E-6</v>
      </c>
      <c r="E599" s="62">
        <v>5091.8637916548005</v>
      </c>
      <c r="F599" s="62">
        <v>7091.612861364345</v>
      </c>
      <c r="G599" s="62">
        <v>4133.6250176131707</v>
      </c>
      <c r="H599" s="62">
        <v>247.34996000000103</v>
      </c>
      <c r="I599" s="62">
        <v>0</v>
      </c>
      <c r="J599" s="62"/>
      <c r="K599" s="62">
        <v>-51.746200000000002</v>
      </c>
      <c r="L599" s="62">
        <v>108.92760000000001</v>
      </c>
      <c r="M599" s="62">
        <v>202.11720000000003</v>
      </c>
      <c r="N599" s="62">
        <v>125.68900000000001</v>
      </c>
      <c r="O599" s="62">
        <v>0</v>
      </c>
      <c r="P599" s="62"/>
      <c r="Q599" s="62">
        <v>189.32900000000001</v>
      </c>
      <c r="R599" s="62">
        <v>3141.0640000000003</v>
      </c>
      <c r="S599" s="62">
        <v>1201.9532000000002</v>
      </c>
      <c r="T599" s="62">
        <v>-1342.3224</v>
      </c>
      <c r="U599" s="62">
        <v>0</v>
      </c>
      <c r="V599" s="62"/>
      <c r="W599" s="62">
        <v>561.38220000000001</v>
      </c>
      <c r="X599" s="62">
        <v>561.38220000000001</v>
      </c>
      <c r="Y599" s="62">
        <v>516.05160000000001</v>
      </c>
      <c r="Z599" s="62">
        <v>237.53200000000001</v>
      </c>
      <c r="AA599" s="62">
        <v>0</v>
      </c>
      <c r="AB599" s="62"/>
      <c r="AC599" s="62">
        <v>4392.8987916548003</v>
      </c>
      <c r="AD599" s="62">
        <v>3280.2390613643443</v>
      </c>
      <c r="AE599" s="62">
        <v>2213.5030176131704</v>
      </c>
      <c r="AF599" s="62">
        <v>1226.4513600000009</v>
      </c>
      <c r="AG599" s="62">
        <v>0</v>
      </c>
      <c r="AH599" s="62"/>
      <c r="AI599" s="62">
        <v>0</v>
      </c>
      <c r="AJ599" s="62">
        <v>0</v>
      </c>
      <c r="AK599" s="62">
        <v>0</v>
      </c>
      <c r="AL599" s="62">
        <v>0</v>
      </c>
      <c r="AM599" s="62">
        <v>0</v>
      </c>
    </row>
    <row r="600" spans="1:39">
      <c r="A600" s="9">
        <v>96511</v>
      </c>
      <c r="B600" s="10" t="s">
        <v>1975</v>
      </c>
      <c r="C600" s="60">
        <v>6.2069999999999996E-4</v>
      </c>
      <c r="E600" s="62">
        <v>1288.0483231367762</v>
      </c>
      <c r="F600" s="62">
        <v>249938.82890753509</v>
      </c>
      <c r="G600" s="62">
        <v>119058.8425319341</v>
      </c>
      <c r="H600" s="62">
        <v>-72679.955580000023</v>
      </c>
      <c r="I600" s="62">
        <v>0</v>
      </c>
      <c r="J600" s="62"/>
      <c r="K600" s="62">
        <v>-3734.7518999999998</v>
      </c>
      <c r="L600" s="62">
        <v>7861.7861999999996</v>
      </c>
      <c r="M600" s="62">
        <v>14587.6914</v>
      </c>
      <c r="N600" s="62">
        <v>9071.5304999999989</v>
      </c>
      <c r="O600" s="62">
        <v>0</v>
      </c>
      <c r="P600" s="62"/>
      <c r="Q600" s="62">
        <v>13664.710499999999</v>
      </c>
      <c r="R600" s="62">
        <v>226704.46799999999</v>
      </c>
      <c r="S600" s="62">
        <v>86750.273399999991</v>
      </c>
      <c r="T600" s="62">
        <v>-96881.338799999998</v>
      </c>
      <c r="U600" s="62">
        <v>0</v>
      </c>
      <c r="V600" s="62"/>
      <c r="W600" s="62">
        <v>40517.433899999996</v>
      </c>
      <c r="X600" s="62">
        <v>40517.433899999996</v>
      </c>
      <c r="Y600" s="62">
        <v>37245.724199999997</v>
      </c>
      <c r="Z600" s="62">
        <v>17143.734</v>
      </c>
      <c r="AA600" s="62">
        <v>0</v>
      </c>
      <c r="AB600" s="62"/>
      <c r="AC600" s="62">
        <v>0</v>
      </c>
      <c r="AD600" s="62">
        <v>0</v>
      </c>
      <c r="AE600" s="62">
        <v>0</v>
      </c>
      <c r="AF600" s="62">
        <v>0</v>
      </c>
      <c r="AG600" s="62">
        <v>0</v>
      </c>
      <c r="AH600" s="62"/>
      <c r="AI600" s="62">
        <v>-49159.344176863218</v>
      </c>
      <c r="AJ600" s="62">
        <v>-25144.859192464879</v>
      </c>
      <c r="AK600" s="62">
        <v>-19524.846468065884</v>
      </c>
      <c r="AL600" s="62">
        <v>-2013.8812800000189</v>
      </c>
      <c r="AM600" s="62">
        <v>0</v>
      </c>
    </row>
    <row r="601" spans="1:39">
      <c r="A601" s="9">
        <v>96512</v>
      </c>
      <c r="B601" s="10" t="s">
        <v>1976</v>
      </c>
      <c r="C601" s="60">
        <v>1.5119999999999999E-4</v>
      </c>
      <c r="E601" s="62">
        <v>12484.834415210962</v>
      </c>
      <c r="F601" s="62">
        <v>66723.281774547053</v>
      </c>
      <c r="G601" s="62">
        <v>31953.967131687241</v>
      </c>
      <c r="H601" s="62">
        <v>-19704.882800000003</v>
      </c>
      <c r="I601" s="62">
        <v>0</v>
      </c>
      <c r="J601" s="62"/>
      <c r="K601" s="62">
        <v>-909.77039999999988</v>
      </c>
      <c r="L601" s="62">
        <v>1915.0991999999999</v>
      </c>
      <c r="M601" s="62">
        <v>3553.5023999999999</v>
      </c>
      <c r="N601" s="62">
        <v>2209.788</v>
      </c>
      <c r="O601" s="62">
        <v>0</v>
      </c>
      <c r="P601" s="62"/>
      <c r="Q601" s="62">
        <v>3328.6679999999997</v>
      </c>
      <c r="R601" s="62">
        <v>55224.287999999993</v>
      </c>
      <c r="S601" s="62">
        <v>21132.0144</v>
      </c>
      <c r="T601" s="62">
        <v>-23599.900799999999</v>
      </c>
      <c r="U601" s="62">
        <v>0</v>
      </c>
      <c r="V601" s="62"/>
      <c r="W601" s="62">
        <v>9869.8823999999986</v>
      </c>
      <c r="X601" s="62">
        <v>9869.8823999999986</v>
      </c>
      <c r="Y601" s="62">
        <v>9072.9071999999996</v>
      </c>
      <c r="Z601" s="62">
        <v>4176.1439999999993</v>
      </c>
      <c r="AA601" s="62">
        <v>0</v>
      </c>
      <c r="AB601" s="62"/>
      <c r="AC601" s="62">
        <v>2686.9684152109676</v>
      </c>
      <c r="AD601" s="62">
        <v>2204.9261745470681</v>
      </c>
      <c r="AE601" s="62">
        <v>686.45713168724467</v>
      </c>
      <c r="AF601" s="62">
        <v>0</v>
      </c>
      <c r="AG601" s="62">
        <v>0</v>
      </c>
      <c r="AH601" s="62"/>
      <c r="AI601" s="62">
        <v>-2490.9140000000043</v>
      </c>
      <c r="AJ601" s="62">
        <v>-2490.9140000000043</v>
      </c>
      <c r="AK601" s="62">
        <v>-2490.9140000000043</v>
      </c>
      <c r="AL601" s="62">
        <v>-2490.9140000000043</v>
      </c>
      <c r="AM601" s="62">
        <v>0</v>
      </c>
    </row>
    <row r="602" spans="1:39">
      <c r="A602" s="9">
        <v>96519</v>
      </c>
      <c r="B602" s="10" t="s">
        <v>1974</v>
      </c>
      <c r="C602" s="60">
        <v>0</v>
      </c>
      <c r="E602" s="62">
        <v>-104029.88730666108</v>
      </c>
      <c r="F602" s="62">
        <v>-216126.2665099806</v>
      </c>
      <c r="G602" s="62">
        <v>-207556.42441069963</v>
      </c>
      <c r="H602" s="62">
        <v>0</v>
      </c>
      <c r="I602" s="62">
        <v>0</v>
      </c>
      <c r="J602" s="62"/>
      <c r="K602" s="62">
        <v>0</v>
      </c>
      <c r="L602" s="62">
        <v>0</v>
      </c>
      <c r="M602" s="62">
        <v>0</v>
      </c>
      <c r="N602" s="62">
        <v>0</v>
      </c>
      <c r="O602" s="62">
        <v>0</v>
      </c>
      <c r="P602" s="62"/>
      <c r="Q602" s="62">
        <v>0</v>
      </c>
      <c r="R602" s="62">
        <v>0</v>
      </c>
      <c r="S602" s="62">
        <v>0</v>
      </c>
      <c r="T602" s="62">
        <v>0</v>
      </c>
      <c r="U602" s="62">
        <v>0</v>
      </c>
      <c r="V602" s="62"/>
      <c r="W602" s="62">
        <v>0</v>
      </c>
      <c r="X602" s="62">
        <v>0</v>
      </c>
      <c r="Y602" s="62">
        <v>0</v>
      </c>
      <c r="Z602" s="62">
        <v>0</v>
      </c>
      <c r="AA602" s="62">
        <v>0</v>
      </c>
      <c r="AB602" s="62"/>
      <c r="AC602" s="62">
        <v>137314.79224066398</v>
      </c>
      <c r="AD602" s="62">
        <v>25218.413037344453</v>
      </c>
      <c r="AE602" s="62">
        <v>0</v>
      </c>
      <c r="AF602" s="62">
        <v>0</v>
      </c>
      <c r="AG602" s="62">
        <v>0</v>
      </c>
      <c r="AH602" s="62"/>
      <c r="AI602" s="62">
        <v>-241344.67954732507</v>
      </c>
      <c r="AJ602" s="62">
        <v>-241344.67954732507</v>
      </c>
      <c r="AK602" s="62">
        <v>-207556.42441069963</v>
      </c>
      <c r="AL602" s="62">
        <v>0</v>
      </c>
      <c r="AM602" s="62">
        <v>0</v>
      </c>
    </row>
    <row r="603" spans="1:39">
      <c r="A603" s="9">
        <v>96521</v>
      </c>
      <c r="B603" s="10" t="s">
        <v>1977</v>
      </c>
      <c r="C603" s="60">
        <v>9.881E-4</v>
      </c>
      <c r="E603" s="62">
        <v>87041.382249480797</v>
      </c>
      <c r="F603" s="62">
        <v>443990.83657993726</v>
      </c>
      <c r="G603" s="62">
        <v>214009.79776971199</v>
      </c>
      <c r="H603" s="62">
        <v>-113922.73121999994</v>
      </c>
      <c r="I603" s="62">
        <v>0</v>
      </c>
      <c r="J603" s="62"/>
      <c r="K603" s="62">
        <v>-5945.3977000000004</v>
      </c>
      <c r="L603" s="62">
        <v>12515.274600000001</v>
      </c>
      <c r="M603" s="62">
        <v>23222.3262</v>
      </c>
      <c r="N603" s="62">
        <v>14441.0815</v>
      </c>
      <c r="O603" s="62">
        <v>0</v>
      </c>
      <c r="P603" s="62"/>
      <c r="Q603" s="62">
        <v>21753.021499999999</v>
      </c>
      <c r="R603" s="62">
        <v>360893.64400000003</v>
      </c>
      <c r="S603" s="62">
        <v>138098.8322</v>
      </c>
      <c r="T603" s="62">
        <v>-154226.6004</v>
      </c>
      <c r="U603" s="62">
        <v>0</v>
      </c>
      <c r="V603" s="62"/>
      <c r="W603" s="62">
        <v>64500.203699999998</v>
      </c>
      <c r="X603" s="62">
        <v>64500.203699999998</v>
      </c>
      <c r="Y603" s="62">
        <v>59291.928599999999</v>
      </c>
      <c r="Z603" s="62">
        <v>27291.322</v>
      </c>
      <c r="AA603" s="62">
        <v>0</v>
      </c>
      <c r="AB603" s="62"/>
      <c r="AC603" s="62">
        <v>16496.835941908717</v>
      </c>
      <c r="AD603" s="62">
        <v>13527.405472365153</v>
      </c>
      <c r="AE603" s="62">
        <v>0</v>
      </c>
      <c r="AF603" s="62">
        <v>0</v>
      </c>
      <c r="AG603" s="62">
        <v>0</v>
      </c>
      <c r="AH603" s="62"/>
      <c r="AI603" s="62">
        <v>-9763.2811924279249</v>
      </c>
      <c r="AJ603" s="62">
        <v>-7445.6911924279248</v>
      </c>
      <c r="AK603" s="62">
        <v>-6603.2892302880109</v>
      </c>
      <c r="AL603" s="62">
        <v>-1428.5343199999534</v>
      </c>
      <c r="AM603" s="62">
        <v>0</v>
      </c>
    </row>
    <row r="604" spans="1:39">
      <c r="A604" s="9">
        <v>96531</v>
      </c>
      <c r="B604" s="10" t="s">
        <v>1978</v>
      </c>
      <c r="C604" s="60">
        <v>8.5845000000000001E-3</v>
      </c>
      <c r="E604" s="62">
        <v>580293.92937910883</v>
      </c>
      <c r="F604" s="62">
        <v>3701069.3318806025</v>
      </c>
      <c r="G604" s="62">
        <v>1803727.8137503702</v>
      </c>
      <c r="H604" s="62">
        <v>-1013651.7860200003</v>
      </c>
      <c r="I604" s="62">
        <v>0</v>
      </c>
      <c r="J604" s="62"/>
      <c r="K604" s="62">
        <v>-51652.936500000003</v>
      </c>
      <c r="L604" s="62">
        <v>108731.277</v>
      </c>
      <c r="M604" s="62">
        <v>201752.91899999999</v>
      </c>
      <c r="N604" s="62">
        <v>125462.4675</v>
      </c>
      <c r="O604" s="62">
        <v>0</v>
      </c>
      <c r="P604" s="62"/>
      <c r="Q604" s="62">
        <v>188987.76750000002</v>
      </c>
      <c r="R604" s="62">
        <v>3135402.7800000003</v>
      </c>
      <c r="S604" s="62">
        <v>1199786.889</v>
      </c>
      <c r="T604" s="62">
        <v>-1339903.098</v>
      </c>
      <c r="U604" s="62">
        <v>0</v>
      </c>
      <c r="V604" s="62"/>
      <c r="W604" s="62">
        <v>560370.40650000004</v>
      </c>
      <c r="X604" s="62">
        <v>560370.40650000004</v>
      </c>
      <c r="Y604" s="62">
        <v>515121.50699999998</v>
      </c>
      <c r="Z604" s="62">
        <v>237103.89</v>
      </c>
      <c r="AA604" s="62">
        <v>0</v>
      </c>
      <c r="AB604" s="62"/>
      <c r="AC604" s="62">
        <v>26794.074991701404</v>
      </c>
      <c r="AD604" s="62">
        <v>21971.141493195159</v>
      </c>
      <c r="AE604" s="62">
        <v>0</v>
      </c>
      <c r="AF604" s="62">
        <v>0</v>
      </c>
      <c r="AG604" s="62">
        <v>0</v>
      </c>
      <c r="AH604" s="62"/>
      <c r="AI604" s="62">
        <v>-144205.38311259268</v>
      </c>
      <c r="AJ604" s="62">
        <v>-125406.27311259268</v>
      </c>
      <c r="AK604" s="62">
        <v>-112933.5012496298</v>
      </c>
      <c r="AL604" s="62">
        <v>-36315.045520000436</v>
      </c>
      <c r="AM604" s="62">
        <v>0</v>
      </c>
    </row>
    <row r="605" spans="1:39">
      <c r="A605" s="9">
        <v>96541</v>
      </c>
      <c r="B605" s="10" t="s">
        <v>1979</v>
      </c>
      <c r="C605" s="60">
        <v>3.5950000000000001E-4</v>
      </c>
      <c r="E605" s="62">
        <v>42173.476507098698</v>
      </c>
      <c r="F605" s="62">
        <v>164650.66709465056</v>
      </c>
      <c r="G605" s="62">
        <v>83775.204481563807</v>
      </c>
      <c r="H605" s="62">
        <v>-37918.620059999987</v>
      </c>
      <c r="I605" s="62">
        <v>0</v>
      </c>
      <c r="J605" s="62"/>
      <c r="K605" s="62">
        <v>-2163.1115</v>
      </c>
      <c r="L605" s="62">
        <v>4553.4269999999997</v>
      </c>
      <c r="M605" s="62">
        <v>8448.969000000001</v>
      </c>
      <c r="N605" s="62">
        <v>5254.0924999999997</v>
      </c>
      <c r="O605" s="62">
        <v>0</v>
      </c>
      <c r="P605" s="62"/>
      <c r="Q605" s="62">
        <v>7914.3924999999999</v>
      </c>
      <c r="R605" s="62">
        <v>131303.78</v>
      </c>
      <c r="S605" s="62">
        <v>50244.438999999998</v>
      </c>
      <c r="T605" s="62">
        <v>-56112.198000000004</v>
      </c>
      <c r="U605" s="62">
        <v>0</v>
      </c>
      <c r="V605" s="62"/>
      <c r="W605" s="62">
        <v>23467.0815</v>
      </c>
      <c r="X605" s="62">
        <v>23467.0815</v>
      </c>
      <c r="Y605" s="62">
        <v>21572.156999999999</v>
      </c>
      <c r="Z605" s="62">
        <v>9929.39</v>
      </c>
      <c r="AA605" s="62">
        <v>0</v>
      </c>
      <c r="AB605" s="62"/>
      <c r="AC605" s="62">
        <v>12955.114007098698</v>
      </c>
      <c r="AD605" s="62">
        <v>5326.3785946505659</v>
      </c>
      <c r="AE605" s="62">
        <v>3509.6394815638114</v>
      </c>
      <c r="AF605" s="62">
        <v>3010.0954400000219</v>
      </c>
      <c r="AG605" s="62">
        <v>0</v>
      </c>
      <c r="AH605" s="62"/>
      <c r="AI605" s="62">
        <v>0</v>
      </c>
      <c r="AJ605" s="62">
        <v>0</v>
      </c>
      <c r="AK605" s="62">
        <v>0</v>
      </c>
      <c r="AL605" s="62">
        <v>0</v>
      </c>
      <c r="AM605" s="62">
        <v>0</v>
      </c>
    </row>
    <row r="606" spans="1:39">
      <c r="A606" s="9">
        <v>96601</v>
      </c>
      <c r="B606" s="10" t="s">
        <v>1980</v>
      </c>
      <c r="C606" s="60">
        <v>1.8169E-3</v>
      </c>
      <c r="E606" s="62">
        <v>177543.54566325259</v>
      </c>
      <c r="F606" s="62">
        <v>810085.26720731892</v>
      </c>
      <c r="G606" s="62">
        <v>412121.45356773672</v>
      </c>
      <c r="H606" s="62">
        <v>-202039.98497999992</v>
      </c>
      <c r="I606" s="62">
        <v>0</v>
      </c>
      <c r="J606" s="62"/>
      <c r="K606" s="62">
        <v>-10932.2873</v>
      </c>
      <c r="L606" s="62">
        <v>23012.8554</v>
      </c>
      <c r="M606" s="62">
        <v>42700.783799999997</v>
      </c>
      <c r="N606" s="62">
        <v>26553.9935</v>
      </c>
      <c r="O606" s="62">
        <v>0</v>
      </c>
      <c r="P606" s="62"/>
      <c r="Q606" s="62">
        <v>39999.053500000002</v>
      </c>
      <c r="R606" s="62">
        <v>663604.55599999998</v>
      </c>
      <c r="S606" s="62">
        <v>253933.5778</v>
      </c>
      <c r="T606" s="62">
        <v>-283589.0196</v>
      </c>
      <c r="U606" s="62">
        <v>0</v>
      </c>
      <c r="V606" s="62"/>
      <c r="W606" s="62">
        <v>118601.7813</v>
      </c>
      <c r="X606" s="62">
        <v>118601.7813</v>
      </c>
      <c r="Y606" s="62">
        <v>109024.9014</v>
      </c>
      <c r="Z606" s="62">
        <v>50182.777999999998</v>
      </c>
      <c r="AA606" s="62">
        <v>0</v>
      </c>
      <c r="AB606" s="62"/>
      <c r="AC606" s="62">
        <v>32149.033408065927</v>
      </c>
      <c r="AD606" s="62">
        <v>6730.7834080659195</v>
      </c>
      <c r="AE606" s="62">
        <v>6462.1905677367004</v>
      </c>
      <c r="AF606" s="62">
        <v>4812.2631200000642</v>
      </c>
      <c r="AG606" s="62">
        <v>0</v>
      </c>
      <c r="AH606" s="62"/>
      <c r="AI606" s="62">
        <v>-2274.0352448133726</v>
      </c>
      <c r="AJ606" s="62">
        <v>-1864.7089007469663</v>
      </c>
      <c r="AK606" s="62">
        <v>0</v>
      </c>
      <c r="AL606" s="62">
        <v>0</v>
      </c>
      <c r="AM606" s="62">
        <v>0</v>
      </c>
    </row>
    <row r="607" spans="1:39">
      <c r="A607" s="9">
        <v>96604</v>
      </c>
      <c r="B607" s="10" t="s">
        <v>1981</v>
      </c>
      <c r="C607" s="60">
        <v>7.6000000000000001E-6</v>
      </c>
      <c r="E607" s="62">
        <v>1413.6510511695099</v>
      </c>
      <c r="F607" s="62">
        <v>3822.5635656923314</v>
      </c>
      <c r="G607" s="62">
        <v>2150.185283703704</v>
      </c>
      <c r="H607" s="62">
        <v>-611.16311999999959</v>
      </c>
      <c r="I607" s="62">
        <v>0</v>
      </c>
      <c r="J607" s="62"/>
      <c r="K607" s="62">
        <v>-45.729199999999999</v>
      </c>
      <c r="L607" s="62">
        <v>96.261600000000001</v>
      </c>
      <c r="M607" s="62">
        <v>178.61520000000002</v>
      </c>
      <c r="N607" s="62">
        <v>111.074</v>
      </c>
      <c r="O607" s="62">
        <v>0</v>
      </c>
      <c r="P607" s="62"/>
      <c r="Q607" s="62">
        <v>167.31399999999999</v>
      </c>
      <c r="R607" s="62">
        <v>2775.8240000000001</v>
      </c>
      <c r="S607" s="62">
        <v>1062.1912</v>
      </c>
      <c r="T607" s="62">
        <v>-1186.2384</v>
      </c>
      <c r="U607" s="62">
        <v>0</v>
      </c>
      <c r="V607" s="62"/>
      <c r="W607" s="62">
        <v>496.10520000000002</v>
      </c>
      <c r="X607" s="62">
        <v>496.10520000000002</v>
      </c>
      <c r="Y607" s="62">
        <v>456.04559999999998</v>
      </c>
      <c r="Z607" s="62">
        <v>209.91200000000001</v>
      </c>
      <c r="AA607" s="62">
        <v>0</v>
      </c>
      <c r="AB607" s="62"/>
      <c r="AC607" s="62">
        <v>834.24835407407443</v>
      </c>
      <c r="AD607" s="62">
        <v>485.76835407407435</v>
      </c>
      <c r="AE607" s="62">
        <v>453.33328370370407</v>
      </c>
      <c r="AF607" s="62">
        <v>254.08928000000026</v>
      </c>
      <c r="AG607" s="62">
        <v>0</v>
      </c>
      <c r="AH607" s="62"/>
      <c r="AI607" s="62">
        <v>-38.287302904564825</v>
      </c>
      <c r="AJ607" s="62">
        <v>-31.395588381743167</v>
      </c>
      <c r="AK607" s="62">
        <v>0</v>
      </c>
      <c r="AL607" s="62">
        <v>0</v>
      </c>
      <c r="AM607" s="62">
        <v>0</v>
      </c>
    </row>
    <row r="608" spans="1:39">
      <c r="A608" s="9">
        <v>96611</v>
      </c>
      <c r="B608" s="10" t="s">
        <v>1982</v>
      </c>
      <c r="C608" s="60">
        <v>2.83E-5</v>
      </c>
      <c r="E608" s="62">
        <v>2400.8878631070802</v>
      </c>
      <c r="F608" s="62">
        <v>11528.963875555211</v>
      </c>
      <c r="G608" s="62">
        <v>5474.2248376131665</v>
      </c>
      <c r="H608" s="62">
        <v>-4188.1474199999993</v>
      </c>
      <c r="I608" s="62">
        <v>0</v>
      </c>
      <c r="J608" s="62"/>
      <c r="K608" s="62">
        <v>-170.28110000000001</v>
      </c>
      <c r="L608" s="62">
        <v>358.44780000000003</v>
      </c>
      <c r="M608" s="62">
        <v>665.10659999999996</v>
      </c>
      <c r="N608" s="62">
        <v>413.60449999999997</v>
      </c>
      <c r="O608" s="62">
        <v>0</v>
      </c>
      <c r="P608" s="62"/>
      <c r="Q608" s="62">
        <v>623.02449999999999</v>
      </c>
      <c r="R608" s="62">
        <v>10336.291999999999</v>
      </c>
      <c r="S608" s="62">
        <v>3955.2646</v>
      </c>
      <c r="T608" s="62">
        <v>-4417.1772000000001</v>
      </c>
      <c r="U608" s="62">
        <v>0</v>
      </c>
      <c r="V608" s="62"/>
      <c r="W608" s="62">
        <v>1847.3390999999999</v>
      </c>
      <c r="X608" s="62">
        <v>1847.3390999999999</v>
      </c>
      <c r="Y608" s="62">
        <v>1698.1697999999999</v>
      </c>
      <c r="Z608" s="62">
        <v>781.64599999999996</v>
      </c>
      <c r="AA608" s="62">
        <v>0</v>
      </c>
      <c r="AB608" s="62"/>
      <c r="AC608" s="62">
        <v>1297.0794855967065</v>
      </c>
      <c r="AD608" s="62">
        <v>141.74948559670634</v>
      </c>
      <c r="AE608" s="62">
        <v>121.9045576131675</v>
      </c>
      <c r="AF608" s="62">
        <v>0</v>
      </c>
      <c r="AG608" s="62">
        <v>0</v>
      </c>
      <c r="AH608" s="62"/>
      <c r="AI608" s="62">
        <v>-1196.2741224896261</v>
      </c>
      <c r="AJ608" s="62">
        <v>-1154.8645100414935</v>
      </c>
      <c r="AK608" s="62">
        <v>-966.2207199999998</v>
      </c>
      <c r="AL608" s="62">
        <v>-966.2207199999998</v>
      </c>
      <c r="AM608" s="62">
        <v>0</v>
      </c>
    </row>
    <row r="609" spans="1:39">
      <c r="A609" s="9">
        <v>96612</v>
      </c>
      <c r="B609" s="10" t="s">
        <v>1983</v>
      </c>
      <c r="C609" s="60">
        <v>6.3299999999999994E-5</v>
      </c>
      <c r="E609" s="62">
        <v>7421.0984537633012</v>
      </c>
      <c r="F609" s="62">
        <v>30739.012142559983</v>
      </c>
      <c r="G609" s="62">
        <v>15557.783133909472</v>
      </c>
      <c r="H609" s="62">
        <v>-6552.3712199999945</v>
      </c>
      <c r="I609" s="62">
        <v>0</v>
      </c>
      <c r="J609" s="62"/>
      <c r="K609" s="62">
        <v>-380.87609999999995</v>
      </c>
      <c r="L609" s="62">
        <v>801.75779999999997</v>
      </c>
      <c r="M609" s="62">
        <v>1487.6765999999998</v>
      </c>
      <c r="N609" s="62">
        <v>925.12949999999989</v>
      </c>
      <c r="O609" s="62">
        <v>0</v>
      </c>
      <c r="P609" s="62"/>
      <c r="Q609" s="62">
        <v>1393.5494999999999</v>
      </c>
      <c r="R609" s="62">
        <v>23119.691999999999</v>
      </c>
      <c r="S609" s="62">
        <v>8846.9345999999987</v>
      </c>
      <c r="T609" s="62">
        <v>-9880.1171999999988</v>
      </c>
      <c r="U609" s="62">
        <v>0</v>
      </c>
      <c r="V609" s="62"/>
      <c r="W609" s="62">
        <v>4132.0340999999999</v>
      </c>
      <c r="X609" s="62">
        <v>4132.0340999999999</v>
      </c>
      <c r="Y609" s="62">
        <v>3798.3797999999997</v>
      </c>
      <c r="Z609" s="62">
        <v>1748.3459999999998</v>
      </c>
      <c r="AA609" s="62">
        <v>0</v>
      </c>
      <c r="AB609" s="62"/>
      <c r="AC609" s="62">
        <v>2934.7409537633021</v>
      </c>
      <c r="AD609" s="62">
        <v>2685.5282425599835</v>
      </c>
      <c r="AE609" s="62">
        <v>1424.7921339094733</v>
      </c>
      <c r="AF609" s="62">
        <v>654.27048000000582</v>
      </c>
      <c r="AG609" s="62">
        <v>0</v>
      </c>
      <c r="AH609" s="62"/>
      <c r="AI609" s="62">
        <v>-658.35000000000014</v>
      </c>
      <c r="AJ609" s="62">
        <v>0</v>
      </c>
      <c r="AK609" s="62">
        <v>0</v>
      </c>
      <c r="AL609" s="62">
        <v>0</v>
      </c>
      <c r="AM609" s="62">
        <v>0</v>
      </c>
    </row>
    <row r="610" spans="1:39">
      <c r="A610" s="9">
        <v>96621</v>
      </c>
      <c r="B610" s="10" t="s">
        <v>1984</v>
      </c>
      <c r="C610" s="60">
        <v>2.5999999999999998E-5</v>
      </c>
      <c r="E610" s="62">
        <v>-149.83838506565598</v>
      </c>
      <c r="F610" s="62">
        <v>10959.556682320237</v>
      </c>
      <c r="G610" s="62">
        <v>5062.0062983539083</v>
      </c>
      <c r="H610" s="62">
        <v>-2784.0351999999993</v>
      </c>
      <c r="I610" s="62">
        <v>0</v>
      </c>
      <c r="J610" s="62"/>
      <c r="K610" s="62">
        <v>-156.44199999999998</v>
      </c>
      <c r="L610" s="62">
        <v>329.31599999999997</v>
      </c>
      <c r="M610" s="62">
        <v>611.05199999999991</v>
      </c>
      <c r="N610" s="62">
        <v>379.98999999999995</v>
      </c>
      <c r="O610" s="62">
        <v>0</v>
      </c>
      <c r="P610" s="62"/>
      <c r="Q610" s="62">
        <v>572.39</v>
      </c>
      <c r="R610" s="62">
        <v>9496.24</v>
      </c>
      <c r="S610" s="62">
        <v>3633.8119999999999</v>
      </c>
      <c r="T610" s="62">
        <v>-4058.1839999999997</v>
      </c>
      <c r="U610" s="62">
        <v>0</v>
      </c>
      <c r="V610" s="62"/>
      <c r="W610" s="62">
        <v>1697.202</v>
      </c>
      <c r="X610" s="62">
        <v>1697.202</v>
      </c>
      <c r="Y610" s="62">
        <v>1560.1559999999999</v>
      </c>
      <c r="Z610" s="62">
        <v>718.12</v>
      </c>
      <c r="AA610" s="62">
        <v>0</v>
      </c>
      <c r="AB610" s="62"/>
      <c r="AC610" s="62">
        <v>577.77731452282308</v>
      </c>
      <c r="AD610" s="62">
        <v>505.46438190871515</v>
      </c>
      <c r="AE610" s="62">
        <v>176.03880000000063</v>
      </c>
      <c r="AF610" s="62">
        <v>176.03880000000063</v>
      </c>
      <c r="AG610" s="62">
        <v>0</v>
      </c>
      <c r="AH610" s="62"/>
      <c r="AI610" s="62">
        <v>-2840.765699588479</v>
      </c>
      <c r="AJ610" s="62">
        <v>-1068.6656995884784</v>
      </c>
      <c r="AK610" s="62">
        <v>-919.05250164609186</v>
      </c>
      <c r="AL610" s="62">
        <v>0</v>
      </c>
      <c r="AM610" s="62">
        <v>0</v>
      </c>
    </row>
    <row r="611" spans="1:39">
      <c r="A611" s="9">
        <v>96631</v>
      </c>
      <c r="B611" s="10" t="s">
        <v>1985</v>
      </c>
      <c r="C611" s="60">
        <v>2.51E-5</v>
      </c>
      <c r="E611" s="62">
        <v>4222.3060625299249</v>
      </c>
      <c r="F611" s="62">
        <v>12121.351645600464</v>
      </c>
      <c r="G611" s="62">
        <v>5512.0245594238677</v>
      </c>
      <c r="H611" s="62">
        <v>-2915.4010200000007</v>
      </c>
      <c r="I611" s="62">
        <v>0</v>
      </c>
      <c r="J611" s="62"/>
      <c r="K611" s="62">
        <v>-151.02670000000001</v>
      </c>
      <c r="L611" s="62">
        <v>317.91660000000002</v>
      </c>
      <c r="M611" s="62">
        <v>589.90020000000004</v>
      </c>
      <c r="N611" s="62">
        <v>366.8365</v>
      </c>
      <c r="O611" s="62">
        <v>0</v>
      </c>
      <c r="P611" s="62"/>
      <c r="Q611" s="62">
        <v>552.57650000000001</v>
      </c>
      <c r="R611" s="62">
        <v>9167.5239999999994</v>
      </c>
      <c r="S611" s="62">
        <v>3508.0262000000002</v>
      </c>
      <c r="T611" s="62">
        <v>-3917.7084</v>
      </c>
      <c r="U611" s="62">
        <v>0</v>
      </c>
      <c r="V611" s="62"/>
      <c r="W611" s="62">
        <v>1638.4527</v>
      </c>
      <c r="X611" s="62">
        <v>1638.4527</v>
      </c>
      <c r="Y611" s="62">
        <v>1506.1505999999999</v>
      </c>
      <c r="Z611" s="62">
        <v>693.26200000000006</v>
      </c>
      <c r="AA611" s="62">
        <v>0</v>
      </c>
      <c r="AB611" s="62"/>
      <c r="AC611" s="62">
        <v>2279.9334273858926</v>
      </c>
      <c r="AD611" s="62">
        <v>1095.0882104564321</v>
      </c>
      <c r="AE611" s="62">
        <v>0</v>
      </c>
      <c r="AF611" s="62">
        <v>0</v>
      </c>
      <c r="AG611" s="62">
        <v>0</v>
      </c>
      <c r="AH611" s="62"/>
      <c r="AI611" s="62">
        <v>-97.62986485596798</v>
      </c>
      <c r="AJ611" s="62">
        <v>-97.62986485596798</v>
      </c>
      <c r="AK611" s="62">
        <v>-92.052440576132568</v>
      </c>
      <c r="AL611" s="62">
        <v>-57.791120000000589</v>
      </c>
      <c r="AM611" s="62">
        <v>0</v>
      </c>
    </row>
    <row r="612" spans="1:39">
      <c r="A612" s="9">
        <v>96641</v>
      </c>
      <c r="B612" s="10" t="s">
        <v>1986</v>
      </c>
      <c r="C612" s="60">
        <v>3.2199999999999997E-5</v>
      </c>
      <c r="E612" s="62">
        <v>8535.9132498710806</v>
      </c>
      <c r="F612" s="62">
        <v>18488.414973190578</v>
      </c>
      <c r="G612" s="62">
        <v>10344.511237860082</v>
      </c>
      <c r="H612" s="62">
        <v>-1577.7793999999981</v>
      </c>
      <c r="I612" s="62">
        <v>0</v>
      </c>
      <c r="J612" s="62"/>
      <c r="K612" s="62">
        <v>-193.74739999999997</v>
      </c>
      <c r="L612" s="62">
        <v>407.84519999999998</v>
      </c>
      <c r="M612" s="62">
        <v>756.76439999999991</v>
      </c>
      <c r="N612" s="62">
        <v>470.60299999999995</v>
      </c>
      <c r="O612" s="62">
        <v>0</v>
      </c>
      <c r="P612" s="62"/>
      <c r="Q612" s="62">
        <v>708.88299999999992</v>
      </c>
      <c r="R612" s="62">
        <v>11760.727999999999</v>
      </c>
      <c r="S612" s="62">
        <v>4500.3363999999992</v>
      </c>
      <c r="T612" s="62">
        <v>-5025.9047999999993</v>
      </c>
      <c r="U612" s="62">
        <v>0</v>
      </c>
      <c r="V612" s="62"/>
      <c r="W612" s="62">
        <v>2101.9193999999998</v>
      </c>
      <c r="X612" s="62">
        <v>2101.9193999999998</v>
      </c>
      <c r="Y612" s="62">
        <v>1932.1931999999997</v>
      </c>
      <c r="Z612" s="62">
        <v>889.36399999999992</v>
      </c>
      <c r="AA612" s="62">
        <v>0</v>
      </c>
      <c r="AB612" s="62"/>
      <c r="AC612" s="62">
        <v>5918.8582498710803</v>
      </c>
      <c r="AD612" s="62">
        <v>4217.9223731905822</v>
      </c>
      <c r="AE612" s="62">
        <v>3155.2172378600844</v>
      </c>
      <c r="AF612" s="62">
        <v>2088.1584000000012</v>
      </c>
      <c r="AG612" s="62">
        <v>0</v>
      </c>
      <c r="AH612" s="62"/>
      <c r="AI612" s="62">
        <v>0</v>
      </c>
      <c r="AJ612" s="62">
        <v>0</v>
      </c>
      <c r="AK612" s="62">
        <v>0</v>
      </c>
      <c r="AL612" s="62">
        <v>0</v>
      </c>
      <c r="AM612" s="62">
        <v>0</v>
      </c>
    </row>
    <row r="613" spans="1:39">
      <c r="A613" s="9">
        <v>96651</v>
      </c>
      <c r="B613" s="10" t="s">
        <v>1987</v>
      </c>
      <c r="C613" s="60">
        <v>1.7399999999999999E-5</v>
      </c>
      <c r="E613" s="62">
        <v>1054.8616810962558</v>
      </c>
      <c r="F613" s="62">
        <v>7872.7180751211508</v>
      </c>
      <c r="G613" s="62">
        <v>4409.9034083950619</v>
      </c>
      <c r="H613" s="62">
        <v>-1629.940520000001</v>
      </c>
      <c r="I613" s="62">
        <v>0</v>
      </c>
      <c r="J613" s="62"/>
      <c r="K613" s="62">
        <v>-104.69579999999999</v>
      </c>
      <c r="L613" s="62">
        <v>220.38839999999999</v>
      </c>
      <c r="M613" s="62">
        <v>408.9348</v>
      </c>
      <c r="N613" s="62">
        <v>254.30099999999999</v>
      </c>
      <c r="O613" s="62">
        <v>0</v>
      </c>
      <c r="P613" s="62"/>
      <c r="Q613" s="62">
        <v>383.06099999999998</v>
      </c>
      <c r="R613" s="62">
        <v>6355.1759999999995</v>
      </c>
      <c r="S613" s="62">
        <v>2431.8588</v>
      </c>
      <c r="T613" s="62">
        <v>-2715.8615999999997</v>
      </c>
      <c r="U613" s="62">
        <v>0</v>
      </c>
      <c r="V613" s="62"/>
      <c r="W613" s="62">
        <v>1135.8198</v>
      </c>
      <c r="X613" s="62">
        <v>1135.8198</v>
      </c>
      <c r="Y613" s="62">
        <v>1044.1043999999999</v>
      </c>
      <c r="Z613" s="62">
        <v>480.58799999999997</v>
      </c>
      <c r="AA613" s="62">
        <v>0</v>
      </c>
      <c r="AB613" s="62"/>
      <c r="AC613" s="62">
        <v>553.32664790123431</v>
      </c>
      <c r="AD613" s="62">
        <v>553.32664790123431</v>
      </c>
      <c r="AE613" s="62">
        <v>525.00540839506141</v>
      </c>
      <c r="AF613" s="62">
        <v>351.03207999999881</v>
      </c>
      <c r="AG613" s="62">
        <v>0</v>
      </c>
      <c r="AH613" s="62"/>
      <c r="AI613" s="62">
        <v>-912.64996680497836</v>
      </c>
      <c r="AJ613" s="62">
        <v>-391.99277278008236</v>
      </c>
      <c r="AK613" s="62">
        <v>0</v>
      </c>
      <c r="AL613" s="62">
        <v>0</v>
      </c>
      <c r="AM613" s="62">
        <v>0</v>
      </c>
    </row>
    <row r="614" spans="1:39">
      <c r="A614" s="9">
        <v>96661</v>
      </c>
      <c r="B614" s="10" t="s">
        <v>1988</v>
      </c>
      <c r="C614" s="60">
        <v>1.9700000000000001E-5</v>
      </c>
      <c r="E614" s="62">
        <v>4119.3277904291126</v>
      </c>
      <c r="F614" s="62">
        <v>10406.415114744465</v>
      </c>
      <c r="G614" s="62">
        <v>5265.5375868312767</v>
      </c>
      <c r="H614" s="62">
        <v>-1854.3864999999983</v>
      </c>
      <c r="I614" s="62">
        <v>0</v>
      </c>
      <c r="J614" s="62"/>
      <c r="K614" s="62">
        <v>-118.53490000000001</v>
      </c>
      <c r="L614" s="62">
        <v>249.52020000000002</v>
      </c>
      <c r="M614" s="62">
        <v>462.98940000000005</v>
      </c>
      <c r="N614" s="62">
        <v>287.91550000000001</v>
      </c>
      <c r="O614" s="62">
        <v>0</v>
      </c>
      <c r="P614" s="62"/>
      <c r="Q614" s="62">
        <v>433.69550000000004</v>
      </c>
      <c r="R614" s="62">
        <v>7195.2280000000001</v>
      </c>
      <c r="S614" s="62">
        <v>2753.3114</v>
      </c>
      <c r="T614" s="62">
        <v>-3074.8548000000001</v>
      </c>
      <c r="U614" s="62">
        <v>0</v>
      </c>
      <c r="V614" s="62"/>
      <c r="W614" s="62">
        <v>1285.9569000000001</v>
      </c>
      <c r="X614" s="62">
        <v>1285.9569000000001</v>
      </c>
      <c r="Y614" s="62">
        <v>1182.1182000000001</v>
      </c>
      <c r="Z614" s="62">
        <v>544.11400000000003</v>
      </c>
      <c r="AA614" s="62">
        <v>0</v>
      </c>
      <c r="AB614" s="62"/>
      <c r="AC614" s="62">
        <v>2518.2102904291123</v>
      </c>
      <c r="AD614" s="62">
        <v>1675.7100147444653</v>
      </c>
      <c r="AE614" s="62">
        <v>867.1185868312773</v>
      </c>
      <c r="AF614" s="62">
        <v>388.43880000000172</v>
      </c>
      <c r="AG614" s="62">
        <v>0</v>
      </c>
      <c r="AH614" s="62"/>
      <c r="AI614" s="62">
        <v>0</v>
      </c>
      <c r="AJ614" s="62">
        <v>0</v>
      </c>
      <c r="AK614" s="62">
        <v>0</v>
      </c>
      <c r="AL614" s="62">
        <v>0</v>
      </c>
      <c r="AM614" s="62">
        <v>0</v>
      </c>
    </row>
    <row r="615" spans="1:39">
      <c r="A615" s="9">
        <v>96671</v>
      </c>
      <c r="B615" s="10" t="s">
        <v>1989</v>
      </c>
      <c r="C615" s="60">
        <v>1.49E-5</v>
      </c>
      <c r="E615" s="62">
        <v>4833.222760451139</v>
      </c>
      <c r="F615" s="62">
        <v>9986.4515363847495</v>
      </c>
      <c r="G615" s="62">
        <v>4514.0726374485603</v>
      </c>
      <c r="H615" s="62">
        <v>-1485.0045</v>
      </c>
      <c r="I615" s="62">
        <v>0</v>
      </c>
      <c r="J615" s="62"/>
      <c r="K615" s="62">
        <v>-89.653300000000002</v>
      </c>
      <c r="L615" s="62">
        <v>188.7234</v>
      </c>
      <c r="M615" s="62">
        <v>350.1798</v>
      </c>
      <c r="N615" s="62">
        <v>217.76349999999999</v>
      </c>
      <c r="O615" s="62">
        <v>0</v>
      </c>
      <c r="P615" s="62"/>
      <c r="Q615" s="62">
        <v>328.02350000000001</v>
      </c>
      <c r="R615" s="62">
        <v>5442.076</v>
      </c>
      <c r="S615" s="62">
        <v>2082.4537999999998</v>
      </c>
      <c r="T615" s="62">
        <v>-2325.6516000000001</v>
      </c>
      <c r="U615" s="62">
        <v>0</v>
      </c>
      <c r="V615" s="62"/>
      <c r="W615" s="62">
        <v>972.62729999999999</v>
      </c>
      <c r="X615" s="62">
        <v>972.62729999999999</v>
      </c>
      <c r="Y615" s="62">
        <v>894.08939999999996</v>
      </c>
      <c r="Z615" s="62">
        <v>411.53800000000001</v>
      </c>
      <c r="AA615" s="62">
        <v>0</v>
      </c>
      <c r="AB615" s="62"/>
      <c r="AC615" s="62">
        <v>3830.1252604511383</v>
      </c>
      <c r="AD615" s="62">
        <v>3383.0248363847491</v>
      </c>
      <c r="AE615" s="62">
        <v>1187.3496374485603</v>
      </c>
      <c r="AF615" s="62">
        <v>211.34560000000019</v>
      </c>
      <c r="AG615" s="62">
        <v>0</v>
      </c>
      <c r="AH615" s="62"/>
      <c r="AI615" s="62">
        <v>-207.90000000000003</v>
      </c>
      <c r="AJ615" s="62">
        <v>0</v>
      </c>
      <c r="AK615" s="62">
        <v>0</v>
      </c>
      <c r="AL615" s="62">
        <v>0</v>
      </c>
      <c r="AM615" s="62">
        <v>0</v>
      </c>
    </row>
    <row r="616" spans="1:39">
      <c r="A616" s="9">
        <v>96681</v>
      </c>
      <c r="B616" s="10" t="s">
        <v>1990</v>
      </c>
      <c r="C616" s="60">
        <v>1.7499999999999998E-5</v>
      </c>
      <c r="E616" s="62">
        <v>4558.8592104943345</v>
      </c>
      <c r="F616" s="62">
        <v>10885.05126518313</v>
      </c>
      <c r="G616" s="62">
        <v>3367.5186982716014</v>
      </c>
      <c r="H616" s="62">
        <v>-4063.1981400000013</v>
      </c>
      <c r="I616" s="62">
        <v>0</v>
      </c>
      <c r="J616" s="62"/>
      <c r="K616" s="62">
        <v>-105.29749999999999</v>
      </c>
      <c r="L616" s="62">
        <v>221.65499999999997</v>
      </c>
      <c r="M616" s="62">
        <v>411.28499999999997</v>
      </c>
      <c r="N616" s="62">
        <v>255.76249999999999</v>
      </c>
      <c r="O616" s="62">
        <v>0</v>
      </c>
      <c r="P616" s="62"/>
      <c r="Q616" s="62">
        <v>385.26249999999999</v>
      </c>
      <c r="R616" s="62">
        <v>6391.7</v>
      </c>
      <c r="S616" s="62">
        <v>2445.8349999999996</v>
      </c>
      <c r="T616" s="62">
        <v>-2731.47</v>
      </c>
      <c r="U616" s="62">
        <v>0</v>
      </c>
      <c r="V616" s="62"/>
      <c r="W616" s="62">
        <v>1142.3474999999999</v>
      </c>
      <c r="X616" s="62">
        <v>1142.3474999999999</v>
      </c>
      <c r="Y616" s="62">
        <v>1050.105</v>
      </c>
      <c r="Z616" s="62">
        <v>483.34999999999997</v>
      </c>
      <c r="AA616" s="62">
        <v>0</v>
      </c>
      <c r="AB616" s="62"/>
      <c r="AC616" s="62">
        <v>5950.8773504943365</v>
      </c>
      <c r="AD616" s="62">
        <v>5200.1894051831341</v>
      </c>
      <c r="AE616" s="62">
        <v>1531.1343382716036</v>
      </c>
      <c r="AF616" s="62">
        <v>0</v>
      </c>
      <c r="AG616" s="62">
        <v>0</v>
      </c>
      <c r="AH616" s="62"/>
      <c r="AI616" s="62">
        <v>-2814.3306400000015</v>
      </c>
      <c r="AJ616" s="62">
        <v>-2070.8406400000013</v>
      </c>
      <c r="AK616" s="62">
        <v>-2070.8406400000013</v>
      </c>
      <c r="AL616" s="62">
        <v>-2070.8406400000013</v>
      </c>
      <c r="AM616" s="62">
        <v>0</v>
      </c>
    </row>
    <row r="617" spans="1:39">
      <c r="A617" s="9">
        <v>96701</v>
      </c>
      <c r="B617" s="10" t="s">
        <v>1991</v>
      </c>
      <c r="C617" s="60">
        <v>8.4206000000000003E-3</v>
      </c>
      <c r="E617" s="62">
        <v>824099.90537802083</v>
      </c>
      <c r="F617" s="62">
        <v>3867991.5457307184</v>
      </c>
      <c r="G617" s="62">
        <v>1933889.4400057618</v>
      </c>
      <c r="H617" s="62">
        <v>-893850.65339999972</v>
      </c>
      <c r="I617" s="62">
        <v>0</v>
      </c>
      <c r="J617" s="62"/>
      <c r="K617" s="62">
        <v>-50666.750200000002</v>
      </c>
      <c r="L617" s="62">
        <v>106655.3196</v>
      </c>
      <c r="M617" s="62">
        <v>197900.9412</v>
      </c>
      <c r="N617" s="62">
        <v>123067.069</v>
      </c>
      <c r="O617" s="62">
        <v>0</v>
      </c>
      <c r="P617" s="62"/>
      <c r="Q617" s="62">
        <v>185379.50900000002</v>
      </c>
      <c r="R617" s="62">
        <v>3075539.9440000001</v>
      </c>
      <c r="S617" s="62">
        <v>1176879.8972</v>
      </c>
      <c r="T617" s="62">
        <v>-1314320.9304</v>
      </c>
      <c r="U617" s="62">
        <v>0</v>
      </c>
      <c r="V617" s="62"/>
      <c r="W617" s="62">
        <v>549671.50620000006</v>
      </c>
      <c r="X617" s="62">
        <v>549671.50620000006</v>
      </c>
      <c r="Y617" s="62">
        <v>505286.52360000001</v>
      </c>
      <c r="Z617" s="62">
        <v>232576.97200000001</v>
      </c>
      <c r="AA617" s="62">
        <v>0</v>
      </c>
      <c r="AB617" s="62"/>
      <c r="AC617" s="62">
        <v>167379.98292946073</v>
      </c>
      <c r="AD617" s="62">
        <v>148920.30848215788</v>
      </c>
      <c r="AE617" s="62">
        <v>64826.236000000215</v>
      </c>
      <c r="AF617" s="62">
        <v>64826.236000000215</v>
      </c>
      <c r="AG617" s="62">
        <v>0</v>
      </c>
      <c r="AH617" s="62"/>
      <c r="AI617" s="62">
        <v>-27664.342551440011</v>
      </c>
      <c r="AJ617" s="62">
        <v>-12795.532551440008</v>
      </c>
      <c r="AK617" s="62">
        <v>-11004.157994238411</v>
      </c>
      <c r="AL617" s="62">
        <v>0</v>
      </c>
      <c r="AM617" s="62">
        <v>0</v>
      </c>
    </row>
    <row r="618" spans="1:39">
      <c r="A618" s="9">
        <v>96704</v>
      </c>
      <c r="B618" s="10" t="s">
        <v>1992</v>
      </c>
      <c r="C618" s="60">
        <v>1.7259999999999999E-4</v>
      </c>
      <c r="E618" s="62">
        <v>23624.385605165033</v>
      </c>
      <c r="F618" s="62">
        <v>83244.530467405682</v>
      </c>
      <c r="G618" s="62">
        <v>45150.280229547323</v>
      </c>
      <c r="H618" s="62">
        <v>-13798.906839999998</v>
      </c>
      <c r="I618" s="62">
        <v>0</v>
      </c>
      <c r="J618" s="62"/>
      <c r="K618" s="62">
        <v>-1038.5342000000001</v>
      </c>
      <c r="L618" s="62">
        <v>2186.1516000000001</v>
      </c>
      <c r="M618" s="62">
        <v>4056.4451999999997</v>
      </c>
      <c r="N618" s="62">
        <v>2522.549</v>
      </c>
      <c r="O618" s="62">
        <v>0</v>
      </c>
      <c r="P618" s="62"/>
      <c r="Q618" s="62">
        <v>3799.7889999999998</v>
      </c>
      <c r="R618" s="62">
        <v>63040.423999999999</v>
      </c>
      <c r="S618" s="62">
        <v>24122.921200000001</v>
      </c>
      <c r="T618" s="62">
        <v>-26940.098399999999</v>
      </c>
      <c r="U618" s="62">
        <v>0</v>
      </c>
      <c r="V618" s="62"/>
      <c r="W618" s="62">
        <v>11266.8102</v>
      </c>
      <c r="X618" s="62">
        <v>11266.8102</v>
      </c>
      <c r="Y618" s="62">
        <v>10357.035599999999</v>
      </c>
      <c r="Z618" s="62">
        <v>4767.2119999999995</v>
      </c>
      <c r="AA618" s="62">
        <v>0</v>
      </c>
      <c r="AB618" s="62"/>
      <c r="AC618" s="62">
        <v>9596.3206051650341</v>
      </c>
      <c r="AD618" s="62">
        <v>6751.1446674056979</v>
      </c>
      <c r="AE618" s="62">
        <v>6613.8782295473247</v>
      </c>
      <c r="AF618" s="62">
        <v>5851.4305600000025</v>
      </c>
      <c r="AG618" s="62">
        <v>0</v>
      </c>
      <c r="AH618" s="62"/>
      <c r="AI618" s="62">
        <v>0</v>
      </c>
      <c r="AJ618" s="62">
        <v>0</v>
      </c>
      <c r="AK618" s="62">
        <v>0</v>
      </c>
      <c r="AL618" s="62">
        <v>0</v>
      </c>
      <c r="AM618" s="62">
        <v>0</v>
      </c>
    </row>
    <row r="619" spans="1:39">
      <c r="A619" s="9">
        <v>96708</v>
      </c>
      <c r="B619" s="10" t="s">
        <v>1993</v>
      </c>
      <c r="C619" s="60">
        <v>9.031E-4</v>
      </c>
      <c r="E619" s="62">
        <v>102463.1757359074</v>
      </c>
      <c r="F619" s="62">
        <v>421166.59082221444</v>
      </c>
      <c r="G619" s="62">
        <v>210666.0501273252</v>
      </c>
      <c r="H619" s="62">
        <v>-87803.703019999914</v>
      </c>
      <c r="I619" s="62">
        <v>0</v>
      </c>
      <c r="J619" s="62"/>
      <c r="K619" s="62">
        <v>-5433.9526999999998</v>
      </c>
      <c r="L619" s="62">
        <v>11438.6646</v>
      </c>
      <c r="M619" s="62">
        <v>21224.656200000001</v>
      </c>
      <c r="N619" s="62">
        <v>13198.806500000001</v>
      </c>
      <c r="O619" s="62">
        <v>0</v>
      </c>
      <c r="P619" s="62"/>
      <c r="Q619" s="62">
        <v>19881.746500000001</v>
      </c>
      <c r="R619" s="62">
        <v>329848.24400000001</v>
      </c>
      <c r="S619" s="62">
        <v>126219.0622</v>
      </c>
      <c r="T619" s="62">
        <v>-140959.46040000001</v>
      </c>
      <c r="U619" s="62">
        <v>0</v>
      </c>
      <c r="V619" s="62"/>
      <c r="W619" s="62">
        <v>58951.6587</v>
      </c>
      <c r="X619" s="62">
        <v>58951.6587</v>
      </c>
      <c r="Y619" s="62">
        <v>54191.418599999997</v>
      </c>
      <c r="Z619" s="62">
        <v>24943.621999999999</v>
      </c>
      <c r="AA619" s="62">
        <v>0</v>
      </c>
      <c r="AB619" s="62"/>
      <c r="AC619" s="62">
        <v>36020.020622738688</v>
      </c>
      <c r="AD619" s="62">
        <v>27884.320909045742</v>
      </c>
      <c r="AE619" s="62">
        <v>15013.328880000092</v>
      </c>
      <c r="AF619" s="62">
        <v>15013.328880000092</v>
      </c>
      <c r="AG619" s="62">
        <v>0</v>
      </c>
      <c r="AH619" s="62"/>
      <c r="AI619" s="62">
        <v>-6956.2973868312874</v>
      </c>
      <c r="AJ619" s="62">
        <v>-6956.2973868312874</v>
      </c>
      <c r="AK619" s="62">
        <v>-5982.4157526749095</v>
      </c>
      <c r="AL619" s="62">
        <v>0</v>
      </c>
      <c r="AM619" s="62">
        <v>0</v>
      </c>
    </row>
    <row r="620" spans="1:39">
      <c r="A620" s="9">
        <v>96711</v>
      </c>
      <c r="B620" s="10" t="s">
        <v>1994</v>
      </c>
      <c r="C620" s="60">
        <v>4.0464000000000003E-3</v>
      </c>
      <c r="E620" s="62">
        <v>163678.72841643065</v>
      </c>
      <c r="F620" s="62">
        <v>1635237.973995103</v>
      </c>
      <c r="G620" s="62">
        <v>827622.10191934218</v>
      </c>
      <c r="H620" s="62">
        <v>-519838.42879999964</v>
      </c>
      <c r="I620" s="62">
        <v>0</v>
      </c>
      <c r="J620" s="62"/>
      <c r="K620" s="62">
        <v>-24347.188800000004</v>
      </c>
      <c r="L620" s="62">
        <v>51251.702400000002</v>
      </c>
      <c r="M620" s="62">
        <v>95098.492800000007</v>
      </c>
      <c r="N620" s="62">
        <v>59138.136000000006</v>
      </c>
      <c r="O620" s="62">
        <v>0</v>
      </c>
      <c r="P620" s="62"/>
      <c r="Q620" s="62">
        <v>89081.496000000014</v>
      </c>
      <c r="R620" s="62">
        <v>1477907.1360000002</v>
      </c>
      <c r="S620" s="62">
        <v>565532.95680000004</v>
      </c>
      <c r="T620" s="62">
        <v>-631578.29760000005</v>
      </c>
      <c r="U620" s="62">
        <v>0</v>
      </c>
      <c r="V620" s="62"/>
      <c r="W620" s="62">
        <v>264136.85280000005</v>
      </c>
      <c r="X620" s="62">
        <v>264136.85280000005</v>
      </c>
      <c r="Y620" s="62">
        <v>242808.27840000001</v>
      </c>
      <c r="Z620" s="62">
        <v>111761.56800000001</v>
      </c>
      <c r="AA620" s="62">
        <v>0</v>
      </c>
      <c r="AB620" s="62"/>
      <c r="AC620" s="62">
        <v>10322.730000000001</v>
      </c>
      <c r="AD620" s="62">
        <v>0</v>
      </c>
      <c r="AE620" s="62">
        <v>0</v>
      </c>
      <c r="AF620" s="62">
        <v>0</v>
      </c>
      <c r="AG620" s="62">
        <v>0</v>
      </c>
      <c r="AH620" s="62"/>
      <c r="AI620" s="62">
        <v>-175515.16158356937</v>
      </c>
      <c r="AJ620" s="62">
        <v>-158057.7172048972</v>
      </c>
      <c r="AK620" s="62">
        <v>-75817.626080657981</v>
      </c>
      <c r="AL620" s="62">
        <v>-59159.835199999667</v>
      </c>
      <c r="AM620" s="62">
        <v>0</v>
      </c>
    </row>
    <row r="621" spans="1:39">
      <c r="A621" s="9">
        <v>96721</v>
      </c>
      <c r="B621" s="10" t="s">
        <v>1995</v>
      </c>
      <c r="C621" s="60">
        <v>2.1379999999999999E-4</v>
      </c>
      <c r="E621" s="62">
        <v>16055.790510757319</v>
      </c>
      <c r="F621" s="62">
        <v>88259.979285695066</v>
      </c>
      <c r="G621" s="62">
        <v>42339.50782502057</v>
      </c>
      <c r="H621" s="62">
        <v>-22056.831240000014</v>
      </c>
      <c r="I621" s="62">
        <v>0</v>
      </c>
      <c r="J621" s="62"/>
      <c r="K621" s="62">
        <v>-1286.4346</v>
      </c>
      <c r="L621" s="62">
        <v>2707.9908</v>
      </c>
      <c r="M621" s="62">
        <v>5024.7276000000002</v>
      </c>
      <c r="N621" s="62">
        <v>3124.6869999999999</v>
      </c>
      <c r="O621" s="62">
        <v>0</v>
      </c>
      <c r="P621" s="62"/>
      <c r="Q621" s="62">
        <v>4706.8069999999998</v>
      </c>
      <c r="R621" s="62">
        <v>78088.311999999991</v>
      </c>
      <c r="S621" s="62">
        <v>29881.115599999997</v>
      </c>
      <c r="T621" s="62">
        <v>-33370.7592</v>
      </c>
      <c r="U621" s="62">
        <v>0</v>
      </c>
      <c r="V621" s="62"/>
      <c r="W621" s="62">
        <v>13956.222599999999</v>
      </c>
      <c r="X621" s="62">
        <v>13956.222599999999</v>
      </c>
      <c r="Y621" s="62">
        <v>12829.282799999999</v>
      </c>
      <c r="Z621" s="62">
        <v>5905.1559999999999</v>
      </c>
      <c r="AA621" s="62">
        <v>0</v>
      </c>
      <c r="AB621" s="62"/>
      <c r="AC621" s="62">
        <v>7609.0828770124535</v>
      </c>
      <c r="AD621" s="62">
        <v>2437.3412519502094</v>
      </c>
      <c r="AE621" s="62">
        <v>2284.0849599999897</v>
      </c>
      <c r="AF621" s="62">
        <v>2284.0849599999897</v>
      </c>
      <c r="AG621" s="62">
        <v>0</v>
      </c>
      <c r="AH621" s="62"/>
      <c r="AI621" s="62">
        <v>-8929.8873662551323</v>
      </c>
      <c r="AJ621" s="62">
        <v>-8929.8873662551323</v>
      </c>
      <c r="AK621" s="62">
        <v>-7679.703134979417</v>
      </c>
      <c r="AL621" s="62">
        <v>0</v>
      </c>
      <c r="AM621" s="62">
        <v>0</v>
      </c>
    </row>
    <row r="622" spans="1:39">
      <c r="A622" s="9">
        <v>96731</v>
      </c>
      <c r="B622" s="10" t="s">
        <v>1996</v>
      </c>
      <c r="C622" s="60">
        <v>1.697E-4</v>
      </c>
      <c r="E622" s="62">
        <v>21092.029869968082</v>
      </c>
      <c r="F622" s="62">
        <v>82120.986574366427</v>
      </c>
      <c r="G622" s="62">
        <v>42580.905944609069</v>
      </c>
      <c r="H622" s="62">
        <v>-17279.168419999987</v>
      </c>
      <c r="I622" s="62">
        <v>0</v>
      </c>
      <c r="J622" s="62"/>
      <c r="K622" s="62">
        <v>-1021.0849000000001</v>
      </c>
      <c r="L622" s="62">
        <v>2149.4202</v>
      </c>
      <c r="M622" s="62">
        <v>3988.2894000000001</v>
      </c>
      <c r="N622" s="62">
        <v>2480.1655000000001</v>
      </c>
      <c r="O622" s="62">
        <v>0</v>
      </c>
      <c r="P622" s="62"/>
      <c r="Q622" s="62">
        <v>3735.9455000000003</v>
      </c>
      <c r="R622" s="62">
        <v>61981.228000000003</v>
      </c>
      <c r="S622" s="62">
        <v>23717.611400000002</v>
      </c>
      <c r="T622" s="62">
        <v>-26487.4548</v>
      </c>
      <c r="U622" s="62">
        <v>0</v>
      </c>
      <c r="V622" s="62"/>
      <c r="W622" s="62">
        <v>11077.5069</v>
      </c>
      <c r="X622" s="62">
        <v>11077.5069</v>
      </c>
      <c r="Y622" s="62">
        <v>10183.0182</v>
      </c>
      <c r="Z622" s="62">
        <v>4687.1140000000005</v>
      </c>
      <c r="AA622" s="62">
        <v>0</v>
      </c>
      <c r="AB622" s="62"/>
      <c r="AC622" s="62">
        <v>7305.6023699680827</v>
      </c>
      <c r="AD622" s="62">
        <v>6912.8314743664241</v>
      </c>
      <c r="AE622" s="62">
        <v>4691.9869446090679</v>
      </c>
      <c r="AF622" s="62">
        <v>2041.0068800000126</v>
      </c>
      <c r="AG622" s="62">
        <v>0</v>
      </c>
      <c r="AH622" s="62"/>
      <c r="AI622" s="62">
        <v>-5.9400000000000013</v>
      </c>
      <c r="AJ622" s="62">
        <v>0</v>
      </c>
      <c r="AK622" s="62">
        <v>0</v>
      </c>
      <c r="AL622" s="62">
        <v>0</v>
      </c>
      <c r="AM622" s="62">
        <v>0</v>
      </c>
    </row>
    <row r="623" spans="1:39">
      <c r="A623" s="9">
        <v>96733</v>
      </c>
      <c r="B623" s="10" t="s">
        <v>1997</v>
      </c>
      <c r="C623" s="60">
        <v>7.3000000000000004E-6</v>
      </c>
      <c r="E623" s="62">
        <v>2156.4252191865171</v>
      </c>
      <c r="F623" s="62">
        <v>3829.7036133773886</v>
      </c>
      <c r="G623" s="62">
        <v>2384.5474079012347</v>
      </c>
      <c r="H623" s="62">
        <v>-964.14026000000035</v>
      </c>
      <c r="I623" s="62">
        <v>0</v>
      </c>
      <c r="J623" s="62"/>
      <c r="K623" s="62">
        <v>-43.924100000000003</v>
      </c>
      <c r="L623" s="62">
        <v>92.461800000000011</v>
      </c>
      <c r="M623" s="62">
        <v>171.56460000000001</v>
      </c>
      <c r="N623" s="62">
        <v>106.68950000000001</v>
      </c>
      <c r="O623" s="62">
        <v>0</v>
      </c>
      <c r="P623" s="62"/>
      <c r="Q623" s="62">
        <v>160.70950000000002</v>
      </c>
      <c r="R623" s="62">
        <v>2666.252</v>
      </c>
      <c r="S623" s="62">
        <v>1020.2626</v>
      </c>
      <c r="T623" s="62">
        <v>-1139.4132</v>
      </c>
      <c r="U623" s="62">
        <v>0</v>
      </c>
      <c r="V623" s="62"/>
      <c r="W623" s="62">
        <v>476.52210000000002</v>
      </c>
      <c r="X623" s="62">
        <v>476.52210000000002</v>
      </c>
      <c r="Y623" s="62">
        <v>438.04380000000003</v>
      </c>
      <c r="Z623" s="62">
        <v>201.626</v>
      </c>
      <c r="AA623" s="62">
        <v>0</v>
      </c>
      <c r="AB623" s="62"/>
      <c r="AC623" s="62">
        <v>2067.7713580246914</v>
      </c>
      <c r="AD623" s="62">
        <v>1032.2313580246912</v>
      </c>
      <c r="AE623" s="62">
        <v>887.71896790123481</v>
      </c>
      <c r="AF623" s="62">
        <v>0</v>
      </c>
      <c r="AG623" s="62">
        <v>0</v>
      </c>
      <c r="AH623" s="62"/>
      <c r="AI623" s="62">
        <v>-504.65363883817417</v>
      </c>
      <c r="AJ623" s="62">
        <v>-437.76364464730295</v>
      </c>
      <c r="AK623" s="62">
        <v>-133.04256000000029</v>
      </c>
      <c r="AL623" s="62">
        <v>-133.04256000000029</v>
      </c>
      <c r="AM623" s="62">
        <v>0</v>
      </c>
    </row>
    <row r="624" spans="1:39">
      <c r="A624" s="9">
        <v>96741</v>
      </c>
      <c r="B624" s="10" t="s">
        <v>1998</v>
      </c>
      <c r="C624" s="60">
        <v>9.0799999999999998E-5</v>
      </c>
      <c r="E624" s="62">
        <v>9580.9457427187954</v>
      </c>
      <c r="F624" s="62">
        <v>40809.651521059044</v>
      </c>
      <c r="G624" s="62">
        <v>19612.23971045269</v>
      </c>
      <c r="H624" s="62">
        <v>-10653.07151999999</v>
      </c>
      <c r="I624" s="62">
        <v>0</v>
      </c>
      <c r="J624" s="62"/>
      <c r="K624" s="62">
        <v>-546.34360000000004</v>
      </c>
      <c r="L624" s="62">
        <v>1150.0727999999999</v>
      </c>
      <c r="M624" s="62">
        <v>2133.9816000000001</v>
      </c>
      <c r="N624" s="62">
        <v>1327.0419999999999</v>
      </c>
      <c r="O624" s="62">
        <v>0</v>
      </c>
      <c r="P624" s="62"/>
      <c r="Q624" s="62">
        <v>1998.962</v>
      </c>
      <c r="R624" s="62">
        <v>33163.792000000001</v>
      </c>
      <c r="S624" s="62">
        <v>12690.3896</v>
      </c>
      <c r="T624" s="62">
        <v>-14172.4272</v>
      </c>
      <c r="U624" s="62">
        <v>0</v>
      </c>
      <c r="V624" s="62"/>
      <c r="W624" s="62">
        <v>5927.1516000000001</v>
      </c>
      <c r="X624" s="62">
        <v>5927.1516000000001</v>
      </c>
      <c r="Y624" s="62">
        <v>5448.5447999999997</v>
      </c>
      <c r="Z624" s="62">
        <v>2507.8959999999997</v>
      </c>
      <c r="AA624" s="62">
        <v>0</v>
      </c>
      <c r="AB624" s="62"/>
      <c r="AC624" s="62">
        <v>2918.0301203319505</v>
      </c>
      <c r="AD624" s="62">
        <v>1285.4894986721993</v>
      </c>
      <c r="AE624" s="62">
        <v>0</v>
      </c>
      <c r="AF624" s="62">
        <v>0</v>
      </c>
      <c r="AG624" s="62">
        <v>0</v>
      </c>
      <c r="AH624" s="62"/>
      <c r="AI624" s="62">
        <v>-716.85437761315598</v>
      </c>
      <c r="AJ624" s="62">
        <v>-716.85437761315598</v>
      </c>
      <c r="AK624" s="62">
        <v>-660.67628954731288</v>
      </c>
      <c r="AL624" s="62">
        <v>-315.58231999998969</v>
      </c>
      <c r="AM624" s="62">
        <v>0</v>
      </c>
    </row>
    <row r="625" spans="1:39">
      <c r="A625" s="9">
        <v>96751</v>
      </c>
      <c r="B625" s="10" t="s">
        <v>1999</v>
      </c>
      <c r="C625" s="60">
        <v>2.5809999999999999E-4</v>
      </c>
      <c r="E625" s="62">
        <v>20131.019566986317</v>
      </c>
      <c r="F625" s="62">
        <v>103282.43967279543</v>
      </c>
      <c r="G625" s="62">
        <v>50090.992447407385</v>
      </c>
      <c r="H625" s="62">
        <v>-30470.039060000003</v>
      </c>
      <c r="I625" s="62">
        <v>0</v>
      </c>
      <c r="J625" s="62"/>
      <c r="K625" s="62">
        <v>-1552.9876999999999</v>
      </c>
      <c r="L625" s="62">
        <v>3269.0945999999999</v>
      </c>
      <c r="M625" s="62">
        <v>6065.8661999999995</v>
      </c>
      <c r="N625" s="62">
        <v>3772.1315</v>
      </c>
      <c r="O625" s="62">
        <v>0</v>
      </c>
      <c r="P625" s="62"/>
      <c r="Q625" s="62">
        <v>5682.0715</v>
      </c>
      <c r="R625" s="62">
        <v>94268.443999999989</v>
      </c>
      <c r="S625" s="62">
        <v>36072.572199999995</v>
      </c>
      <c r="T625" s="62">
        <v>-40285.280399999996</v>
      </c>
      <c r="U625" s="62">
        <v>0</v>
      </c>
      <c r="V625" s="62"/>
      <c r="W625" s="62">
        <v>16847.993699999999</v>
      </c>
      <c r="X625" s="62">
        <v>16847.993699999999</v>
      </c>
      <c r="Y625" s="62">
        <v>15487.548599999998</v>
      </c>
      <c r="Z625" s="62">
        <v>7128.7219999999998</v>
      </c>
      <c r="AA625" s="62">
        <v>0</v>
      </c>
      <c r="AB625" s="62"/>
      <c r="AC625" s="62">
        <v>10809.810000000003</v>
      </c>
      <c r="AD625" s="62">
        <v>0</v>
      </c>
      <c r="AE625" s="62">
        <v>0</v>
      </c>
      <c r="AF625" s="62">
        <v>0</v>
      </c>
      <c r="AG625" s="62">
        <v>0</v>
      </c>
      <c r="AH625" s="62"/>
      <c r="AI625" s="62">
        <v>-11655.867933013687</v>
      </c>
      <c r="AJ625" s="62">
        <v>-11103.09262720456</v>
      </c>
      <c r="AK625" s="62">
        <v>-7534.9945525926087</v>
      </c>
      <c r="AL625" s="62">
        <v>-1085.6121600000101</v>
      </c>
      <c r="AM625" s="62">
        <v>0</v>
      </c>
    </row>
    <row r="626" spans="1:39">
      <c r="A626" s="9">
        <v>96801</v>
      </c>
      <c r="B626" s="10" t="s">
        <v>2000</v>
      </c>
      <c r="C626" s="60">
        <v>7.5814000000000003E-3</v>
      </c>
      <c r="E626" s="62">
        <v>832539.18973340222</v>
      </c>
      <c r="F626" s="62">
        <v>3455438.8132714932</v>
      </c>
      <c r="G626" s="62">
        <v>1732820.5016199171</v>
      </c>
      <c r="H626" s="62">
        <v>-881429.20812000032</v>
      </c>
      <c r="I626" s="62">
        <v>0</v>
      </c>
      <c r="J626" s="62"/>
      <c r="K626" s="62">
        <v>-45617.283800000005</v>
      </c>
      <c r="L626" s="62">
        <v>96026.012400000007</v>
      </c>
      <c r="M626" s="62">
        <v>178178.06280000001</v>
      </c>
      <c r="N626" s="62">
        <v>110802.16100000001</v>
      </c>
      <c r="O626" s="62">
        <v>0</v>
      </c>
      <c r="P626" s="62"/>
      <c r="Q626" s="62">
        <v>166904.52100000001</v>
      </c>
      <c r="R626" s="62">
        <v>2769030.5360000003</v>
      </c>
      <c r="S626" s="62">
        <v>1059591.6268</v>
      </c>
      <c r="T626" s="62">
        <v>-1183335.2376000001</v>
      </c>
      <c r="U626" s="62">
        <v>0</v>
      </c>
      <c r="V626" s="62"/>
      <c r="W626" s="62">
        <v>494891.0478</v>
      </c>
      <c r="X626" s="62">
        <v>494891.0478</v>
      </c>
      <c r="Y626" s="62">
        <v>454929.48840000003</v>
      </c>
      <c r="Z626" s="62">
        <v>209398.26800000001</v>
      </c>
      <c r="AA626" s="62">
        <v>0</v>
      </c>
      <c r="AB626" s="62"/>
      <c r="AC626" s="62">
        <v>234655.30425340252</v>
      </c>
      <c r="AD626" s="62">
        <v>113785.61659149379</v>
      </c>
      <c r="AE626" s="62">
        <v>58415.723139917791</v>
      </c>
      <c r="AF626" s="62">
        <v>0</v>
      </c>
      <c r="AG626" s="62">
        <v>0</v>
      </c>
      <c r="AH626" s="62"/>
      <c r="AI626" s="62">
        <v>-18294.399520000348</v>
      </c>
      <c r="AJ626" s="62">
        <v>-18294.399520000348</v>
      </c>
      <c r="AK626" s="62">
        <v>-18294.399520000348</v>
      </c>
      <c r="AL626" s="62">
        <v>-18294.399520000348</v>
      </c>
      <c r="AM626" s="62">
        <v>0</v>
      </c>
    </row>
    <row r="627" spans="1:39">
      <c r="A627" s="9">
        <v>96804</v>
      </c>
      <c r="B627" s="10" t="s">
        <v>2001</v>
      </c>
      <c r="C627" s="60">
        <v>2.654E-4</v>
      </c>
      <c r="E627" s="62">
        <v>23972.714492489788</v>
      </c>
      <c r="F627" s="62">
        <v>118070.0389049379</v>
      </c>
      <c r="G627" s="62">
        <v>60621.732720082291</v>
      </c>
      <c r="H627" s="62">
        <v>-28876.667240000024</v>
      </c>
      <c r="I627" s="62">
        <v>0</v>
      </c>
      <c r="J627" s="62"/>
      <c r="K627" s="62">
        <v>-1596.9118000000001</v>
      </c>
      <c r="L627" s="62">
        <v>3361.5563999999999</v>
      </c>
      <c r="M627" s="62">
        <v>6237.4308000000001</v>
      </c>
      <c r="N627" s="62">
        <v>3878.8209999999999</v>
      </c>
      <c r="O627" s="62">
        <v>0</v>
      </c>
      <c r="P627" s="62"/>
      <c r="Q627" s="62">
        <v>5842.7809999999999</v>
      </c>
      <c r="R627" s="62">
        <v>96934.695999999996</v>
      </c>
      <c r="S627" s="62">
        <v>37092.834799999997</v>
      </c>
      <c r="T627" s="62">
        <v>-41424.693599999999</v>
      </c>
      <c r="U627" s="62">
        <v>0</v>
      </c>
      <c r="V627" s="62"/>
      <c r="W627" s="62">
        <v>17324.515800000001</v>
      </c>
      <c r="X627" s="62">
        <v>17324.515800000001</v>
      </c>
      <c r="Y627" s="62">
        <v>15925.5924</v>
      </c>
      <c r="Z627" s="62">
        <v>7330.348</v>
      </c>
      <c r="AA627" s="62">
        <v>0</v>
      </c>
      <c r="AB627" s="62"/>
      <c r="AC627" s="62">
        <v>3525.5028949794132</v>
      </c>
      <c r="AD627" s="62">
        <v>1370.2728949794125</v>
      </c>
      <c r="AE627" s="62">
        <v>1365.874720082292</v>
      </c>
      <c r="AF627" s="62">
        <v>1338.85735999998</v>
      </c>
      <c r="AG627" s="62">
        <v>0</v>
      </c>
      <c r="AH627" s="62"/>
      <c r="AI627" s="62">
        <v>-1123.1734024896298</v>
      </c>
      <c r="AJ627" s="62">
        <v>-921.00219004149676</v>
      </c>
      <c r="AK627" s="62">
        <v>0</v>
      </c>
      <c r="AL627" s="62">
        <v>0</v>
      </c>
      <c r="AM627" s="62">
        <v>0</v>
      </c>
    </row>
    <row r="628" spans="1:39">
      <c r="A628" s="9">
        <v>96808</v>
      </c>
      <c r="B628" s="10" t="s">
        <v>2002</v>
      </c>
      <c r="C628" s="60">
        <v>1.2711000000000001E-3</v>
      </c>
      <c r="E628" s="62">
        <v>126822.96555587344</v>
      </c>
      <c r="F628" s="62">
        <v>574158.87391271989</v>
      </c>
      <c r="G628" s="62">
        <v>289210.05449102871</v>
      </c>
      <c r="H628" s="62">
        <v>-145638.24166000006</v>
      </c>
      <c r="I628" s="62">
        <v>0</v>
      </c>
      <c r="J628" s="62"/>
      <c r="K628" s="62">
        <v>-7648.2087000000001</v>
      </c>
      <c r="L628" s="62">
        <v>16099.7526</v>
      </c>
      <c r="M628" s="62">
        <v>29873.392200000002</v>
      </c>
      <c r="N628" s="62">
        <v>18577.126500000002</v>
      </c>
      <c r="O628" s="62">
        <v>0</v>
      </c>
      <c r="P628" s="62"/>
      <c r="Q628" s="62">
        <v>27983.266500000002</v>
      </c>
      <c r="R628" s="62">
        <v>464256.56400000001</v>
      </c>
      <c r="S628" s="62">
        <v>177651.47820000001</v>
      </c>
      <c r="T628" s="62">
        <v>-198398.37240000002</v>
      </c>
      <c r="U628" s="62">
        <v>0</v>
      </c>
      <c r="V628" s="62"/>
      <c r="W628" s="62">
        <v>82973.594700000001</v>
      </c>
      <c r="X628" s="62">
        <v>82973.594700000001</v>
      </c>
      <c r="Y628" s="62">
        <v>76273.626600000003</v>
      </c>
      <c r="Z628" s="62">
        <v>35107.781999999999</v>
      </c>
      <c r="AA628" s="62">
        <v>0</v>
      </c>
      <c r="AB628" s="62"/>
      <c r="AC628" s="62">
        <v>24439.090815873489</v>
      </c>
      <c r="AD628" s="62">
        <v>11753.74037271996</v>
      </c>
      <c r="AE628" s="62">
        <v>6336.3352510287896</v>
      </c>
      <c r="AF628" s="62">
        <v>0</v>
      </c>
      <c r="AG628" s="62">
        <v>0</v>
      </c>
      <c r="AH628" s="62"/>
      <c r="AI628" s="62">
        <v>-924.77776000006111</v>
      </c>
      <c r="AJ628" s="62">
        <v>-924.77776000006111</v>
      </c>
      <c r="AK628" s="62">
        <v>-924.77776000006111</v>
      </c>
      <c r="AL628" s="62">
        <v>-924.77776000006111</v>
      </c>
      <c r="AM628" s="62">
        <v>0</v>
      </c>
    </row>
    <row r="629" spans="1:39">
      <c r="A629" s="9">
        <v>96811</v>
      </c>
      <c r="B629" s="10" t="s">
        <v>2003</v>
      </c>
      <c r="C629" s="60">
        <v>6.0096999999999998E-3</v>
      </c>
      <c r="E629" s="62">
        <v>465282.6063798542</v>
      </c>
      <c r="F629" s="62">
        <v>2661389.0672282358</v>
      </c>
      <c r="G629" s="62">
        <v>1341506.3096498763</v>
      </c>
      <c r="H629" s="62">
        <v>-674845.85146000038</v>
      </c>
      <c r="I629" s="62">
        <v>0</v>
      </c>
      <c r="J629" s="62"/>
      <c r="K629" s="62">
        <v>-36160.3649</v>
      </c>
      <c r="L629" s="62">
        <v>76118.860199999996</v>
      </c>
      <c r="M629" s="62">
        <v>141239.9694</v>
      </c>
      <c r="N629" s="62">
        <v>87831.765499999994</v>
      </c>
      <c r="O629" s="62">
        <v>0</v>
      </c>
      <c r="P629" s="62"/>
      <c r="Q629" s="62">
        <v>132303.54550000001</v>
      </c>
      <c r="R629" s="62">
        <v>2194982.8279999997</v>
      </c>
      <c r="S629" s="62">
        <v>839927.69140000001</v>
      </c>
      <c r="T629" s="62">
        <v>-938018.0148</v>
      </c>
      <c r="U629" s="62">
        <v>0</v>
      </c>
      <c r="V629" s="62"/>
      <c r="W629" s="62">
        <v>392295.18689999997</v>
      </c>
      <c r="X629" s="62">
        <v>392295.18689999997</v>
      </c>
      <c r="Y629" s="62">
        <v>360618.05819999997</v>
      </c>
      <c r="Z629" s="62">
        <v>165987.91399999999</v>
      </c>
      <c r="AA629" s="62">
        <v>0</v>
      </c>
      <c r="AB629" s="62"/>
      <c r="AC629" s="62">
        <v>9352.4838399996042</v>
      </c>
      <c r="AD629" s="62">
        <v>9352.4838399996042</v>
      </c>
      <c r="AE629" s="62">
        <v>9352.4838399996042</v>
      </c>
      <c r="AF629" s="62">
        <v>9352.4838399996042</v>
      </c>
      <c r="AG629" s="62">
        <v>0</v>
      </c>
      <c r="AH629" s="62"/>
      <c r="AI629" s="62">
        <v>-32508.244960145377</v>
      </c>
      <c r="AJ629" s="62">
        <v>-11360.29171176363</v>
      </c>
      <c r="AK629" s="62">
        <v>-9631.8931901233718</v>
      </c>
      <c r="AL629" s="62">
        <v>0</v>
      </c>
      <c r="AM629" s="62">
        <v>0</v>
      </c>
    </row>
    <row r="630" spans="1:39">
      <c r="A630" s="9">
        <v>96821</v>
      </c>
      <c r="B630" s="10" t="s">
        <v>2004</v>
      </c>
      <c r="C630" s="60">
        <v>1.3247000000000001E-3</v>
      </c>
      <c r="E630" s="62">
        <v>52875.429223374158</v>
      </c>
      <c r="F630" s="62">
        <v>543481.67231358157</v>
      </c>
      <c r="G630" s="62">
        <v>266804.57424633746</v>
      </c>
      <c r="H630" s="62">
        <v>-158090.78038000001</v>
      </c>
      <c r="I630" s="62">
        <v>0</v>
      </c>
      <c r="J630" s="62"/>
      <c r="K630" s="62">
        <v>-7970.7199000000001</v>
      </c>
      <c r="L630" s="62">
        <v>16778.6502</v>
      </c>
      <c r="M630" s="62">
        <v>31133.099400000003</v>
      </c>
      <c r="N630" s="62">
        <v>19360.4905</v>
      </c>
      <c r="O630" s="62">
        <v>0</v>
      </c>
      <c r="P630" s="62"/>
      <c r="Q630" s="62">
        <v>29163.270500000002</v>
      </c>
      <c r="R630" s="62">
        <v>483833.42800000001</v>
      </c>
      <c r="S630" s="62">
        <v>185142.72140000001</v>
      </c>
      <c r="T630" s="62">
        <v>-206764.4748</v>
      </c>
      <c r="U630" s="62">
        <v>0</v>
      </c>
      <c r="V630" s="62"/>
      <c r="W630" s="62">
        <v>86472.441900000005</v>
      </c>
      <c r="X630" s="62">
        <v>86472.441900000005</v>
      </c>
      <c r="Y630" s="62">
        <v>79489.948199999999</v>
      </c>
      <c r="Z630" s="62">
        <v>36588.214</v>
      </c>
      <c r="AA630" s="62">
        <v>0</v>
      </c>
      <c r="AB630" s="62"/>
      <c r="AC630" s="62">
        <v>0</v>
      </c>
      <c r="AD630" s="62">
        <v>0</v>
      </c>
      <c r="AE630" s="62">
        <v>0</v>
      </c>
      <c r="AF630" s="62">
        <v>0</v>
      </c>
      <c r="AG630" s="62">
        <v>0</v>
      </c>
      <c r="AH630" s="62"/>
      <c r="AI630" s="62">
        <v>-54789.56327662585</v>
      </c>
      <c r="AJ630" s="62">
        <v>-43602.847786418395</v>
      </c>
      <c r="AK630" s="62">
        <v>-28961.194753662588</v>
      </c>
      <c r="AL630" s="62">
        <v>-7275.0100800000137</v>
      </c>
      <c r="AM630" s="62">
        <v>0</v>
      </c>
    </row>
    <row r="631" spans="1:39">
      <c r="A631" s="9">
        <v>96831</v>
      </c>
      <c r="B631" s="10" t="s">
        <v>2005</v>
      </c>
      <c r="C631" s="60">
        <v>9.1929999999999996E-4</v>
      </c>
      <c r="E631" s="62">
        <v>94039.319407644769</v>
      </c>
      <c r="F631" s="62">
        <v>419842.22531345388</v>
      </c>
      <c r="G631" s="62">
        <v>211106.65028477364</v>
      </c>
      <c r="H631" s="62">
        <v>-104537.68090000001</v>
      </c>
      <c r="I631" s="62">
        <v>0</v>
      </c>
      <c r="J631" s="62"/>
      <c r="K631" s="62">
        <v>-5531.4281000000001</v>
      </c>
      <c r="L631" s="62">
        <v>11643.853799999999</v>
      </c>
      <c r="M631" s="62">
        <v>21605.388599999998</v>
      </c>
      <c r="N631" s="62">
        <v>13435.5695</v>
      </c>
      <c r="O631" s="62">
        <v>0</v>
      </c>
      <c r="P631" s="62"/>
      <c r="Q631" s="62">
        <v>20238.389499999997</v>
      </c>
      <c r="R631" s="62">
        <v>335765.13199999998</v>
      </c>
      <c r="S631" s="62">
        <v>128483.20659999999</v>
      </c>
      <c r="T631" s="62">
        <v>-143488.02119999999</v>
      </c>
      <c r="U631" s="62">
        <v>0</v>
      </c>
      <c r="V631" s="62"/>
      <c r="W631" s="62">
        <v>60009.146099999998</v>
      </c>
      <c r="X631" s="62">
        <v>60009.146099999998</v>
      </c>
      <c r="Y631" s="62">
        <v>55163.515799999994</v>
      </c>
      <c r="Z631" s="62">
        <v>25391.065999999999</v>
      </c>
      <c r="AA631" s="62">
        <v>0</v>
      </c>
      <c r="AB631" s="62"/>
      <c r="AC631" s="62">
        <v>19323.211907644771</v>
      </c>
      <c r="AD631" s="62">
        <v>12424.093413453902</v>
      </c>
      <c r="AE631" s="62">
        <v>5854.5392847736775</v>
      </c>
      <c r="AF631" s="62">
        <v>123.70479999998349</v>
      </c>
      <c r="AG631" s="62">
        <v>0</v>
      </c>
      <c r="AH631" s="62"/>
      <c r="AI631" s="62">
        <v>0</v>
      </c>
      <c r="AJ631" s="62">
        <v>0</v>
      </c>
      <c r="AK631" s="62">
        <v>0</v>
      </c>
      <c r="AL631" s="62">
        <v>0</v>
      </c>
      <c r="AM631" s="62">
        <v>0</v>
      </c>
    </row>
    <row r="632" spans="1:39">
      <c r="A632" s="9">
        <v>96901</v>
      </c>
      <c r="B632" s="10" t="s">
        <v>2006</v>
      </c>
      <c r="C632" s="60">
        <v>8.9820000000000004E-4</v>
      </c>
      <c r="E632" s="62">
        <v>101903.49802159656</v>
      </c>
      <c r="F632" s="62">
        <v>423170.01110167953</v>
      </c>
      <c r="G632" s="62">
        <v>218634.77678954732</v>
      </c>
      <c r="H632" s="62">
        <v>-88613.624279999989</v>
      </c>
      <c r="I632" s="62">
        <v>0</v>
      </c>
      <c r="J632" s="62"/>
      <c r="K632" s="62">
        <v>-5404.4694</v>
      </c>
      <c r="L632" s="62">
        <v>11376.601200000001</v>
      </c>
      <c r="M632" s="62">
        <v>21109.4964</v>
      </c>
      <c r="N632" s="62">
        <v>13127.193000000001</v>
      </c>
      <c r="O632" s="62">
        <v>0</v>
      </c>
      <c r="P632" s="62"/>
      <c r="Q632" s="62">
        <v>19773.873</v>
      </c>
      <c r="R632" s="62">
        <v>328058.56800000003</v>
      </c>
      <c r="S632" s="62">
        <v>125534.22840000001</v>
      </c>
      <c r="T632" s="62">
        <v>-140194.6488</v>
      </c>
      <c r="U632" s="62">
        <v>0</v>
      </c>
      <c r="V632" s="62"/>
      <c r="W632" s="62">
        <v>58631.801400000004</v>
      </c>
      <c r="X632" s="62">
        <v>58631.801400000004</v>
      </c>
      <c r="Y632" s="62">
        <v>53897.389200000005</v>
      </c>
      <c r="Z632" s="62">
        <v>24808.284</v>
      </c>
      <c r="AA632" s="62">
        <v>0</v>
      </c>
      <c r="AB632" s="62"/>
      <c r="AC632" s="62">
        <v>28902.293021596564</v>
      </c>
      <c r="AD632" s="62">
        <v>25103.040501679556</v>
      </c>
      <c r="AE632" s="62">
        <v>18093.662789547328</v>
      </c>
      <c r="AF632" s="62">
        <v>13645.54752</v>
      </c>
      <c r="AG632" s="62">
        <v>0</v>
      </c>
      <c r="AH632" s="62"/>
      <c r="AI632" s="62">
        <v>0</v>
      </c>
      <c r="AJ632" s="62">
        <v>0</v>
      </c>
      <c r="AK632" s="62">
        <v>0</v>
      </c>
      <c r="AL632" s="62">
        <v>0</v>
      </c>
      <c r="AM632" s="62">
        <v>0</v>
      </c>
    </row>
    <row r="633" spans="1:39">
      <c r="A633" s="9">
        <v>96911</v>
      </c>
      <c r="B633" s="10" t="s">
        <v>2007</v>
      </c>
      <c r="C633" s="60">
        <v>2.3999999999999999E-6</v>
      </c>
      <c r="E633" s="62">
        <v>711.69618446664231</v>
      </c>
      <c r="F633" s="62">
        <v>985.13502098116555</v>
      </c>
      <c r="G633" s="62">
        <v>-342.11762707819003</v>
      </c>
      <c r="H633" s="62">
        <v>-323.1857600000003</v>
      </c>
      <c r="I633" s="62">
        <v>0</v>
      </c>
      <c r="J633" s="62"/>
      <c r="K633" s="62">
        <v>-14.440799999999999</v>
      </c>
      <c r="L633" s="62">
        <v>30.398399999999999</v>
      </c>
      <c r="M633" s="62">
        <v>56.404799999999994</v>
      </c>
      <c r="N633" s="62">
        <v>35.076000000000001</v>
      </c>
      <c r="O633" s="62">
        <v>0</v>
      </c>
      <c r="P633" s="62"/>
      <c r="Q633" s="62">
        <v>52.835999999999999</v>
      </c>
      <c r="R633" s="62">
        <v>876.57599999999991</v>
      </c>
      <c r="S633" s="62">
        <v>335.42879999999997</v>
      </c>
      <c r="T633" s="62">
        <v>-374.60159999999996</v>
      </c>
      <c r="U633" s="62">
        <v>0</v>
      </c>
      <c r="V633" s="62"/>
      <c r="W633" s="62">
        <v>156.66479999999999</v>
      </c>
      <c r="X633" s="62">
        <v>156.66479999999999</v>
      </c>
      <c r="Y633" s="62">
        <v>144.01439999999999</v>
      </c>
      <c r="Z633" s="62">
        <v>66.287999999999997</v>
      </c>
      <c r="AA633" s="62">
        <v>0</v>
      </c>
      <c r="AB633" s="62"/>
      <c r="AC633" s="62">
        <v>1529.3953526970954</v>
      </c>
      <c r="AD633" s="62">
        <v>934.25498921161864</v>
      </c>
      <c r="AE633" s="62">
        <v>0</v>
      </c>
      <c r="AF633" s="62">
        <v>0</v>
      </c>
      <c r="AG633" s="62">
        <v>0</v>
      </c>
      <c r="AH633" s="62"/>
      <c r="AI633" s="62">
        <v>-1012.759168230453</v>
      </c>
      <c r="AJ633" s="62">
        <v>-1012.759168230453</v>
      </c>
      <c r="AK633" s="62">
        <v>-877.96562707818998</v>
      </c>
      <c r="AL633" s="62">
        <v>-49.948160000000343</v>
      </c>
      <c r="AM633" s="62">
        <v>0</v>
      </c>
    </row>
    <row r="634" spans="1:39">
      <c r="A634" s="9">
        <v>96912</v>
      </c>
      <c r="B634" s="10" t="s">
        <v>2008</v>
      </c>
      <c r="C634" s="60">
        <v>6.0099999999999997E-5</v>
      </c>
      <c r="E634" s="62">
        <v>7170.9006264381942</v>
      </c>
      <c r="F634" s="62">
        <v>26654.384475234878</v>
      </c>
      <c r="G634" s="62">
        <v>12445.685543209876</v>
      </c>
      <c r="H634" s="62">
        <v>-7589.4256999999998</v>
      </c>
      <c r="I634" s="62">
        <v>0</v>
      </c>
      <c r="J634" s="62"/>
      <c r="K634" s="62">
        <v>-361.62169999999998</v>
      </c>
      <c r="L634" s="62">
        <v>761.22659999999996</v>
      </c>
      <c r="M634" s="62">
        <v>1412.4702</v>
      </c>
      <c r="N634" s="62">
        <v>878.36149999999998</v>
      </c>
      <c r="O634" s="62">
        <v>0</v>
      </c>
      <c r="P634" s="62"/>
      <c r="Q634" s="62">
        <v>1323.1015</v>
      </c>
      <c r="R634" s="62">
        <v>21950.923999999999</v>
      </c>
      <c r="S634" s="62">
        <v>8399.6962000000003</v>
      </c>
      <c r="T634" s="62">
        <v>-9380.6484</v>
      </c>
      <c r="U634" s="62">
        <v>0</v>
      </c>
      <c r="V634" s="62"/>
      <c r="W634" s="62">
        <v>3923.1477</v>
      </c>
      <c r="X634" s="62">
        <v>3923.1477</v>
      </c>
      <c r="Y634" s="62">
        <v>3606.3606</v>
      </c>
      <c r="Z634" s="62">
        <v>1659.962</v>
      </c>
      <c r="AA634" s="62">
        <v>0</v>
      </c>
      <c r="AB634" s="62"/>
      <c r="AC634" s="62">
        <v>3295.8630622406622</v>
      </c>
      <c r="AD634" s="62">
        <v>1028.6761110373432</v>
      </c>
      <c r="AE634" s="62">
        <v>0</v>
      </c>
      <c r="AF634" s="62">
        <v>0</v>
      </c>
      <c r="AG634" s="62">
        <v>0</v>
      </c>
      <c r="AH634" s="62"/>
      <c r="AI634" s="62">
        <v>-1009.5899358024683</v>
      </c>
      <c r="AJ634" s="62">
        <v>-1009.5899358024683</v>
      </c>
      <c r="AK634" s="62">
        <v>-972.84145679012283</v>
      </c>
      <c r="AL634" s="62">
        <v>-747.10080000000016</v>
      </c>
      <c r="AM634" s="62">
        <v>0</v>
      </c>
    </row>
    <row r="635" spans="1:39">
      <c r="A635" s="9">
        <v>96918</v>
      </c>
      <c r="B635" s="10" t="s">
        <v>2009</v>
      </c>
      <c r="C635" s="60">
        <v>3.8000000000000002E-5</v>
      </c>
      <c r="E635" s="62">
        <v>8694.5394961631064</v>
      </c>
      <c r="F635" s="62">
        <v>18029.705277075969</v>
      </c>
      <c r="G635" s="62">
        <v>8368.0032506172811</v>
      </c>
      <c r="H635" s="62">
        <v>-4176.5844000000052</v>
      </c>
      <c r="I635" s="62">
        <v>0</v>
      </c>
      <c r="J635" s="62"/>
      <c r="K635" s="62">
        <v>-228.64600000000002</v>
      </c>
      <c r="L635" s="62">
        <v>481.30800000000005</v>
      </c>
      <c r="M635" s="62">
        <v>893.07600000000002</v>
      </c>
      <c r="N635" s="62">
        <v>555.37</v>
      </c>
      <c r="O635" s="62">
        <v>0</v>
      </c>
      <c r="P635" s="62"/>
      <c r="Q635" s="62">
        <v>836.57</v>
      </c>
      <c r="R635" s="62">
        <v>13879.12</v>
      </c>
      <c r="S635" s="62">
        <v>5310.9560000000001</v>
      </c>
      <c r="T635" s="62">
        <v>-5931.192</v>
      </c>
      <c r="U635" s="62">
        <v>0</v>
      </c>
      <c r="V635" s="62"/>
      <c r="W635" s="62">
        <v>2480.5260000000003</v>
      </c>
      <c r="X635" s="62">
        <v>2480.5260000000003</v>
      </c>
      <c r="Y635" s="62">
        <v>2280.2280000000001</v>
      </c>
      <c r="Z635" s="62">
        <v>1049.56</v>
      </c>
      <c r="AA635" s="62">
        <v>0</v>
      </c>
      <c r="AB635" s="62"/>
      <c r="AC635" s="62">
        <v>5915.315483817425</v>
      </c>
      <c r="AD635" s="62">
        <v>1497.9772647302877</v>
      </c>
      <c r="AE635" s="62">
        <v>149.67759999999544</v>
      </c>
      <c r="AF635" s="62">
        <v>149.67759999999544</v>
      </c>
      <c r="AG635" s="62">
        <v>0</v>
      </c>
      <c r="AH635" s="62"/>
      <c r="AI635" s="62">
        <v>-309.22598765432008</v>
      </c>
      <c r="AJ635" s="62">
        <v>-309.22598765432008</v>
      </c>
      <c r="AK635" s="62">
        <v>-265.93434938271537</v>
      </c>
      <c r="AL635" s="62">
        <v>0</v>
      </c>
      <c r="AM635" s="62">
        <v>0</v>
      </c>
    </row>
    <row r="636" spans="1:39">
      <c r="A636" s="9">
        <v>97001</v>
      </c>
      <c r="B636" s="10" t="s">
        <v>2010</v>
      </c>
      <c r="C636" s="60">
        <v>1.3778E-3</v>
      </c>
      <c r="E636" s="62">
        <v>148456.71732659804</v>
      </c>
      <c r="F636" s="62">
        <v>657063.31177829928</v>
      </c>
      <c r="G636" s="62">
        <v>343991.22060024692</v>
      </c>
      <c r="H636" s="62">
        <v>-138931.14507999996</v>
      </c>
      <c r="I636" s="62">
        <v>0</v>
      </c>
      <c r="J636" s="62"/>
      <c r="K636" s="62">
        <v>-8290.2225999999991</v>
      </c>
      <c r="L636" s="62">
        <v>17451.214800000002</v>
      </c>
      <c r="M636" s="62">
        <v>32381.0556</v>
      </c>
      <c r="N636" s="62">
        <v>20136.546999999999</v>
      </c>
      <c r="O636" s="62">
        <v>0</v>
      </c>
      <c r="P636" s="62"/>
      <c r="Q636" s="62">
        <v>30332.267</v>
      </c>
      <c r="R636" s="62">
        <v>503227.67200000002</v>
      </c>
      <c r="S636" s="62">
        <v>192564.08360000001</v>
      </c>
      <c r="T636" s="62">
        <v>-215052.53519999998</v>
      </c>
      <c r="U636" s="62">
        <v>0</v>
      </c>
      <c r="V636" s="62"/>
      <c r="W636" s="62">
        <v>89938.650599999994</v>
      </c>
      <c r="X636" s="62">
        <v>89938.650599999994</v>
      </c>
      <c r="Y636" s="62">
        <v>82676.266799999998</v>
      </c>
      <c r="Z636" s="62">
        <v>38054.836000000003</v>
      </c>
      <c r="AA636" s="62">
        <v>0</v>
      </c>
      <c r="AB636" s="62"/>
      <c r="AC636" s="62">
        <v>47998.632326598046</v>
      </c>
      <c r="AD636" s="62">
        <v>46445.774378299277</v>
      </c>
      <c r="AE636" s="62">
        <v>36369.814600246886</v>
      </c>
      <c r="AF636" s="62">
        <v>17930.007120000013</v>
      </c>
      <c r="AG636" s="62">
        <v>0</v>
      </c>
      <c r="AH636" s="62"/>
      <c r="AI636" s="62">
        <v>-11522.610000000002</v>
      </c>
      <c r="AJ636" s="62">
        <v>0</v>
      </c>
      <c r="AK636" s="62">
        <v>0</v>
      </c>
      <c r="AL636" s="62">
        <v>0</v>
      </c>
      <c r="AM636" s="62">
        <v>0</v>
      </c>
    </row>
    <row r="637" spans="1:39">
      <c r="A637" s="9">
        <v>97002</v>
      </c>
      <c r="B637" s="10" t="s">
        <v>2011</v>
      </c>
      <c r="C637" s="60">
        <v>5.2610000000000005E-4</v>
      </c>
      <c r="E637" s="62">
        <v>52702.443045829976</v>
      </c>
      <c r="F637" s="62">
        <v>234753.78705412874</v>
      </c>
      <c r="G637" s="62">
        <v>117504.00191004116</v>
      </c>
      <c r="H637" s="62">
        <v>-61646.398020000008</v>
      </c>
      <c r="I637" s="62">
        <v>0</v>
      </c>
      <c r="J637" s="62"/>
      <c r="K637" s="62">
        <v>-3165.5437000000002</v>
      </c>
      <c r="L637" s="62">
        <v>6663.5826000000006</v>
      </c>
      <c r="M637" s="62">
        <v>12364.4022</v>
      </c>
      <c r="N637" s="62">
        <v>7688.951500000001</v>
      </c>
      <c r="O637" s="62">
        <v>0</v>
      </c>
      <c r="P637" s="62"/>
      <c r="Q637" s="62">
        <v>11582.0915</v>
      </c>
      <c r="R637" s="62">
        <v>192152.76400000002</v>
      </c>
      <c r="S637" s="62">
        <v>73528.78820000001</v>
      </c>
      <c r="T637" s="62">
        <v>-82115.792400000006</v>
      </c>
      <c r="U637" s="62">
        <v>0</v>
      </c>
      <c r="V637" s="62"/>
      <c r="W637" s="62">
        <v>34342.229700000004</v>
      </c>
      <c r="X637" s="62">
        <v>34342.229700000004</v>
      </c>
      <c r="Y637" s="62">
        <v>31569.156600000002</v>
      </c>
      <c r="Z637" s="62">
        <v>14530.882000000001</v>
      </c>
      <c r="AA637" s="62">
        <v>0</v>
      </c>
      <c r="AB637" s="62"/>
      <c r="AC637" s="62">
        <v>11694.104665829969</v>
      </c>
      <c r="AD637" s="62">
        <v>3345.649874128721</v>
      </c>
      <c r="AE637" s="62">
        <v>1792.0940300411494</v>
      </c>
      <c r="AF637" s="62">
        <v>0</v>
      </c>
      <c r="AG637" s="62">
        <v>0</v>
      </c>
      <c r="AH637" s="62"/>
      <c r="AI637" s="62">
        <v>-1750.4391199999955</v>
      </c>
      <c r="AJ637" s="62">
        <v>-1750.4391199999955</v>
      </c>
      <c r="AK637" s="62">
        <v>-1750.4391199999955</v>
      </c>
      <c r="AL637" s="62">
        <v>-1750.4391199999955</v>
      </c>
      <c r="AM637" s="62">
        <v>0</v>
      </c>
    </row>
    <row r="638" spans="1:39">
      <c r="A638" s="9">
        <v>97004</v>
      </c>
      <c r="B638" s="10" t="s">
        <v>2012</v>
      </c>
      <c r="C638" s="60">
        <v>9.7999999999999993E-6</v>
      </c>
      <c r="E638" s="62">
        <v>2653.1277339180015</v>
      </c>
      <c r="F638" s="62">
        <v>5526.9339787312801</v>
      </c>
      <c r="G638" s="62">
        <v>2805.7393684773651</v>
      </c>
      <c r="H638" s="62">
        <v>-548.45732000000112</v>
      </c>
      <c r="I638" s="62">
        <v>0</v>
      </c>
      <c r="J638" s="62"/>
      <c r="K638" s="62">
        <v>-58.966599999999993</v>
      </c>
      <c r="L638" s="62">
        <v>124.12679999999999</v>
      </c>
      <c r="M638" s="62">
        <v>230.31959999999998</v>
      </c>
      <c r="N638" s="62">
        <v>143.227</v>
      </c>
      <c r="O638" s="62">
        <v>0</v>
      </c>
      <c r="P638" s="62"/>
      <c r="Q638" s="62">
        <v>215.74699999999999</v>
      </c>
      <c r="R638" s="62">
        <v>3579.3519999999999</v>
      </c>
      <c r="S638" s="62">
        <v>1369.6676</v>
      </c>
      <c r="T638" s="62">
        <v>-1529.6232</v>
      </c>
      <c r="U638" s="62">
        <v>0</v>
      </c>
      <c r="V638" s="62"/>
      <c r="W638" s="62">
        <v>639.7145999999999</v>
      </c>
      <c r="X638" s="62">
        <v>639.7145999999999</v>
      </c>
      <c r="Y638" s="62">
        <v>588.05879999999991</v>
      </c>
      <c r="Z638" s="62">
        <v>270.67599999999999</v>
      </c>
      <c r="AA638" s="62">
        <v>0</v>
      </c>
      <c r="AB638" s="62"/>
      <c r="AC638" s="62">
        <v>1856.6327339180016</v>
      </c>
      <c r="AD638" s="62">
        <v>1183.7405787312798</v>
      </c>
      <c r="AE638" s="62">
        <v>617.6933684773652</v>
      </c>
      <c r="AF638" s="62">
        <v>567.26287999999886</v>
      </c>
      <c r="AG638" s="62">
        <v>0</v>
      </c>
      <c r="AH638" s="62"/>
      <c r="AI638" s="62">
        <v>0</v>
      </c>
      <c r="AJ638" s="62">
        <v>0</v>
      </c>
      <c r="AK638" s="62">
        <v>0</v>
      </c>
      <c r="AL638" s="62">
        <v>0</v>
      </c>
      <c r="AM638" s="62">
        <v>0</v>
      </c>
    </row>
    <row r="639" spans="1:39">
      <c r="A639" s="9">
        <v>97005</v>
      </c>
      <c r="B639" s="10" t="s">
        <v>2013</v>
      </c>
      <c r="C639" s="60">
        <v>2.83E-5</v>
      </c>
      <c r="E639" s="62">
        <v>5514.0864365251118</v>
      </c>
      <c r="F639" s="62">
        <v>15846.85299752096</v>
      </c>
      <c r="G639" s="62">
        <v>8777.2603651028821</v>
      </c>
      <c r="H639" s="62">
        <v>-438.5772599999982</v>
      </c>
      <c r="I639" s="62">
        <v>0</v>
      </c>
      <c r="J639" s="62"/>
      <c r="K639" s="62">
        <v>-170.28110000000001</v>
      </c>
      <c r="L639" s="62">
        <v>358.44780000000003</v>
      </c>
      <c r="M639" s="62">
        <v>665.10659999999996</v>
      </c>
      <c r="N639" s="62">
        <v>413.60449999999997</v>
      </c>
      <c r="O639" s="62">
        <v>0</v>
      </c>
      <c r="P639" s="62"/>
      <c r="Q639" s="62">
        <v>623.02449999999999</v>
      </c>
      <c r="R639" s="62">
        <v>10336.291999999999</v>
      </c>
      <c r="S639" s="62">
        <v>3955.2646</v>
      </c>
      <c r="T639" s="62">
        <v>-4417.1772000000001</v>
      </c>
      <c r="U639" s="62">
        <v>0</v>
      </c>
      <c r="V639" s="62"/>
      <c r="W639" s="62">
        <v>1847.3390999999999</v>
      </c>
      <c r="X639" s="62">
        <v>1847.3390999999999</v>
      </c>
      <c r="Y639" s="62">
        <v>1698.1697999999999</v>
      </c>
      <c r="Z639" s="62">
        <v>781.64599999999996</v>
      </c>
      <c r="AA639" s="62">
        <v>0</v>
      </c>
      <c r="AB639" s="62"/>
      <c r="AC639" s="62">
        <v>3879.5707678008316</v>
      </c>
      <c r="AD639" s="62">
        <v>3682.2509287966827</v>
      </c>
      <c r="AE639" s="62">
        <v>2783.3494400000018</v>
      </c>
      <c r="AF639" s="62">
        <v>2783.3494400000018</v>
      </c>
      <c r="AG639" s="62">
        <v>0</v>
      </c>
      <c r="AH639" s="62"/>
      <c r="AI639" s="62">
        <v>-665.56683127571978</v>
      </c>
      <c r="AJ639" s="62">
        <v>-377.47683127571975</v>
      </c>
      <c r="AK639" s="62">
        <v>-324.63007489711913</v>
      </c>
      <c r="AL639" s="62">
        <v>0</v>
      </c>
      <c r="AM639" s="62">
        <v>0</v>
      </c>
    </row>
    <row r="640" spans="1:39">
      <c r="A640" s="9">
        <v>97008</v>
      </c>
      <c r="B640" s="10" t="s">
        <v>2014</v>
      </c>
      <c r="C640" s="60">
        <v>2.8659999999999997E-4</v>
      </c>
      <c r="E640" s="62">
        <v>30394.138055845477</v>
      </c>
      <c r="F640" s="62">
        <v>126999.36312970438</v>
      </c>
      <c r="G640" s="62">
        <v>64895.207857530841</v>
      </c>
      <c r="H640" s="62">
        <v>-31359.084440000013</v>
      </c>
      <c r="I640" s="62">
        <v>0</v>
      </c>
      <c r="J640" s="62"/>
      <c r="K640" s="62">
        <v>-1724.4721999999999</v>
      </c>
      <c r="L640" s="62">
        <v>3630.0755999999997</v>
      </c>
      <c r="M640" s="62">
        <v>6735.6731999999993</v>
      </c>
      <c r="N640" s="62">
        <v>4188.6589999999997</v>
      </c>
      <c r="O640" s="62">
        <v>0</v>
      </c>
      <c r="P640" s="62"/>
      <c r="Q640" s="62">
        <v>6309.4989999999998</v>
      </c>
      <c r="R640" s="62">
        <v>104677.78399999999</v>
      </c>
      <c r="S640" s="62">
        <v>40055.789199999999</v>
      </c>
      <c r="T640" s="62">
        <v>-44733.674399999996</v>
      </c>
      <c r="U640" s="62">
        <v>0</v>
      </c>
      <c r="V640" s="62"/>
      <c r="W640" s="62">
        <v>18708.388199999998</v>
      </c>
      <c r="X640" s="62">
        <v>18708.388199999998</v>
      </c>
      <c r="Y640" s="62">
        <v>17197.719599999997</v>
      </c>
      <c r="Z640" s="62">
        <v>7915.8919999999989</v>
      </c>
      <c r="AA640" s="62">
        <v>0</v>
      </c>
      <c r="AB640" s="62"/>
      <c r="AC640" s="62">
        <v>8577.228959999984</v>
      </c>
      <c r="AD640" s="62">
        <v>1270.0389599999819</v>
      </c>
      <c r="AE640" s="62">
        <v>1270.0389599999819</v>
      </c>
      <c r="AF640" s="62">
        <v>1270.0389599999819</v>
      </c>
      <c r="AG640" s="62">
        <v>0</v>
      </c>
      <c r="AH640" s="62"/>
      <c r="AI640" s="62">
        <v>-1476.5059041545028</v>
      </c>
      <c r="AJ640" s="62">
        <v>-1286.9236302955819</v>
      </c>
      <c r="AK640" s="62">
        <v>-364.01310246913744</v>
      </c>
      <c r="AL640" s="62">
        <v>0</v>
      </c>
      <c r="AM640" s="62">
        <v>0</v>
      </c>
    </row>
    <row r="641" spans="1:39">
      <c r="A641" s="9">
        <v>97010</v>
      </c>
      <c r="B641" s="10" t="s">
        <v>2015</v>
      </c>
      <c r="C641" s="60">
        <v>0</v>
      </c>
      <c r="E641" s="62">
        <v>-1279114.5349792531</v>
      </c>
      <c r="F641" s="62">
        <v>-777787.10928298777</v>
      </c>
      <c r="G641" s="62">
        <v>0</v>
      </c>
      <c r="H641" s="62">
        <v>0</v>
      </c>
      <c r="I641" s="62">
        <v>0</v>
      </c>
      <c r="J641" s="62"/>
      <c r="K641" s="62">
        <v>0</v>
      </c>
      <c r="L641" s="62">
        <v>0</v>
      </c>
      <c r="M641" s="62">
        <v>0</v>
      </c>
      <c r="N641" s="62">
        <v>0</v>
      </c>
      <c r="O641" s="62">
        <v>0</v>
      </c>
      <c r="P641" s="62"/>
      <c r="Q641" s="62">
        <v>0</v>
      </c>
      <c r="R641" s="62">
        <v>0</v>
      </c>
      <c r="S641" s="62">
        <v>0</v>
      </c>
      <c r="T641" s="62">
        <v>0</v>
      </c>
      <c r="U641" s="62">
        <v>0</v>
      </c>
      <c r="V641" s="62"/>
      <c r="W641" s="62">
        <v>0</v>
      </c>
      <c r="X641" s="62">
        <v>0</v>
      </c>
      <c r="Y641" s="62">
        <v>0</v>
      </c>
      <c r="Z641" s="62">
        <v>0</v>
      </c>
      <c r="AA641" s="62">
        <v>0</v>
      </c>
      <c r="AB641" s="62"/>
      <c r="AC641" s="62">
        <v>0</v>
      </c>
      <c r="AD641" s="62">
        <v>0</v>
      </c>
      <c r="AE641" s="62">
        <v>0</v>
      </c>
      <c r="AF641" s="62">
        <v>0</v>
      </c>
      <c r="AG641" s="62">
        <v>0</v>
      </c>
      <c r="AH641" s="62"/>
      <c r="AI641" s="62">
        <v>-1279114.5349792531</v>
      </c>
      <c r="AJ641" s="62">
        <v>-777787.10928298777</v>
      </c>
      <c r="AK641" s="62">
        <v>0</v>
      </c>
      <c r="AL641" s="62">
        <v>0</v>
      </c>
      <c r="AM641" s="62">
        <v>0</v>
      </c>
    </row>
    <row r="642" spans="1:39">
      <c r="A642" s="9">
        <v>97011</v>
      </c>
      <c r="B642" s="10" t="s">
        <v>2016</v>
      </c>
      <c r="C642" s="60">
        <v>1.9166999999999999E-3</v>
      </c>
      <c r="E642" s="62">
        <v>117128.25885318669</v>
      </c>
      <c r="F642" s="62">
        <v>818015.14395219088</v>
      </c>
      <c r="G642" s="62">
        <v>405935.63977604924</v>
      </c>
      <c r="H642" s="62">
        <v>-218675.28294</v>
      </c>
      <c r="I642" s="62">
        <v>0</v>
      </c>
      <c r="J642" s="62"/>
      <c r="K642" s="62">
        <v>-11532.7839</v>
      </c>
      <c r="L642" s="62">
        <v>24276.922199999997</v>
      </c>
      <c r="M642" s="62">
        <v>45046.2834</v>
      </c>
      <c r="N642" s="62">
        <v>28012.570499999998</v>
      </c>
      <c r="O642" s="62">
        <v>0</v>
      </c>
      <c r="P642" s="62"/>
      <c r="Q642" s="62">
        <v>42196.150499999996</v>
      </c>
      <c r="R642" s="62">
        <v>700055.50799999991</v>
      </c>
      <c r="S642" s="62">
        <v>267881.82539999997</v>
      </c>
      <c r="T642" s="62">
        <v>-299166.20279999997</v>
      </c>
      <c r="U642" s="62">
        <v>0</v>
      </c>
      <c r="V642" s="62"/>
      <c r="W642" s="62">
        <v>125116.42589999999</v>
      </c>
      <c r="X642" s="62">
        <v>125116.42589999999</v>
      </c>
      <c r="Y642" s="62">
        <v>115013.50019999999</v>
      </c>
      <c r="Z642" s="62">
        <v>52939.254000000001</v>
      </c>
      <c r="AA642" s="62">
        <v>0</v>
      </c>
      <c r="AB642" s="62"/>
      <c r="AC642" s="62">
        <v>0</v>
      </c>
      <c r="AD642" s="62">
        <v>0</v>
      </c>
      <c r="AE642" s="62">
        <v>0</v>
      </c>
      <c r="AF642" s="62">
        <v>0</v>
      </c>
      <c r="AG642" s="62">
        <v>0</v>
      </c>
      <c r="AH642" s="62"/>
      <c r="AI642" s="62">
        <v>-38651.533646813288</v>
      </c>
      <c r="AJ642" s="62">
        <v>-31433.712147809143</v>
      </c>
      <c r="AK642" s="62">
        <v>-22005.969223950753</v>
      </c>
      <c r="AL642" s="62">
        <v>-460.90464000003431</v>
      </c>
      <c r="AM642" s="62">
        <v>0</v>
      </c>
    </row>
    <row r="643" spans="1:39">
      <c r="A643" s="9">
        <v>97012</v>
      </c>
      <c r="B643" s="10" t="s">
        <v>2017</v>
      </c>
      <c r="C643" s="60">
        <v>2.9499999999999999E-5</v>
      </c>
      <c r="E643" s="62">
        <v>3151.8397670150116</v>
      </c>
      <c r="F643" s="62">
        <v>14149.643955396756</v>
      </c>
      <c r="G643" s="62">
        <v>7952.1432012345695</v>
      </c>
      <c r="H643" s="62">
        <v>-2754.1590999999989</v>
      </c>
      <c r="I643" s="62">
        <v>0</v>
      </c>
      <c r="J643" s="62"/>
      <c r="K643" s="62">
        <v>-177.50149999999999</v>
      </c>
      <c r="L643" s="62">
        <v>373.64699999999999</v>
      </c>
      <c r="M643" s="62">
        <v>693.30899999999997</v>
      </c>
      <c r="N643" s="62">
        <v>431.14249999999998</v>
      </c>
      <c r="O643" s="62">
        <v>0</v>
      </c>
      <c r="P643" s="62"/>
      <c r="Q643" s="62">
        <v>649.4425</v>
      </c>
      <c r="R643" s="62">
        <v>10774.58</v>
      </c>
      <c r="S643" s="62">
        <v>4122.9790000000003</v>
      </c>
      <c r="T643" s="62">
        <v>-4604.4780000000001</v>
      </c>
      <c r="U643" s="62">
        <v>0</v>
      </c>
      <c r="V643" s="62"/>
      <c r="W643" s="62">
        <v>1925.6714999999999</v>
      </c>
      <c r="X643" s="62">
        <v>1925.6714999999999</v>
      </c>
      <c r="Y643" s="62">
        <v>1770.1769999999999</v>
      </c>
      <c r="Z643" s="62">
        <v>814.79</v>
      </c>
      <c r="AA643" s="62">
        <v>0</v>
      </c>
      <c r="AB643" s="62"/>
      <c r="AC643" s="62">
        <v>1489.6094246913592</v>
      </c>
      <c r="AD643" s="62">
        <v>1489.6094246913592</v>
      </c>
      <c r="AE643" s="62">
        <v>1365.6782012345693</v>
      </c>
      <c r="AF643" s="62">
        <v>604.38640000000123</v>
      </c>
      <c r="AG643" s="62">
        <v>0</v>
      </c>
      <c r="AH643" s="62"/>
      <c r="AI643" s="62">
        <v>-735.38215767634779</v>
      </c>
      <c r="AJ643" s="62">
        <v>-413.86396929460528</v>
      </c>
      <c r="AK643" s="62">
        <v>0</v>
      </c>
      <c r="AL643" s="62">
        <v>0</v>
      </c>
      <c r="AM643" s="62">
        <v>0</v>
      </c>
    </row>
    <row r="644" spans="1:39">
      <c r="A644" s="9">
        <v>97013</v>
      </c>
      <c r="B644" s="10" t="s">
        <v>2018</v>
      </c>
      <c r="C644" s="60">
        <v>1.8199999999999999E-5</v>
      </c>
      <c r="E644" s="62">
        <v>3529.6402434834267</v>
      </c>
      <c r="F644" s="62">
        <v>10359.000727300854</v>
      </c>
      <c r="G644" s="62">
        <v>5326.4472190123452</v>
      </c>
      <c r="H644" s="62">
        <v>-1875.6635600000006</v>
      </c>
      <c r="I644" s="62">
        <v>0</v>
      </c>
      <c r="J644" s="62"/>
      <c r="K644" s="62">
        <v>-109.50939999999999</v>
      </c>
      <c r="L644" s="62">
        <v>230.52119999999999</v>
      </c>
      <c r="M644" s="62">
        <v>427.73639999999995</v>
      </c>
      <c r="N644" s="62">
        <v>265.99299999999999</v>
      </c>
      <c r="O644" s="62">
        <v>0</v>
      </c>
      <c r="P644" s="62"/>
      <c r="Q644" s="62">
        <v>400.67299999999994</v>
      </c>
      <c r="R644" s="62">
        <v>6647.3679999999995</v>
      </c>
      <c r="S644" s="62">
        <v>2543.6684</v>
      </c>
      <c r="T644" s="62">
        <v>-2840.7287999999999</v>
      </c>
      <c r="U644" s="62">
        <v>0</v>
      </c>
      <c r="V644" s="62"/>
      <c r="W644" s="62">
        <v>1188.0413999999998</v>
      </c>
      <c r="X644" s="62">
        <v>1188.0413999999998</v>
      </c>
      <c r="Y644" s="62">
        <v>1092.1091999999999</v>
      </c>
      <c r="Z644" s="62">
        <v>502.68399999999997</v>
      </c>
      <c r="AA644" s="62">
        <v>0</v>
      </c>
      <c r="AB644" s="62"/>
      <c r="AC644" s="62">
        <v>2481.0852434834269</v>
      </c>
      <c r="AD644" s="62">
        <v>2293.0701273008549</v>
      </c>
      <c r="AE644" s="62">
        <v>1262.9332190123453</v>
      </c>
      <c r="AF644" s="62">
        <v>196.38823999999948</v>
      </c>
      <c r="AG644" s="62">
        <v>0</v>
      </c>
      <c r="AH644" s="62"/>
      <c r="AI644" s="62">
        <v>-430.65000000000009</v>
      </c>
      <c r="AJ644" s="62">
        <v>0</v>
      </c>
      <c r="AK644" s="62">
        <v>0</v>
      </c>
      <c r="AL644" s="62">
        <v>0</v>
      </c>
      <c r="AM644" s="62">
        <v>0</v>
      </c>
    </row>
    <row r="645" spans="1:39">
      <c r="A645" s="9">
        <v>97015</v>
      </c>
      <c r="B645" s="10" t="s">
        <v>2019</v>
      </c>
      <c r="C645" s="60">
        <v>4.1499999999999999E-5</v>
      </c>
      <c r="E645" s="62">
        <v>3407.0807514714033</v>
      </c>
      <c r="F645" s="62">
        <v>18988.020882591736</v>
      </c>
      <c r="G645" s="62">
        <v>8709.1760692181033</v>
      </c>
      <c r="H645" s="62">
        <v>-5972.9216600000018</v>
      </c>
      <c r="I645" s="62">
        <v>0</v>
      </c>
      <c r="J645" s="62"/>
      <c r="K645" s="62">
        <v>-249.7055</v>
      </c>
      <c r="L645" s="62">
        <v>525.63900000000001</v>
      </c>
      <c r="M645" s="62">
        <v>975.33299999999997</v>
      </c>
      <c r="N645" s="62">
        <v>606.52250000000004</v>
      </c>
      <c r="O645" s="62">
        <v>0</v>
      </c>
      <c r="P645" s="62"/>
      <c r="Q645" s="62">
        <v>913.62249999999995</v>
      </c>
      <c r="R645" s="62">
        <v>15157.46</v>
      </c>
      <c r="S645" s="62">
        <v>5800.1229999999996</v>
      </c>
      <c r="T645" s="62">
        <v>-6477.4859999999999</v>
      </c>
      <c r="U645" s="62">
        <v>0</v>
      </c>
      <c r="V645" s="62"/>
      <c r="W645" s="62">
        <v>2708.9955</v>
      </c>
      <c r="X645" s="62">
        <v>2708.9955</v>
      </c>
      <c r="Y645" s="62">
        <v>2490.2489999999998</v>
      </c>
      <c r="Z645" s="62">
        <v>1146.23</v>
      </c>
      <c r="AA645" s="62">
        <v>0</v>
      </c>
      <c r="AB645" s="62"/>
      <c r="AC645" s="62">
        <v>2072.3764114714058</v>
      </c>
      <c r="AD645" s="62">
        <v>1844.114542591738</v>
      </c>
      <c r="AE645" s="62">
        <v>691.65922921810636</v>
      </c>
      <c r="AF645" s="62">
        <v>0</v>
      </c>
      <c r="AG645" s="62">
        <v>0</v>
      </c>
      <c r="AH645" s="62"/>
      <c r="AI645" s="62">
        <v>-2038.2081600000017</v>
      </c>
      <c r="AJ645" s="62">
        <v>-1248.1881600000015</v>
      </c>
      <c r="AK645" s="62">
        <v>-1248.1881600000015</v>
      </c>
      <c r="AL645" s="62">
        <v>-1248.1881600000015</v>
      </c>
      <c r="AM645" s="62">
        <v>0</v>
      </c>
    </row>
    <row r="646" spans="1:39">
      <c r="A646" s="9">
        <v>97018</v>
      </c>
      <c r="B646" s="10" t="s">
        <v>2020</v>
      </c>
      <c r="C646" s="60">
        <v>8.6000000000000007E-6</v>
      </c>
      <c r="E646" s="62">
        <v>3498.5414162874176</v>
      </c>
      <c r="F646" s="62">
        <v>5836.8181216816083</v>
      </c>
      <c r="G646" s="62">
        <v>3225.3921705349794</v>
      </c>
      <c r="H646" s="62">
        <v>-275.90731999999969</v>
      </c>
      <c r="I646" s="62">
        <v>0</v>
      </c>
      <c r="J646" s="62"/>
      <c r="K646" s="62">
        <v>-51.746200000000002</v>
      </c>
      <c r="L646" s="62">
        <v>108.92760000000001</v>
      </c>
      <c r="M646" s="62">
        <v>202.11720000000003</v>
      </c>
      <c r="N646" s="62">
        <v>125.68900000000001</v>
      </c>
      <c r="O646" s="62">
        <v>0</v>
      </c>
      <c r="P646" s="62"/>
      <c r="Q646" s="62">
        <v>189.32900000000001</v>
      </c>
      <c r="R646" s="62">
        <v>3141.0640000000003</v>
      </c>
      <c r="S646" s="62">
        <v>1201.9532000000002</v>
      </c>
      <c r="T646" s="62">
        <v>-1342.3224</v>
      </c>
      <c r="U646" s="62">
        <v>0</v>
      </c>
      <c r="V646" s="62"/>
      <c r="W646" s="62">
        <v>561.38220000000001</v>
      </c>
      <c r="X646" s="62">
        <v>561.38220000000001</v>
      </c>
      <c r="Y646" s="62">
        <v>516.05160000000001</v>
      </c>
      <c r="Z646" s="62">
        <v>237.53200000000001</v>
      </c>
      <c r="AA646" s="62">
        <v>0</v>
      </c>
      <c r="AB646" s="62"/>
      <c r="AC646" s="62">
        <v>2799.5764162874175</v>
      </c>
      <c r="AD646" s="62">
        <v>2025.444321681608</v>
      </c>
      <c r="AE646" s="62">
        <v>1305.2701705349793</v>
      </c>
      <c r="AF646" s="62">
        <v>703.19408000000021</v>
      </c>
      <c r="AG646" s="62">
        <v>0</v>
      </c>
      <c r="AH646" s="62"/>
      <c r="AI646" s="62">
        <v>0</v>
      </c>
      <c r="AJ646" s="62">
        <v>0</v>
      </c>
      <c r="AK646" s="62">
        <v>0</v>
      </c>
      <c r="AL646" s="62">
        <v>0</v>
      </c>
      <c r="AM646" s="62">
        <v>0</v>
      </c>
    </row>
    <row r="647" spans="1:39">
      <c r="A647" s="9">
        <v>97101</v>
      </c>
      <c r="B647" s="10" t="s">
        <v>2021</v>
      </c>
      <c r="C647" s="60">
        <v>2.5790000000000001E-3</v>
      </c>
      <c r="E647" s="62">
        <v>213219.72586384954</v>
      </c>
      <c r="F647" s="62">
        <v>1152021.3104950527</v>
      </c>
      <c r="G647" s="62">
        <v>577862.8331956378</v>
      </c>
      <c r="H647" s="62">
        <v>-292718.15772000008</v>
      </c>
      <c r="I647" s="62">
        <v>0</v>
      </c>
      <c r="J647" s="62"/>
      <c r="K647" s="62">
        <v>-15517.843000000001</v>
      </c>
      <c r="L647" s="62">
        <v>32665.614000000001</v>
      </c>
      <c r="M647" s="62">
        <v>60611.658000000003</v>
      </c>
      <c r="N647" s="62">
        <v>37692.084999999999</v>
      </c>
      <c r="O647" s="62">
        <v>0</v>
      </c>
      <c r="P647" s="62"/>
      <c r="Q647" s="62">
        <v>56776.685000000005</v>
      </c>
      <c r="R647" s="62">
        <v>941953.96000000008</v>
      </c>
      <c r="S647" s="62">
        <v>360446.19800000003</v>
      </c>
      <c r="T647" s="62">
        <v>-402540.636</v>
      </c>
      <c r="U647" s="62">
        <v>0</v>
      </c>
      <c r="V647" s="62"/>
      <c r="W647" s="62">
        <v>168349.383</v>
      </c>
      <c r="X647" s="62">
        <v>168349.383</v>
      </c>
      <c r="Y647" s="62">
        <v>154755.47400000002</v>
      </c>
      <c r="Z647" s="62">
        <v>71231.98000000001</v>
      </c>
      <c r="AA647" s="62">
        <v>0</v>
      </c>
      <c r="AB647" s="62"/>
      <c r="AC647" s="62">
        <v>10548.430863849535</v>
      </c>
      <c r="AD647" s="62">
        <v>9052.3534950528847</v>
      </c>
      <c r="AE647" s="62">
        <v>2049.5031956376911</v>
      </c>
      <c r="AF647" s="62">
        <v>898.41327999993246</v>
      </c>
      <c r="AG647" s="62">
        <v>0</v>
      </c>
      <c r="AH647" s="62"/>
      <c r="AI647" s="62">
        <v>-6936.9300000000012</v>
      </c>
      <c r="AJ647" s="62">
        <v>0</v>
      </c>
      <c r="AK647" s="62">
        <v>0</v>
      </c>
      <c r="AL647" s="62">
        <v>0</v>
      </c>
      <c r="AM647" s="62">
        <v>0</v>
      </c>
    </row>
    <row r="648" spans="1:39">
      <c r="A648" s="9">
        <v>97104</v>
      </c>
      <c r="B648" s="10" t="s">
        <v>2022</v>
      </c>
      <c r="C648" s="60">
        <v>5.4299999999999998E-5</v>
      </c>
      <c r="E648" s="62">
        <v>10525.951018021278</v>
      </c>
      <c r="F648" s="62">
        <v>27732.283120095963</v>
      </c>
      <c r="G648" s="62">
        <v>13618.910326255145</v>
      </c>
      <c r="H648" s="62">
        <v>-5757.3089399999999</v>
      </c>
      <c r="I648" s="62">
        <v>0</v>
      </c>
      <c r="J648" s="62"/>
      <c r="K648" s="62">
        <v>-326.72309999999999</v>
      </c>
      <c r="L648" s="62">
        <v>687.76379999999995</v>
      </c>
      <c r="M648" s="62">
        <v>1276.1586</v>
      </c>
      <c r="N648" s="62">
        <v>793.59449999999993</v>
      </c>
      <c r="O648" s="62">
        <v>0</v>
      </c>
      <c r="P648" s="62"/>
      <c r="Q648" s="62">
        <v>1195.4144999999999</v>
      </c>
      <c r="R648" s="62">
        <v>19832.531999999999</v>
      </c>
      <c r="S648" s="62">
        <v>7589.0765999999994</v>
      </c>
      <c r="T648" s="62">
        <v>-8475.3611999999994</v>
      </c>
      <c r="U648" s="62">
        <v>0</v>
      </c>
      <c r="V648" s="62"/>
      <c r="W648" s="62">
        <v>3544.5410999999999</v>
      </c>
      <c r="X648" s="62">
        <v>3544.5410999999999</v>
      </c>
      <c r="Y648" s="62">
        <v>3258.3258000000001</v>
      </c>
      <c r="Z648" s="62">
        <v>1499.7659999999998</v>
      </c>
      <c r="AA648" s="62">
        <v>0</v>
      </c>
      <c r="AB648" s="62"/>
      <c r="AC648" s="62">
        <v>6112.7185180212773</v>
      </c>
      <c r="AD648" s="62">
        <v>3667.4462200959661</v>
      </c>
      <c r="AE648" s="62">
        <v>1495.3493262551451</v>
      </c>
      <c r="AF648" s="62">
        <v>424.69175999999936</v>
      </c>
      <c r="AG648" s="62">
        <v>0</v>
      </c>
      <c r="AH648" s="62"/>
      <c r="AI648" s="62">
        <v>0</v>
      </c>
      <c r="AJ648" s="62">
        <v>0</v>
      </c>
      <c r="AK648" s="62">
        <v>0</v>
      </c>
      <c r="AL648" s="62">
        <v>0</v>
      </c>
      <c r="AM648" s="62">
        <v>0</v>
      </c>
    </row>
    <row r="649" spans="1:39">
      <c r="A649" s="9">
        <v>97111</v>
      </c>
      <c r="B649" s="10" t="s">
        <v>2023</v>
      </c>
      <c r="C649" s="60">
        <v>2.8200000000000002E-4</v>
      </c>
      <c r="E649" s="62">
        <v>21436.672883076331</v>
      </c>
      <c r="F649" s="62">
        <v>117992.87489419668</v>
      </c>
      <c r="G649" s="62">
        <v>60990.853442798347</v>
      </c>
      <c r="H649" s="62">
        <v>-34379.878800000013</v>
      </c>
      <c r="I649" s="62">
        <v>0</v>
      </c>
      <c r="J649" s="62"/>
      <c r="K649" s="62">
        <v>-1696.7940000000001</v>
      </c>
      <c r="L649" s="62">
        <v>3571.8120000000004</v>
      </c>
      <c r="M649" s="62">
        <v>6627.5640000000003</v>
      </c>
      <c r="N649" s="62">
        <v>4121.43</v>
      </c>
      <c r="O649" s="62">
        <v>0</v>
      </c>
      <c r="P649" s="62"/>
      <c r="Q649" s="62">
        <v>6208.2300000000005</v>
      </c>
      <c r="R649" s="62">
        <v>102997.68000000001</v>
      </c>
      <c r="S649" s="62">
        <v>39412.884000000005</v>
      </c>
      <c r="T649" s="62">
        <v>-44015.688000000002</v>
      </c>
      <c r="U649" s="62">
        <v>0</v>
      </c>
      <c r="V649" s="62"/>
      <c r="W649" s="62">
        <v>18408.114000000001</v>
      </c>
      <c r="X649" s="62">
        <v>18408.114000000001</v>
      </c>
      <c r="Y649" s="62">
        <v>16921.692000000003</v>
      </c>
      <c r="Z649" s="62">
        <v>7788.8400000000011</v>
      </c>
      <c r="AA649" s="62">
        <v>0</v>
      </c>
      <c r="AB649" s="62"/>
      <c r="AC649" s="62">
        <v>6965.7281893004092</v>
      </c>
      <c r="AD649" s="62">
        <v>352.52818930040803</v>
      </c>
      <c r="AE649" s="62">
        <v>303.17424279835103</v>
      </c>
      <c r="AF649" s="62">
        <v>0</v>
      </c>
      <c r="AG649" s="62">
        <v>0</v>
      </c>
      <c r="AH649" s="62"/>
      <c r="AI649" s="62">
        <v>-8448.6053062240826</v>
      </c>
      <c r="AJ649" s="62">
        <v>-7337.2592951037514</v>
      </c>
      <c r="AK649" s="62">
        <v>-2274.4608000000098</v>
      </c>
      <c r="AL649" s="62">
        <v>-2274.4608000000098</v>
      </c>
      <c r="AM649" s="62">
        <v>0</v>
      </c>
    </row>
    <row r="650" spans="1:39">
      <c r="A650" s="9">
        <v>97121</v>
      </c>
      <c r="B650" s="10" t="s">
        <v>2024</v>
      </c>
      <c r="C650" s="60">
        <v>1.3640000000000001E-4</v>
      </c>
      <c r="E650" s="62">
        <v>9997.6448129214605</v>
      </c>
      <c r="F650" s="62">
        <v>60849.148423128936</v>
      </c>
      <c r="G650" s="62">
        <v>31353.495888148147</v>
      </c>
      <c r="H650" s="62">
        <v>-12116.863360000003</v>
      </c>
      <c r="I650" s="62">
        <v>0</v>
      </c>
      <c r="J650" s="62"/>
      <c r="K650" s="62">
        <v>-820.7188000000001</v>
      </c>
      <c r="L650" s="62">
        <v>1727.6424000000002</v>
      </c>
      <c r="M650" s="62">
        <v>3205.6728000000003</v>
      </c>
      <c r="N650" s="62">
        <v>1993.4860000000001</v>
      </c>
      <c r="O650" s="62">
        <v>0</v>
      </c>
      <c r="P650" s="62"/>
      <c r="Q650" s="62">
        <v>3002.846</v>
      </c>
      <c r="R650" s="62">
        <v>49818.736000000004</v>
      </c>
      <c r="S650" s="62">
        <v>19063.536800000002</v>
      </c>
      <c r="T650" s="62">
        <v>-21289.857600000003</v>
      </c>
      <c r="U650" s="62">
        <v>0</v>
      </c>
      <c r="V650" s="62"/>
      <c r="W650" s="62">
        <v>8903.7828000000009</v>
      </c>
      <c r="X650" s="62">
        <v>8903.7828000000009</v>
      </c>
      <c r="Y650" s="62">
        <v>8184.8184000000001</v>
      </c>
      <c r="Z650" s="62">
        <v>3767.3680000000004</v>
      </c>
      <c r="AA650" s="62">
        <v>0</v>
      </c>
      <c r="AB650" s="62"/>
      <c r="AC650" s="62">
        <v>3412.1402399999979</v>
      </c>
      <c r="AD650" s="62">
        <v>3412.1402399999979</v>
      </c>
      <c r="AE650" s="62">
        <v>3412.1402399999979</v>
      </c>
      <c r="AF650" s="62">
        <v>3412.1402399999979</v>
      </c>
      <c r="AG650" s="62">
        <v>0</v>
      </c>
      <c r="AH650" s="62"/>
      <c r="AI650" s="62">
        <v>-4500.4054270785364</v>
      </c>
      <c r="AJ650" s="62">
        <v>-3013.153016871066</v>
      </c>
      <c r="AK650" s="62">
        <v>-2512.6723518518534</v>
      </c>
      <c r="AL650" s="62">
        <v>0</v>
      </c>
      <c r="AM650" s="62">
        <v>0</v>
      </c>
    </row>
    <row r="651" spans="1:39">
      <c r="A651" s="9">
        <v>97131</v>
      </c>
      <c r="B651" s="10" t="s">
        <v>2025</v>
      </c>
      <c r="C651" s="60">
        <v>7.358E-4</v>
      </c>
      <c r="E651" s="62">
        <v>67660.258768155967</v>
      </c>
      <c r="F651" s="62">
        <v>333602.61867338419</v>
      </c>
      <c r="G651" s="62">
        <v>169913.75451119337</v>
      </c>
      <c r="H651" s="62">
        <v>-77448.07316</v>
      </c>
      <c r="I651" s="62">
        <v>0</v>
      </c>
      <c r="J651" s="62"/>
      <c r="K651" s="62">
        <v>-4427.3086000000003</v>
      </c>
      <c r="L651" s="62">
        <v>9319.6427999999996</v>
      </c>
      <c r="M651" s="62">
        <v>17292.7716</v>
      </c>
      <c r="N651" s="62">
        <v>10753.717000000001</v>
      </c>
      <c r="O651" s="62">
        <v>0</v>
      </c>
      <c r="P651" s="62"/>
      <c r="Q651" s="62">
        <v>16198.637000000001</v>
      </c>
      <c r="R651" s="62">
        <v>268743.592</v>
      </c>
      <c r="S651" s="62">
        <v>102836.8796</v>
      </c>
      <c r="T651" s="62">
        <v>-114846.6072</v>
      </c>
      <c r="U651" s="62">
        <v>0</v>
      </c>
      <c r="V651" s="62"/>
      <c r="W651" s="62">
        <v>48030.816599999998</v>
      </c>
      <c r="X651" s="62">
        <v>48030.816599999998</v>
      </c>
      <c r="Y651" s="62">
        <v>44152.414799999999</v>
      </c>
      <c r="Z651" s="62">
        <v>20322.795999999998</v>
      </c>
      <c r="AA651" s="62">
        <v>0</v>
      </c>
      <c r="AB651" s="62"/>
      <c r="AC651" s="62">
        <v>8747.9460109543543</v>
      </c>
      <c r="AD651" s="62">
        <v>8311.2795161825688</v>
      </c>
      <c r="AE651" s="62">
        <v>6322.0210399999869</v>
      </c>
      <c r="AF651" s="62">
        <v>6322.0210399999869</v>
      </c>
      <c r="AG651" s="62">
        <v>0</v>
      </c>
      <c r="AH651" s="62"/>
      <c r="AI651" s="62">
        <v>-889.83224279837316</v>
      </c>
      <c r="AJ651" s="62">
        <v>-802.71224279837315</v>
      </c>
      <c r="AK651" s="62">
        <v>-690.3325288066012</v>
      </c>
      <c r="AL651" s="62">
        <v>0</v>
      </c>
      <c r="AM651" s="62">
        <v>0</v>
      </c>
    </row>
    <row r="652" spans="1:39">
      <c r="A652" s="9">
        <v>97201</v>
      </c>
      <c r="B652" s="10" t="s">
        <v>2026</v>
      </c>
      <c r="C652" s="60">
        <v>5.2689999999999996E-4</v>
      </c>
      <c r="E652" s="62">
        <v>53793.23710903708</v>
      </c>
      <c r="F652" s="62">
        <v>246209.38865899554</v>
      </c>
      <c r="G652" s="62">
        <v>128911.43707588477</v>
      </c>
      <c r="H652" s="62">
        <v>-53271.40201999998</v>
      </c>
      <c r="I652" s="62">
        <v>0</v>
      </c>
      <c r="J652" s="62"/>
      <c r="K652" s="62">
        <v>-3170.3572999999997</v>
      </c>
      <c r="L652" s="62">
        <v>6673.7153999999991</v>
      </c>
      <c r="M652" s="62">
        <v>12383.203799999999</v>
      </c>
      <c r="N652" s="62">
        <v>7700.6434999999992</v>
      </c>
      <c r="O652" s="62">
        <v>0</v>
      </c>
      <c r="P652" s="62"/>
      <c r="Q652" s="62">
        <v>11599.7035</v>
      </c>
      <c r="R652" s="62">
        <v>192444.95599999998</v>
      </c>
      <c r="S652" s="62">
        <v>73640.597799999989</v>
      </c>
      <c r="T652" s="62">
        <v>-82240.659599999999</v>
      </c>
      <c r="U652" s="62">
        <v>0</v>
      </c>
      <c r="V652" s="62"/>
      <c r="W652" s="62">
        <v>34394.451300000001</v>
      </c>
      <c r="X652" s="62">
        <v>34394.451300000001</v>
      </c>
      <c r="Y652" s="62">
        <v>31617.161399999997</v>
      </c>
      <c r="Z652" s="62">
        <v>14552.977999999999</v>
      </c>
      <c r="AA652" s="62">
        <v>0</v>
      </c>
      <c r="AB652" s="62"/>
      <c r="AC652" s="62">
        <v>12846.479609037084</v>
      </c>
      <c r="AD652" s="62">
        <v>12696.265958995595</v>
      </c>
      <c r="AE652" s="62">
        <v>11270.474075884777</v>
      </c>
      <c r="AF652" s="62">
        <v>6715.6360800000084</v>
      </c>
      <c r="AG652" s="62">
        <v>0</v>
      </c>
      <c r="AH652" s="62"/>
      <c r="AI652" s="62">
        <v>-1877.0400000000004</v>
      </c>
      <c r="AJ652" s="62">
        <v>0</v>
      </c>
      <c r="AK652" s="62">
        <v>0</v>
      </c>
      <c r="AL652" s="62">
        <v>0</v>
      </c>
      <c r="AM652" s="62">
        <v>0</v>
      </c>
    </row>
    <row r="653" spans="1:39">
      <c r="A653" s="9">
        <v>97211</v>
      </c>
      <c r="B653" s="10" t="s">
        <v>2027</v>
      </c>
      <c r="C653" s="60">
        <v>1.5980000000000001E-4</v>
      </c>
      <c r="E653" s="62">
        <v>13336.340996224933</v>
      </c>
      <c r="F653" s="62">
        <v>71104.516529585933</v>
      </c>
      <c r="G653" s="62">
        <v>35508.734940411538</v>
      </c>
      <c r="H653" s="62">
        <v>-14767.378359999988</v>
      </c>
      <c r="I653" s="62">
        <v>0</v>
      </c>
      <c r="J653" s="62"/>
      <c r="K653" s="62">
        <v>-961.51660000000004</v>
      </c>
      <c r="L653" s="62">
        <v>2024.0268000000001</v>
      </c>
      <c r="M653" s="62">
        <v>3755.6196</v>
      </c>
      <c r="N653" s="62">
        <v>2335.4770000000003</v>
      </c>
      <c r="O653" s="62">
        <v>0</v>
      </c>
      <c r="P653" s="62"/>
      <c r="Q653" s="62">
        <v>3517.9970000000003</v>
      </c>
      <c r="R653" s="62">
        <v>58365.352000000006</v>
      </c>
      <c r="S653" s="62">
        <v>22333.9676</v>
      </c>
      <c r="T653" s="62">
        <v>-24942.2232</v>
      </c>
      <c r="U653" s="62">
        <v>0</v>
      </c>
      <c r="V653" s="62"/>
      <c r="W653" s="62">
        <v>10431.2646</v>
      </c>
      <c r="X653" s="62">
        <v>10431.2646</v>
      </c>
      <c r="Y653" s="62">
        <v>9588.9588000000003</v>
      </c>
      <c r="Z653" s="62">
        <v>4413.6760000000004</v>
      </c>
      <c r="AA653" s="62">
        <v>0</v>
      </c>
      <c r="AB653" s="62"/>
      <c r="AC653" s="62">
        <v>4692.7633213278132</v>
      </c>
      <c r="AD653" s="62">
        <v>4464.69045468881</v>
      </c>
      <c r="AE653" s="62">
        <v>3425.6918400000141</v>
      </c>
      <c r="AF653" s="62">
        <v>3425.6918400000141</v>
      </c>
      <c r="AG653" s="62">
        <v>0</v>
      </c>
      <c r="AH653" s="62"/>
      <c r="AI653" s="62">
        <v>-4344.1673251028787</v>
      </c>
      <c r="AJ653" s="62">
        <v>-4180.8173251028784</v>
      </c>
      <c r="AK653" s="62">
        <v>-3595.5028995884768</v>
      </c>
      <c r="AL653" s="62">
        <v>0</v>
      </c>
      <c r="AM653" s="62">
        <v>0</v>
      </c>
    </row>
    <row r="654" spans="1:39">
      <c r="A654" s="9">
        <v>97213</v>
      </c>
      <c r="B654" s="10" t="s">
        <v>2028</v>
      </c>
      <c r="C654" s="60">
        <v>3.9100000000000002E-5</v>
      </c>
      <c r="E654" s="62">
        <v>5227.7919312497634</v>
      </c>
      <c r="F654" s="62">
        <v>18687.773547017394</v>
      </c>
      <c r="G654" s="62">
        <v>10061.097602386828</v>
      </c>
      <c r="H654" s="62">
        <v>-2971.4413400000021</v>
      </c>
      <c r="I654" s="62">
        <v>0</v>
      </c>
      <c r="J654" s="62"/>
      <c r="K654" s="62">
        <v>-235.2647</v>
      </c>
      <c r="L654" s="62">
        <v>495.24060000000003</v>
      </c>
      <c r="M654" s="62">
        <v>918.92820000000006</v>
      </c>
      <c r="N654" s="62">
        <v>571.44650000000001</v>
      </c>
      <c r="O654" s="62">
        <v>0</v>
      </c>
      <c r="P654" s="62"/>
      <c r="Q654" s="62">
        <v>860.78650000000005</v>
      </c>
      <c r="R654" s="62">
        <v>14280.884</v>
      </c>
      <c r="S654" s="62">
        <v>5464.6941999999999</v>
      </c>
      <c r="T654" s="62">
        <v>-6102.8843999999999</v>
      </c>
      <c r="U654" s="62">
        <v>0</v>
      </c>
      <c r="V654" s="62"/>
      <c r="W654" s="62">
        <v>2552.3307</v>
      </c>
      <c r="X654" s="62">
        <v>2552.3307</v>
      </c>
      <c r="Y654" s="62">
        <v>2346.2346000000002</v>
      </c>
      <c r="Z654" s="62">
        <v>1079.942</v>
      </c>
      <c r="AA654" s="62">
        <v>0</v>
      </c>
      <c r="AB654" s="62"/>
      <c r="AC654" s="62">
        <v>2222.9789168464717</v>
      </c>
      <c r="AD654" s="62">
        <v>1532.3577326141065</v>
      </c>
      <c r="AE654" s="62">
        <v>1480.0545599999975</v>
      </c>
      <c r="AF654" s="62">
        <v>1480.0545599999975</v>
      </c>
      <c r="AG654" s="62">
        <v>0</v>
      </c>
      <c r="AH654" s="62"/>
      <c r="AI654" s="62">
        <v>-173.03948559670826</v>
      </c>
      <c r="AJ654" s="62">
        <v>-173.03948559670826</v>
      </c>
      <c r="AK654" s="62">
        <v>-148.81395761316915</v>
      </c>
      <c r="AL654" s="62">
        <v>0</v>
      </c>
      <c r="AM654" s="62">
        <v>0</v>
      </c>
    </row>
    <row r="655" spans="1:39">
      <c r="A655" s="9">
        <v>97217</v>
      </c>
      <c r="B655" s="10" t="s">
        <v>2029</v>
      </c>
      <c r="C655" s="60">
        <v>4.6E-6</v>
      </c>
      <c r="E655" s="62">
        <v>3652.4445673862347</v>
      </c>
      <c r="F655" s="62">
        <v>4438.7594802493049</v>
      </c>
      <c r="G655" s="62">
        <v>2658.0609001646098</v>
      </c>
      <c r="H655" s="62">
        <v>381.5542800000004</v>
      </c>
      <c r="I655" s="62">
        <v>0</v>
      </c>
      <c r="J655" s="62"/>
      <c r="K655" s="62">
        <v>-27.6782</v>
      </c>
      <c r="L655" s="62">
        <v>58.263599999999997</v>
      </c>
      <c r="M655" s="62">
        <v>108.1092</v>
      </c>
      <c r="N655" s="62">
        <v>67.228999999999999</v>
      </c>
      <c r="O655" s="62">
        <v>0</v>
      </c>
      <c r="P655" s="62"/>
      <c r="Q655" s="62">
        <v>101.26900000000001</v>
      </c>
      <c r="R655" s="62">
        <v>1680.104</v>
      </c>
      <c r="S655" s="62">
        <v>642.90520000000004</v>
      </c>
      <c r="T655" s="62">
        <v>-717.9864</v>
      </c>
      <c r="U655" s="62">
        <v>0</v>
      </c>
      <c r="V655" s="62"/>
      <c r="W655" s="62">
        <v>300.27420000000001</v>
      </c>
      <c r="X655" s="62">
        <v>300.27420000000001</v>
      </c>
      <c r="Y655" s="62">
        <v>276.02760000000001</v>
      </c>
      <c r="Z655" s="62">
        <v>127.05200000000001</v>
      </c>
      <c r="AA655" s="62">
        <v>0</v>
      </c>
      <c r="AB655" s="62"/>
      <c r="AC655" s="62">
        <v>3278.5795673862344</v>
      </c>
      <c r="AD655" s="62">
        <v>2400.1176802493051</v>
      </c>
      <c r="AE655" s="62">
        <v>1631.0189001646099</v>
      </c>
      <c r="AF655" s="62">
        <v>905.25968000000034</v>
      </c>
      <c r="AG655" s="62">
        <v>0</v>
      </c>
      <c r="AH655" s="62"/>
      <c r="AI655" s="62">
        <v>0</v>
      </c>
      <c r="AJ655" s="62">
        <v>0</v>
      </c>
      <c r="AK655" s="62">
        <v>0</v>
      </c>
      <c r="AL655" s="62">
        <v>0</v>
      </c>
      <c r="AM655" s="62">
        <v>0</v>
      </c>
    </row>
    <row r="656" spans="1:39">
      <c r="A656" s="9">
        <v>97221</v>
      </c>
      <c r="B656" s="10" t="s">
        <v>2030</v>
      </c>
      <c r="C656" s="60">
        <v>7.1999999999999997E-6</v>
      </c>
      <c r="E656" s="62">
        <v>3695.2690148715064</v>
      </c>
      <c r="F656" s="62">
        <v>5337.1745204316721</v>
      </c>
      <c r="G656" s="62">
        <v>3374.8557280658438</v>
      </c>
      <c r="H656" s="62">
        <v>242.37104000000011</v>
      </c>
      <c r="I656" s="62">
        <v>0</v>
      </c>
      <c r="J656" s="62"/>
      <c r="K656" s="62">
        <v>-43.322399999999995</v>
      </c>
      <c r="L656" s="62">
        <v>91.1952</v>
      </c>
      <c r="M656" s="62">
        <v>169.21439999999998</v>
      </c>
      <c r="N656" s="62">
        <v>105.22799999999999</v>
      </c>
      <c r="O656" s="62">
        <v>0</v>
      </c>
      <c r="P656" s="62"/>
      <c r="Q656" s="62">
        <v>158.50799999999998</v>
      </c>
      <c r="R656" s="62">
        <v>2629.7280000000001</v>
      </c>
      <c r="S656" s="62">
        <v>1006.2864</v>
      </c>
      <c r="T656" s="62">
        <v>-1123.8047999999999</v>
      </c>
      <c r="U656" s="62">
        <v>0</v>
      </c>
      <c r="V656" s="62"/>
      <c r="W656" s="62">
        <v>469.99439999999998</v>
      </c>
      <c r="X656" s="62">
        <v>469.99439999999998</v>
      </c>
      <c r="Y656" s="62">
        <v>432.04319999999996</v>
      </c>
      <c r="Z656" s="62">
        <v>198.864</v>
      </c>
      <c r="AA656" s="62">
        <v>0</v>
      </c>
      <c r="AB656" s="62"/>
      <c r="AC656" s="62">
        <v>3110.0890148715066</v>
      </c>
      <c r="AD656" s="62">
        <v>2146.2569204316719</v>
      </c>
      <c r="AE656" s="62">
        <v>1767.3117280658439</v>
      </c>
      <c r="AF656" s="62">
        <v>1062.08384</v>
      </c>
      <c r="AG656" s="62">
        <v>0</v>
      </c>
      <c r="AH656" s="62"/>
      <c r="AI656" s="62">
        <v>0</v>
      </c>
      <c r="AJ656" s="62">
        <v>0</v>
      </c>
      <c r="AK656" s="62">
        <v>0</v>
      </c>
      <c r="AL656" s="62">
        <v>0</v>
      </c>
      <c r="AM656" s="62">
        <v>0</v>
      </c>
    </row>
    <row r="657" spans="1:39">
      <c r="A657" s="9">
        <v>97301</v>
      </c>
      <c r="B657" s="10" t="s">
        <v>2031</v>
      </c>
      <c r="C657" s="60">
        <v>2.5135999999999999E-3</v>
      </c>
      <c r="E657" s="62">
        <v>193708.19358300851</v>
      </c>
      <c r="F657" s="62">
        <v>1109189.0171054152</v>
      </c>
      <c r="G657" s="62">
        <v>547401.39837004116</v>
      </c>
      <c r="H657" s="62">
        <v>-289732.68295999995</v>
      </c>
      <c r="I657" s="62">
        <v>0</v>
      </c>
      <c r="J657" s="62"/>
      <c r="K657" s="62">
        <v>-15124.331200000001</v>
      </c>
      <c r="L657" s="62">
        <v>31837.257600000001</v>
      </c>
      <c r="M657" s="62">
        <v>59074.627199999995</v>
      </c>
      <c r="N657" s="62">
        <v>36736.264000000003</v>
      </c>
      <c r="O657" s="62">
        <v>0</v>
      </c>
      <c r="P657" s="62"/>
      <c r="Q657" s="62">
        <v>55336.904000000002</v>
      </c>
      <c r="R657" s="62">
        <v>918067.26399999997</v>
      </c>
      <c r="S657" s="62">
        <v>351305.76319999999</v>
      </c>
      <c r="T657" s="62">
        <v>-392332.74239999999</v>
      </c>
      <c r="U657" s="62">
        <v>0</v>
      </c>
      <c r="V657" s="62"/>
      <c r="W657" s="62">
        <v>164080.2672</v>
      </c>
      <c r="X657" s="62">
        <v>164080.2672</v>
      </c>
      <c r="Y657" s="62">
        <v>150831.0816</v>
      </c>
      <c r="Z657" s="62">
        <v>69425.631999999998</v>
      </c>
      <c r="AA657" s="62">
        <v>0</v>
      </c>
      <c r="AB657" s="62"/>
      <c r="AC657" s="62">
        <v>13027.584875518691</v>
      </c>
      <c r="AD657" s="62">
        <v>10682.61959792533</v>
      </c>
      <c r="AE657" s="62">
        <v>0</v>
      </c>
      <c r="AF657" s="62">
        <v>0</v>
      </c>
      <c r="AG657" s="62">
        <v>0</v>
      </c>
      <c r="AH657" s="62"/>
      <c r="AI657" s="62">
        <v>-23612.231292510161</v>
      </c>
      <c r="AJ657" s="62">
        <v>-15478.391292510159</v>
      </c>
      <c r="AK657" s="62">
        <v>-13810.073629958737</v>
      </c>
      <c r="AL657" s="62">
        <v>-3561.836559999967</v>
      </c>
      <c r="AM657" s="62">
        <v>0</v>
      </c>
    </row>
    <row r="658" spans="1:39">
      <c r="A658" s="9">
        <v>97304</v>
      </c>
      <c r="B658" s="10" t="s">
        <v>2032</v>
      </c>
      <c r="C658" s="60">
        <v>1.6799999999999998E-5</v>
      </c>
      <c r="E658" s="62">
        <v>4860.5973007899202</v>
      </c>
      <c r="F658" s="62">
        <v>9968.6300709144016</v>
      </c>
      <c r="G658" s="62">
        <v>5471.8800607407429</v>
      </c>
      <c r="H658" s="62">
        <v>-912.97087999999803</v>
      </c>
      <c r="I658" s="62">
        <v>0</v>
      </c>
      <c r="J658" s="62"/>
      <c r="K658" s="62">
        <v>-101.08559999999999</v>
      </c>
      <c r="L658" s="62">
        <v>212.78879999999998</v>
      </c>
      <c r="M658" s="62">
        <v>394.83359999999999</v>
      </c>
      <c r="N658" s="62">
        <v>245.53199999999998</v>
      </c>
      <c r="O658" s="62">
        <v>0</v>
      </c>
      <c r="P658" s="62"/>
      <c r="Q658" s="62">
        <v>369.85199999999998</v>
      </c>
      <c r="R658" s="62">
        <v>6136.0319999999992</v>
      </c>
      <c r="S658" s="62">
        <v>2348.0015999999996</v>
      </c>
      <c r="T658" s="62">
        <v>-2622.2111999999997</v>
      </c>
      <c r="U658" s="62">
        <v>0</v>
      </c>
      <c r="V658" s="62"/>
      <c r="W658" s="62">
        <v>1096.6535999999999</v>
      </c>
      <c r="X658" s="62">
        <v>1096.6535999999999</v>
      </c>
      <c r="Y658" s="62">
        <v>1008.1007999999999</v>
      </c>
      <c r="Z658" s="62">
        <v>464.01599999999996</v>
      </c>
      <c r="AA658" s="62">
        <v>0</v>
      </c>
      <c r="AB658" s="62"/>
      <c r="AC658" s="62">
        <v>3495.1773007899205</v>
      </c>
      <c r="AD658" s="62">
        <v>2523.155670914402</v>
      </c>
      <c r="AE658" s="62">
        <v>1720.9440607407432</v>
      </c>
      <c r="AF658" s="62">
        <v>999.69232000000147</v>
      </c>
      <c r="AG658" s="62">
        <v>0</v>
      </c>
      <c r="AH658" s="62"/>
      <c r="AI658" s="62">
        <v>0</v>
      </c>
      <c r="AJ658" s="62">
        <v>0</v>
      </c>
      <c r="AK658" s="62">
        <v>0</v>
      </c>
      <c r="AL658" s="62">
        <v>0</v>
      </c>
      <c r="AM658" s="62">
        <v>0</v>
      </c>
    </row>
    <row r="659" spans="1:39">
      <c r="A659" s="9">
        <v>97311</v>
      </c>
      <c r="B659" s="10" t="s">
        <v>2033</v>
      </c>
      <c r="C659" s="60">
        <v>9.1799999999999998E-4</v>
      </c>
      <c r="E659" s="62">
        <v>32737.011022847262</v>
      </c>
      <c r="F659" s="62">
        <v>382246.87008317921</v>
      </c>
      <c r="G659" s="62">
        <v>182812.85521234572</v>
      </c>
      <c r="H659" s="62">
        <v>-112740.06199999998</v>
      </c>
      <c r="I659" s="62">
        <v>0</v>
      </c>
      <c r="J659" s="62"/>
      <c r="K659" s="62">
        <v>-5523.6059999999998</v>
      </c>
      <c r="L659" s="62">
        <v>11627.387999999999</v>
      </c>
      <c r="M659" s="62">
        <v>21574.835999999999</v>
      </c>
      <c r="N659" s="62">
        <v>13416.57</v>
      </c>
      <c r="O659" s="62">
        <v>0</v>
      </c>
      <c r="P659" s="62"/>
      <c r="Q659" s="62">
        <v>20209.77</v>
      </c>
      <c r="R659" s="62">
        <v>335290.32</v>
      </c>
      <c r="S659" s="62">
        <v>128301.516</v>
      </c>
      <c r="T659" s="62">
        <v>-143285.11199999999</v>
      </c>
      <c r="U659" s="62">
        <v>0</v>
      </c>
      <c r="V659" s="62"/>
      <c r="W659" s="62">
        <v>59924.286</v>
      </c>
      <c r="X659" s="62">
        <v>59924.286</v>
      </c>
      <c r="Y659" s="62">
        <v>55085.508000000002</v>
      </c>
      <c r="Z659" s="62">
        <v>25355.16</v>
      </c>
      <c r="AA659" s="62">
        <v>0</v>
      </c>
      <c r="AB659" s="62"/>
      <c r="AC659" s="62">
        <v>0</v>
      </c>
      <c r="AD659" s="62">
        <v>0</v>
      </c>
      <c r="AE659" s="62">
        <v>0</v>
      </c>
      <c r="AF659" s="62">
        <v>0</v>
      </c>
      <c r="AG659" s="62">
        <v>0</v>
      </c>
      <c r="AH659" s="62"/>
      <c r="AI659" s="62">
        <v>-41873.438977152735</v>
      </c>
      <c r="AJ659" s="62">
        <v>-24595.123916820783</v>
      </c>
      <c r="AK659" s="62">
        <v>-22149.004787654281</v>
      </c>
      <c r="AL659" s="62">
        <v>-8226.679999999993</v>
      </c>
      <c r="AM659" s="62">
        <v>0</v>
      </c>
    </row>
    <row r="660" spans="1:39">
      <c r="A660" s="9">
        <v>97401</v>
      </c>
      <c r="B660" s="10" t="s">
        <v>2034</v>
      </c>
      <c r="C660" s="60">
        <v>7.1303E-3</v>
      </c>
      <c r="E660" s="62">
        <v>558274.28665394126</v>
      </c>
      <c r="F660" s="62">
        <v>3178911.4428744395</v>
      </c>
      <c r="G660" s="62">
        <v>1624678.4021398353</v>
      </c>
      <c r="H660" s="62">
        <v>-773933.09213999996</v>
      </c>
      <c r="I660" s="62">
        <v>0</v>
      </c>
      <c r="J660" s="62"/>
      <c r="K660" s="62">
        <v>-42903.015099999997</v>
      </c>
      <c r="L660" s="62">
        <v>90312.379799999995</v>
      </c>
      <c r="M660" s="62">
        <v>167576.3106</v>
      </c>
      <c r="N660" s="62">
        <v>104209.3345</v>
      </c>
      <c r="O660" s="62">
        <v>0</v>
      </c>
      <c r="P660" s="62"/>
      <c r="Q660" s="62">
        <v>156973.5545</v>
      </c>
      <c r="R660" s="62">
        <v>2604270.7719999999</v>
      </c>
      <c r="S660" s="62">
        <v>996544.98860000004</v>
      </c>
      <c r="T660" s="62">
        <v>-1112925.7452</v>
      </c>
      <c r="U660" s="62">
        <v>0</v>
      </c>
      <c r="V660" s="62"/>
      <c r="W660" s="62">
        <v>465444.5931</v>
      </c>
      <c r="X660" s="62">
        <v>465444.5931</v>
      </c>
      <c r="Y660" s="62">
        <v>427860.7818</v>
      </c>
      <c r="Z660" s="62">
        <v>196938.886</v>
      </c>
      <c r="AA660" s="62">
        <v>0</v>
      </c>
      <c r="AB660" s="62"/>
      <c r="AC660" s="62">
        <v>37844.432560000008</v>
      </c>
      <c r="AD660" s="62">
        <v>37844.432560000008</v>
      </c>
      <c r="AE660" s="62">
        <v>37844.432560000008</v>
      </c>
      <c r="AF660" s="62">
        <v>37844.432560000008</v>
      </c>
      <c r="AG660" s="62">
        <v>0</v>
      </c>
      <c r="AH660" s="62"/>
      <c r="AI660" s="62">
        <v>-59085.278406058729</v>
      </c>
      <c r="AJ660" s="62">
        <v>-18960.734585560771</v>
      </c>
      <c r="AK660" s="62">
        <v>-5148.1114201647197</v>
      </c>
      <c r="AL660" s="62">
        <v>0</v>
      </c>
      <c r="AM660" s="62">
        <v>0</v>
      </c>
    </row>
    <row r="661" spans="1:39">
      <c r="A661" s="9">
        <v>97402</v>
      </c>
      <c r="B661" s="10" t="s">
        <v>2035</v>
      </c>
      <c r="C661" s="60">
        <v>4.8000000000000001E-5</v>
      </c>
      <c r="E661" s="62">
        <v>9182.6336794651925</v>
      </c>
      <c r="F661" s="62">
        <v>26321.639104361457</v>
      </c>
      <c r="G661" s="62">
        <v>14903.563362222225</v>
      </c>
      <c r="H661" s="62">
        <v>-4277.3809600000013</v>
      </c>
      <c r="I661" s="62">
        <v>0</v>
      </c>
      <c r="J661" s="62"/>
      <c r="K661" s="62">
        <v>-288.81600000000003</v>
      </c>
      <c r="L661" s="62">
        <v>607.96799999999996</v>
      </c>
      <c r="M661" s="62">
        <v>1128.096</v>
      </c>
      <c r="N661" s="62">
        <v>701.52</v>
      </c>
      <c r="O661" s="62">
        <v>0</v>
      </c>
      <c r="P661" s="62"/>
      <c r="Q661" s="62">
        <v>1056.72</v>
      </c>
      <c r="R661" s="62">
        <v>17531.52</v>
      </c>
      <c r="S661" s="62">
        <v>6708.576</v>
      </c>
      <c r="T661" s="62">
        <v>-7492.0320000000002</v>
      </c>
      <c r="U661" s="62">
        <v>0</v>
      </c>
      <c r="V661" s="62"/>
      <c r="W661" s="62">
        <v>3133.2960000000003</v>
      </c>
      <c r="X661" s="62">
        <v>3133.2960000000003</v>
      </c>
      <c r="Y661" s="62">
        <v>2880.288</v>
      </c>
      <c r="Z661" s="62">
        <v>1325.76</v>
      </c>
      <c r="AA661" s="62">
        <v>0</v>
      </c>
      <c r="AB661" s="62"/>
      <c r="AC661" s="62">
        <v>5281.4336794651917</v>
      </c>
      <c r="AD661" s="62">
        <v>5048.855104361458</v>
      </c>
      <c r="AE661" s="62">
        <v>4186.603362222224</v>
      </c>
      <c r="AF661" s="62">
        <v>1187.3710399999991</v>
      </c>
      <c r="AG661" s="62">
        <v>0</v>
      </c>
      <c r="AH661" s="62"/>
      <c r="AI661" s="62">
        <v>0</v>
      </c>
      <c r="AJ661" s="62">
        <v>0</v>
      </c>
      <c r="AK661" s="62">
        <v>0</v>
      </c>
      <c r="AL661" s="62">
        <v>0</v>
      </c>
      <c r="AM661" s="62">
        <v>0</v>
      </c>
    </row>
    <row r="662" spans="1:39">
      <c r="A662" s="9">
        <v>97404</v>
      </c>
      <c r="B662" s="10" t="s">
        <v>2036</v>
      </c>
      <c r="C662" s="60">
        <v>2.1010000000000001E-4</v>
      </c>
      <c r="E662" s="62">
        <v>10981.52306781245</v>
      </c>
      <c r="F662" s="62">
        <v>86353.097561754359</v>
      </c>
      <c r="G662" s="62">
        <v>42000.767585596717</v>
      </c>
      <c r="H662" s="62">
        <v>-26347.721300000001</v>
      </c>
      <c r="I662" s="62">
        <v>0</v>
      </c>
      <c r="J662" s="62"/>
      <c r="K662" s="62">
        <v>-1264.1717000000001</v>
      </c>
      <c r="L662" s="62">
        <v>2661.1266000000001</v>
      </c>
      <c r="M662" s="62">
        <v>4937.7701999999999</v>
      </c>
      <c r="N662" s="62">
        <v>3070.6115</v>
      </c>
      <c r="O662" s="62">
        <v>0</v>
      </c>
      <c r="P662" s="62"/>
      <c r="Q662" s="62">
        <v>4625.3515000000007</v>
      </c>
      <c r="R662" s="62">
        <v>76736.923999999999</v>
      </c>
      <c r="S662" s="62">
        <v>29363.996200000001</v>
      </c>
      <c r="T662" s="62">
        <v>-32793.248400000004</v>
      </c>
      <c r="U662" s="62">
        <v>0</v>
      </c>
      <c r="V662" s="62"/>
      <c r="W662" s="62">
        <v>13714.697700000001</v>
      </c>
      <c r="X662" s="62">
        <v>13714.697700000001</v>
      </c>
      <c r="Y662" s="62">
        <v>12607.260600000001</v>
      </c>
      <c r="Z662" s="62">
        <v>5802.9620000000004</v>
      </c>
      <c r="AA662" s="62">
        <v>0</v>
      </c>
      <c r="AB662" s="62"/>
      <c r="AC662" s="62">
        <v>983.07000000000016</v>
      </c>
      <c r="AD662" s="62">
        <v>0</v>
      </c>
      <c r="AE662" s="62">
        <v>0</v>
      </c>
      <c r="AF662" s="62">
        <v>0</v>
      </c>
      <c r="AG662" s="62">
        <v>0</v>
      </c>
      <c r="AH662" s="62"/>
      <c r="AI662" s="62">
        <v>-7077.4244321875512</v>
      </c>
      <c r="AJ662" s="62">
        <v>-6759.650738245643</v>
      </c>
      <c r="AK662" s="62">
        <v>-4908.2594144032864</v>
      </c>
      <c r="AL662" s="62">
        <v>-2428.0463999999952</v>
      </c>
      <c r="AM662" s="62">
        <v>0</v>
      </c>
    </row>
    <row r="663" spans="1:39">
      <c r="A663" s="9">
        <v>97405</v>
      </c>
      <c r="B663" s="10" t="s">
        <v>2037</v>
      </c>
      <c r="C663" s="60">
        <v>1.091E-4</v>
      </c>
      <c r="E663" s="62">
        <v>13663.171582166549</v>
      </c>
      <c r="F663" s="62">
        <v>57281.340665983982</v>
      </c>
      <c r="G663" s="62">
        <v>29525.064264279838</v>
      </c>
      <c r="H663" s="62">
        <v>-9229.9980599999981</v>
      </c>
      <c r="I663" s="62">
        <v>0</v>
      </c>
      <c r="J663" s="62"/>
      <c r="K663" s="62">
        <v>-656.4547</v>
      </c>
      <c r="L663" s="62">
        <v>1381.8606</v>
      </c>
      <c r="M663" s="62">
        <v>2564.0681999999997</v>
      </c>
      <c r="N663" s="62">
        <v>1594.4965</v>
      </c>
      <c r="O663" s="62">
        <v>0</v>
      </c>
      <c r="P663" s="62"/>
      <c r="Q663" s="62">
        <v>2401.8364999999999</v>
      </c>
      <c r="R663" s="62">
        <v>39847.684000000001</v>
      </c>
      <c r="S663" s="62">
        <v>15248.0342</v>
      </c>
      <c r="T663" s="62">
        <v>-17028.7644</v>
      </c>
      <c r="U663" s="62">
        <v>0</v>
      </c>
      <c r="V663" s="62"/>
      <c r="W663" s="62">
        <v>7121.7206999999999</v>
      </c>
      <c r="X663" s="62">
        <v>7121.7206999999999</v>
      </c>
      <c r="Y663" s="62">
        <v>6546.6545999999998</v>
      </c>
      <c r="Z663" s="62">
        <v>3013.3420000000001</v>
      </c>
      <c r="AA663" s="62">
        <v>0</v>
      </c>
      <c r="AB663" s="62"/>
      <c r="AC663" s="62">
        <v>9685.6790821665527</v>
      </c>
      <c r="AD663" s="62">
        <v>8930.0753659839829</v>
      </c>
      <c r="AE663" s="62">
        <v>5166.3072642798406</v>
      </c>
      <c r="AF663" s="62">
        <v>3190.9278400000021</v>
      </c>
      <c r="AG663" s="62">
        <v>0</v>
      </c>
      <c r="AH663" s="62"/>
      <c r="AI663" s="62">
        <v>-4889.6100000000015</v>
      </c>
      <c r="AJ663" s="62">
        <v>0</v>
      </c>
      <c r="AK663" s="62">
        <v>0</v>
      </c>
      <c r="AL663" s="62">
        <v>0</v>
      </c>
      <c r="AM663" s="62">
        <v>0</v>
      </c>
    </row>
    <row r="664" spans="1:39">
      <c r="A664" s="9">
        <v>97408</v>
      </c>
      <c r="B664" s="10" t="s">
        <v>2038</v>
      </c>
      <c r="C664" s="60">
        <v>4.4499999999999997E-5</v>
      </c>
      <c r="E664" s="62">
        <v>6594.9010724242244</v>
      </c>
      <c r="F664" s="62">
        <v>22029.58252470638</v>
      </c>
      <c r="G664" s="62">
        <v>11687.628248477364</v>
      </c>
      <c r="H664" s="62">
        <v>-4456.926739999999</v>
      </c>
      <c r="I664" s="62">
        <v>0</v>
      </c>
      <c r="J664" s="62"/>
      <c r="K664" s="62">
        <v>-267.75649999999996</v>
      </c>
      <c r="L664" s="62">
        <v>563.63699999999994</v>
      </c>
      <c r="M664" s="62">
        <v>1045.8389999999999</v>
      </c>
      <c r="N664" s="62">
        <v>650.36749999999995</v>
      </c>
      <c r="O664" s="62">
        <v>0</v>
      </c>
      <c r="P664" s="62"/>
      <c r="Q664" s="62">
        <v>979.6674999999999</v>
      </c>
      <c r="R664" s="62">
        <v>16253.179999999998</v>
      </c>
      <c r="S664" s="62">
        <v>6219.4089999999997</v>
      </c>
      <c r="T664" s="62">
        <v>-6945.7379999999994</v>
      </c>
      <c r="U664" s="62">
        <v>0</v>
      </c>
      <c r="V664" s="62"/>
      <c r="W664" s="62">
        <v>2904.8264999999997</v>
      </c>
      <c r="X664" s="62">
        <v>2904.8264999999997</v>
      </c>
      <c r="Y664" s="62">
        <v>2670.2669999999998</v>
      </c>
      <c r="Z664" s="62">
        <v>1229.0899999999999</v>
      </c>
      <c r="AA664" s="62">
        <v>0</v>
      </c>
      <c r="AB664" s="62"/>
      <c r="AC664" s="62">
        <v>2978.1635724242246</v>
      </c>
      <c r="AD664" s="62">
        <v>2307.9390247063825</v>
      </c>
      <c r="AE664" s="62">
        <v>1752.113248477365</v>
      </c>
      <c r="AF664" s="62">
        <v>609.35376000000019</v>
      </c>
      <c r="AG664" s="62">
        <v>0</v>
      </c>
      <c r="AH664" s="62"/>
      <c r="AI664" s="62">
        <v>0</v>
      </c>
      <c r="AJ664" s="62">
        <v>0</v>
      </c>
      <c r="AK664" s="62">
        <v>0</v>
      </c>
      <c r="AL664" s="62">
        <v>0</v>
      </c>
      <c r="AM664" s="62">
        <v>0</v>
      </c>
    </row>
    <row r="665" spans="1:39">
      <c r="A665" s="9">
        <v>97411</v>
      </c>
      <c r="B665" s="10" t="s">
        <v>2039</v>
      </c>
      <c r="C665" s="60">
        <v>6.6379000000000004E-3</v>
      </c>
      <c r="E665" s="62">
        <v>222415.55388966633</v>
      </c>
      <c r="F665" s="62">
        <v>2722935.6059272597</v>
      </c>
      <c r="G665" s="62">
        <v>1367057.4792392591</v>
      </c>
      <c r="H665" s="62">
        <v>-784272.40902000002</v>
      </c>
      <c r="I665" s="62">
        <v>0</v>
      </c>
      <c r="J665" s="62"/>
      <c r="K665" s="62">
        <v>-39940.244300000006</v>
      </c>
      <c r="L665" s="62">
        <v>84075.641400000008</v>
      </c>
      <c r="M665" s="62">
        <v>156003.9258</v>
      </c>
      <c r="N665" s="62">
        <v>97012.908500000005</v>
      </c>
      <c r="O665" s="62">
        <v>0</v>
      </c>
      <c r="P665" s="62"/>
      <c r="Q665" s="62">
        <v>146133.36850000001</v>
      </c>
      <c r="R665" s="62">
        <v>2424426.5960000004</v>
      </c>
      <c r="S665" s="62">
        <v>927726.17980000004</v>
      </c>
      <c r="T665" s="62">
        <v>-1036069.9836</v>
      </c>
      <c r="U665" s="62">
        <v>0</v>
      </c>
      <c r="V665" s="62"/>
      <c r="W665" s="62">
        <v>433302.19830000005</v>
      </c>
      <c r="X665" s="62">
        <v>433302.19830000005</v>
      </c>
      <c r="Y665" s="62">
        <v>398313.82740000001</v>
      </c>
      <c r="Z665" s="62">
        <v>183338.79800000001</v>
      </c>
      <c r="AA665" s="62">
        <v>0</v>
      </c>
      <c r="AB665" s="62"/>
      <c r="AC665" s="62">
        <v>0</v>
      </c>
      <c r="AD665" s="62">
        <v>0</v>
      </c>
      <c r="AE665" s="62">
        <v>0</v>
      </c>
      <c r="AF665" s="62">
        <v>0</v>
      </c>
      <c r="AG665" s="62">
        <v>0</v>
      </c>
      <c r="AH665" s="62"/>
      <c r="AI665" s="62">
        <v>-317079.76861033367</v>
      </c>
      <c r="AJ665" s="62">
        <v>-218868.8297727404</v>
      </c>
      <c r="AK665" s="62">
        <v>-114986.4537607411</v>
      </c>
      <c r="AL665" s="62">
        <v>-28554.131919999978</v>
      </c>
      <c r="AM665" s="62">
        <v>0</v>
      </c>
    </row>
    <row r="666" spans="1:39">
      <c r="A666" s="9">
        <v>97412</v>
      </c>
      <c r="B666" s="10" t="s">
        <v>2040</v>
      </c>
      <c r="C666" s="60">
        <v>4.5082000000000004E-3</v>
      </c>
      <c r="E666" s="62">
        <v>451729.04760154721</v>
      </c>
      <c r="F666" s="62">
        <v>2061200.2955617132</v>
      </c>
      <c r="G666" s="62">
        <v>1056349.3515456794</v>
      </c>
      <c r="H666" s="62">
        <v>-481940.51300000004</v>
      </c>
      <c r="I666" s="62">
        <v>0</v>
      </c>
      <c r="J666" s="62"/>
      <c r="K666" s="62">
        <v>-27125.839400000001</v>
      </c>
      <c r="L666" s="62">
        <v>57100.861200000007</v>
      </c>
      <c r="M666" s="62">
        <v>105951.7164</v>
      </c>
      <c r="N666" s="62">
        <v>65887.343000000008</v>
      </c>
      <c r="O666" s="62">
        <v>0</v>
      </c>
      <c r="P666" s="62"/>
      <c r="Q666" s="62">
        <v>99248.023000000016</v>
      </c>
      <c r="R666" s="62">
        <v>1646574.9680000001</v>
      </c>
      <c r="S666" s="62">
        <v>630075.04840000009</v>
      </c>
      <c r="T666" s="62">
        <v>-703657.88880000007</v>
      </c>
      <c r="U666" s="62">
        <v>0</v>
      </c>
      <c r="V666" s="62"/>
      <c r="W666" s="62">
        <v>294281.77140000003</v>
      </c>
      <c r="X666" s="62">
        <v>294281.77140000003</v>
      </c>
      <c r="Y666" s="62">
        <v>270519.04920000001</v>
      </c>
      <c r="Z666" s="62">
        <v>124516.48400000001</v>
      </c>
      <c r="AA666" s="62">
        <v>0</v>
      </c>
      <c r="AB666" s="62"/>
      <c r="AC666" s="62">
        <v>85325.092601547134</v>
      </c>
      <c r="AD666" s="62">
        <v>63242.694961713118</v>
      </c>
      <c r="AE666" s="62">
        <v>49803.537545679137</v>
      </c>
      <c r="AF666" s="62">
        <v>31313.548800000037</v>
      </c>
      <c r="AG666" s="62">
        <v>0</v>
      </c>
      <c r="AH666" s="62"/>
      <c r="AI666" s="62">
        <v>0</v>
      </c>
      <c r="AJ666" s="62">
        <v>0</v>
      </c>
      <c r="AK666" s="62">
        <v>0</v>
      </c>
      <c r="AL666" s="62">
        <v>0</v>
      </c>
      <c r="AM666" s="62">
        <v>0</v>
      </c>
    </row>
    <row r="667" spans="1:39">
      <c r="A667" s="9">
        <v>97413</v>
      </c>
      <c r="B667" s="10" t="s">
        <v>2041</v>
      </c>
      <c r="C667" s="60">
        <v>2.6570000000000001E-4</v>
      </c>
      <c r="E667" s="62">
        <v>18725.160951250124</v>
      </c>
      <c r="F667" s="62">
        <v>119308.05021681027</v>
      </c>
      <c r="G667" s="62">
        <v>61250.984682551447</v>
      </c>
      <c r="H667" s="62">
        <v>-28729.708179999987</v>
      </c>
      <c r="I667" s="62">
        <v>0</v>
      </c>
      <c r="J667" s="62"/>
      <c r="K667" s="62">
        <v>-1598.7169000000001</v>
      </c>
      <c r="L667" s="62">
        <v>3365.3562000000002</v>
      </c>
      <c r="M667" s="62">
        <v>6244.4814000000006</v>
      </c>
      <c r="N667" s="62">
        <v>3883.2055</v>
      </c>
      <c r="O667" s="62">
        <v>0</v>
      </c>
      <c r="P667" s="62"/>
      <c r="Q667" s="62">
        <v>5849.3855000000003</v>
      </c>
      <c r="R667" s="62">
        <v>97044.267999999996</v>
      </c>
      <c r="S667" s="62">
        <v>37134.763400000003</v>
      </c>
      <c r="T667" s="62">
        <v>-41471.518799999998</v>
      </c>
      <c r="U667" s="62">
        <v>0</v>
      </c>
      <c r="V667" s="62"/>
      <c r="W667" s="62">
        <v>17344.098900000001</v>
      </c>
      <c r="X667" s="62">
        <v>17344.098900000001</v>
      </c>
      <c r="Y667" s="62">
        <v>15943.5942</v>
      </c>
      <c r="Z667" s="62">
        <v>7338.634</v>
      </c>
      <c r="AA667" s="62">
        <v>0</v>
      </c>
      <c r="AB667" s="62"/>
      <c r="AC667" s="62">
        <v>1994.5927043621484</v>
      </c>
      <c r="AD667" s="62">
        <v>1994.5927043621484</v>
      </c>
      <c r="AE667" s="62">
        <v>1928.1456825514488</v>
      </c>
      <c r="AF667" s="62">
        <v>1519.9711200000079</v>
      </c>
      <c r="AG667" s="62">
        <v>0</v>
      </c>
      <c r="AH667" s="62"/>
      <c r="AI667" s="62">
        <v>-4864.1992531120286</v>
      </c>
      <c r="AJ667" s="62">
        <v>-440.26558755186272</v>
      </c>
      <c r="AK667" s="62">
        <v>0</v>
      </c>
      <c r="AL667" s="62">
        <v>0</v>
      </c>
      <c r="AM667" s="62">
        <v>0</v>
      </c>
    </row>
    <row r="668" spans="1:39">
      <c r="A668" s="9">
        <v>97421</v>
      </c>
      <c r="B668" s="10" t="s">
        <v>2042</v>
      </c>
      <c r="C668" s="60">
        <v>4.2890000000000002E-4</v>
      </c>
      <c r="E668" s="62">
        <v>20873.540396332508</v>
      </c>
      <c r="F668" s="62">
        <v>185251.19651434082</v>
      </c>
      <c r="G668" s="62">
        <v>96565.044792263376</v>
      </c>
      <c r="H668" s="62">
        <v>-46791.082259999988</v>
      </c>
      <c r="I668" s="62">
        <v>0</v>
      </c>
      <c r="J668" s="62"/>
      <c r="K668" s="62">
        <v>-2580.6913</v>
      </c>
      <c r="L668" s="62">
        <v>5432.4474</v>
      </c>
      <c r="M668" s="62">
        <v>10080.007800000001</v>
      </c>
      <c r="N668" s="62">
        <v>6268.3735000000006</v>
      </c>
      <c r="O668" s="62">
        <v>0</v>
      </c>
      <c r="P668" s="62"/>
      <c r="Q668" s="62">
        <v>9442.2335000000003</v>
      </c>
      <c r="R668" s="62">
        <v>156651.43600000002</v>
      </c>
      <c r="S668" s="62">
        <v>59943.921800000004</v>
      </c>
      <c r="T668" s="62">
        <v>-66944.427599999995</v>
      </c>
      <c r="U668" s="62">
        <v>0</v>
      </c>
      <c r="V668" s="62"/>
      <c r="W668" s="62">
        <v>27997.3053</v>
      </c>
      <c r="X668" s="62">
        <v>27997.3053</v>
      </c>
      <c r="Y668" s="62">
        <v>25736.573400000001</v>
      </c>
      <c r="Z668" s="62">
        <v>11846.218000000001</v>
      </c>
      <c r="AA668" s="62">
        <v>0</v>
      </c>
      <c r="AB668" s="62"/>
      <c r="AC668" s="62">
        <v>2038.7538400000021</v>
      </c>
      <c r="AD668" s="62">
        <v>2038.7538400000021</v>
      </c>
      <c r="AE668" s="62">
        <v>2038.7538400000021</v>
      </c>
      <c r="AF668" s="62">
        <v>2038.7538400000021</v>
      </c>
      <c r="AG668" s="62">
        <v>0</v>
      </c>
      <c r="AH668" s="62"/>
      <c r="AI668" s="62">
        <v>-16024.0609436675</v>
      </c>
      <c r="AJ668" s="62">
        <v>-6868.746025659204</v>
      </c>
      <c r="AK668" s="62">
        <v>-1234.2120477366288</v>
      </c>
      <c r="AL668" s="62">
        <v>0</v>
      </c>
      <c r="AM668" s="62">
        <v>0</v>
      </c>
    </row>
    <row r="669" spans="1:39">
      <c r="A669" s="9">
        <v>97423</v>
      </c>
      <c r="B669" s="10" t="s">
        <v>2043</v>
      </c>
      <c r="C669" s="60">
        <v>4.3600000000000003E-5</v>
      </c>
      <c r="E669" s="62">
        <v>15767.034088132094</v>
      </c>
      <c r="F669" s="62">
        <v>30703.000347883131</v>
      </c>
      <c r="G669" s="62">
        <v>17328.986719670778</v>
      </c>
      <c r="H669" s="62">
        <v>-740.5998400000035</v>
      </c>
      <c r="I669" s="62">
        <v>0</v>
      </c>
      <c r="J669" s="62"/>
      <c r="K669" s="62">
        <v>-262.34120000000001</v>
      </c>
      <c r="L669" s="62">
        <v>552.23760000000004</v>
      </c>
      <c r="M669" s="62">
        <v>1024.6872000000001</v>
      </c>
      <c r="N669" s="62">
        <v>637.21400000000006</v>
      </c>
      <c r="O669" s="62">
        <v>0</v>
      </c>
      <c r="P669" s="62"/>
      <c r="Q669" s="62">
        <v>959.85400000000004</v>
      </c>
      <c r="R669" s="62">
        <v>15924.464000000002</v>
      </c>
      <c r="S669" s="62">
        <v>6093.6232</v>
      </c>
      <c r="T669" s="62">
        <v>-6805.2624000000005</v>
      </c>
      <c r="U669" s="62">
        <v>0</v>
      </c>
      <c r="V669" s="62"/>
      <c r="W669" s="62">
        <v>2846.0772000000002</v>
      </c>
      <c r="X669" s="62">
        <v>2846.0772000000002</v>
      </c>
      <c r="Y669" s="62">
        <v>2616.2616000000003</v>
      </c>
      <c r="Z669" s="62">
        <v>1204.232</v>
      </c>
      <c r="AA669" s="62">
        <v>0</v>
      </c>
      <c r="AB669" s="62"/>
      <c r="AC669" s="62">
        <v>12223.444088132093</v>
      </c>
      <c r="AD669" s="62">
        <v>11380.221547883131</v>
      </c>
      <c r="AE669" s="62">
        <v>7594.41471967078</v>
      </c>
      <c r="AF669" s="62">
        <v>4223.2165599999971</v>
      </c>
      <c r="AG669" s="62">
        <v>0</v>
      </c>
      <c r="AH669" s="62"/>
      <c r="AI669" s="62">
        <v>0</v>
      </c>
      <c r="AJ669" s="62">
        <v>0</v>
      </c>
      <c r="AK669" s="62">
        <v>0</v>
      </c>
      <c r="AL669" s="62">
        <v>0</v>
      </c>
      <c r="AM669" s="62">
        <v>0</v>
      </c>
    </row>
    <row r="670" spans="1:39">
      <c r="A670" s="9">
        <v>97431</v>
      </c>
      <c r="B670" s="10" t="s">
        <v>2044</v>
      </c>
      <c r="C670" s="60">
        <v>8.5599999999999994E-5</v>
      </c>
      <c r="E670" s="62">
        <v>8982.5334089155185</v>
      </c>
      <c r="F670" s="62">
        <v>39815.92889273294</v>
      </c>
      <c r="G670" s="62">
        <v>20530.076657283942</v>
      </c>
      <c r="H670" s="62">
        <v>-8628.7417600000026</v>
      </c>
      <c r="I670" s="62">
        <v>0</v>
      </c>
      <c r="J670" s="62"/>
      <c r="K670" s="62">
        <v>-515.05520000000001</v>
      </c>
      <c r="L670" s="62">
        <v>1084.2095999999999</v>
      </c>
      <c r="M670" s="62">
        <v>2011.7711999999999</v>
      </c>
      <c r="N670" s="62">
        <v>1251.0439999999999</v>
      </c>
      <c r="O670" s="62">
        <v>0</v>
      </c>
      <c r="P670" s="62"/>
      <c r="Q670" s="62">
        <v>1884.4839999999999</v>
      </c>
      <c r="R670" s="62">
        <v>31264.543999999998</v>
      </c>
      <c r="S670" s="62">
        <v>11963.627199999999</v>
      </c>
      <c r="T670" s="62">
        <v>-13360.7904</v>
      </c>
      <c r="U670" s="62">
        <v>0</v>
      </c>
      <c r="V670" s="62"/>
      <c r="W670" s="62">
        <v>5587.7111999999997</v>
      </c>
      <c r="X670" s="62">
        <v>5587.7111999999997</v>
      </c>
      <c r="Y670" s="62">
        <v>5136.5135999999993</v>
      </c>
      <c r="Z670" s="62">
        <v>2364.2719999999999</v>
      </c>
      <c r="AA670" s="62">
        <v>0</v>
      </c>
      <c r="AB670" s="62"/>
      <c r="AC670" s="62">
        <v>2025.3934089155193</v>
      </c>
      <c r="AD670" s="62">
        <v>1879.4640927329474</v>
      </c>
      <c r="AE670" s="62">
        <v>1418.1646572839461</v>
      </c>
      <c r="AF670" s="62">
        <v>1116.7326399999961</v>
      </c>
      <c r="AG670" s="62">
        <v>0</v>
      </c>
      <c r="AH670" s="62"/>
      <c r="AI670" s="62">
        <v>0</v>
      </c>
      <c r="AJ670" s="62">
        <v>0</v>
      </c>
      <c r="AK670" s="62">
        <v>0</v>
      </c>
      <c r="AL670" s="62">
        <v>0</v>
      </c>
      <c r="AM670" s="62">
        <v>0</v>
      </c>
    </row>
    <row r="671" spans="1:39">
      <c r="A671" s="9">
        <v>97441</v>
      </c>
      <c r="B671" s="10" t="s">
        <v>2045</v>
      </c>
      <c r="C671" s="60">
        <v>7.5799999999999999E-5</v>
      </c>
      <c r="E671" s="62">
        <v>3923.6546457285294</v>
      </c>
      <c r="F671" s="62">
        <v>31235.70056564554</v>
      </c>
      <c r="G671" s="62">
        <v>15072.014541152264</v>
      </c>
      <c r="H671" s="62">
        <v>-9652.3786</v>
      </c>
      <c r="I671" s="62">
        <v>0</v>
      </c>
      <c r="J671" s="62"/>
      <c r="K671" s="62">
        <v>-456.08859999999999</v>
      </c>
      <c r="L671" s="62">
        <v>960.08280000000002</v>
      </c>
      <c r="M671" s="62">
        <v>1781.4515999999999</v>
      </c>
      <c r="N671" s="62">
        <v>1107.817</v>
      </c>
      <c r="O671" s="62">
        <v>0</v>
      </c>
      <c r="P671" s="62"/>
      <c r="Q671" s="62">
        <v>1668.7370000000001</v>
      </c>
      <c r="R671" s="62">
        <v>27685.191999999999</v>
      </c>
      <c r="S671" s="62">
        <v>10593.9596</v>
      </c>
      <c r="T671" s="62">
        <v>-11831.1672</v>
      </c>
      <c r="U671" s="62">
        <v>0</v>
      </c>
      <c r="V671" s="62"/>
      <c r="W671" s="62">
        <v>4947.9966000000004</v>
      </c>
      <c r="X671" s="62">
        <v>4947.9966000000004</v>
      </c>
      <c r="Y671" s="62">
        <v>4548.4547999999995</v>
      </c>
      <c r="Z671" s="62">
        <v>2093.596</v>
      </c>
      <c r="AA671" s="62">
        <v>0</v>
      </c>
      <c r="AB671" s="62"/>
      <c r="AC671" s="62">
        <v>201.96000000000004</v>
      </c>
      <c r="AD671" s="62">
        <v>0</v>
      </c>
      <c r="AE671" s="62">
        <v>0</v>
      </c>
      <c r="AF671" s="62">
        <v>0</v>
      </c>
      <c r="AG671" s="62">
        <v>0</v>
      </c>
      <c r="AH671" s="62"/>
      <c r="AI671" s="62">
        <v>-2438.950354271471</v>
      </c>
      <c r="AJ671" s="62">
        <v>-2357.5708343544584</v>
      </c>
      <c r="AK671" s="62">
        <v>-1851.8514588477376</v>
      </c>
      <c r="AL671" s="62">
        <v>-1022.624399999999</v>
      </c>
      <c r="AM671" s="62">
        <v>0</v>
      </c>
    </row>
    <row r="672" spans="1:39">
      <c r="A672" s="9">
        <v>97451</v>
      </c>
      <c r="B672" s="10" t="s">
        <v>2046</v>
      </c>
      <c r="C672" s="60">
        <v>5.5820000000000002E-4</v>
      </c>
      <c r="E672" s="62">
        <v>42544.419985325876</v>
      </c>
      <c r="F672" s="62">
        <v>239850.1330398487</v>
      </c>
      <c r="G672" s="62">
        <v>118085.59664707819</v>
      </c>
      <c r="H672" s="62">
        <v>-74509.362520000039</v>
      </c>
      <c r="I672" s="62">
        <v>0</v>
      </c>
      <c r="J672" s="62"/>
      <c r="K672" s="62">
        <v>-3358.6894000000002</v>
      </c>
      <c r="L672" s="62">
        <v>7070.1612000000005</v>
      </c>
      <c r="M672" s="62">
        <v>13118.8164</v>
      </c>
      <c r="N672" s="62">
        <v>8158.0929999999998</v>
      </c>
      <c r="O672" s="62">
        <v>0</v>
      </c>
      <c r="P672" s="62"/>
      <c r="Q672" s="62">
        <v>12288.773000000001</v>
      </c>
      <c r="R672" s="62">
        <v>203876.96799999999</v>
      </c>
      <c r="S672" s="62">
        <v>78015.148400000005</v>
      </c>
      <c r="T672" s="62">
        <v>-87126.088799999998</v>
      </c>
      <c r="U672" s="62">
        <v>0</v>
      </c>
      <c r="V672" s="62"/>
      <c r="W672" s="62">
        <v>36437.621400000004</v>
      </c>
      <c r="X672" s="62">
        <v>36437.621400000004</v>
      </c>
      <c r="Y672" s="62">
        <v>33495.349200000004</v>
      </c>
      <c r="Z672" s="62">
        <v>15417.484</v>
      </c>
      <c r="AA672" s="62">
        <v>0</v>
      </c>
      <c r="AB672" s="62"/>
      <c r="AC672" s="62">
        <v>10220.496008230461</v>
      </c>
      <c r="AD672" s="62">
        <v>5133.8760082304607</v>
      </c>
      <c r="AE672" s="62">
        <v>4415.1333670781978</v>
      </c>
      <c r="AF672" s="62">
        <v>0</v>
      </c>
      <c r="AG672" s="62">
        <v>0</v>
      </c>
      <c r="AH672" s="62"/>
      <c r="AI672" s="62">
        <v>-13043.781022904584</v>
      </c>
      <c r="AJ672" s="62">
        <v>-12668.493568381764</v>
      </c>
      <c r="AK672" s="62">
        <v>-10958.850720000028</v>
      </c>
      <c r="AL672" s="62">
        <v>-10958.850720000028</v>
      </c>
      <c r="AM672" s="62">
        <v>0</v>
      </c>
    </row>
    <row r="673" spans="1:39">
      <c r="A673" s="9">
        <v>97461</v>
      </c>
      <c r="B673" s="10" t="s">
        <v>2047</v>
      </c>
      <c r="C673" s="60">
        <v>5.5650000000000003E-4</v>
      </c>
      <c r="E673" s="62">
        <v>33886.085154200053</v>
      </c>
      <c r="F673" s="62">
        <v>234763.51656764402</v>
      </c>
      <c r="G673" s="62">
        <v>120796.73498444443</v>
      </c>
      <c r="H673" s="62">
        <v>-62447.194660000016</v>
      </c>
      <c r="I673" s="62">
        <v>0</v>
      </c>
      <c r="J673" s="62"/>
      <c r="K673" s="62">
        <v>-3348.4605000000001</v>
      </c>
      <c r="L673" s="62">
        <v>7048.6290000000008</v>
      </c>
      <c r="M673" s="62">
        <v>13078.863000000001</v>
      </c>
      <c r="N673" s="62">
        <v>8133.2475000000004</v>
      </c>
      <c r="O673" s="62">
        <v>0</v>
      </c>
      <c r="P673" s="62"/>
      <c r="Q673" s="62">
        <v>12251.3475</v>
      </c>
      <c r="R673" s="62">
        <v>203256.06</v>
      </c>
      <c r="S673" s="62">
        <v>77777.553</v>
      </c>
      <c r="T673" s="62">
        <v>-86860.745999999999</v>
      </c>
      <c r="U673" s="62">
        <v>0</v>
      </c>
      <c r="V673" s="62"/>
      <c r="W673" s="62">
        <v>36326.650500000003</v>
      </c>
      <c r="X673" s="62">
        <v>36326.650500000003</v>
      </c>
      <c r="Y673" s="62">
        <v>33393.339</v>
      </c>
      <c r="Z673" s="62">
        <v>15370.53</v>
      </c>
      <c r="AA673" s="62">
        <v>0</v>
      </c>
      <c r="AB673" s="62"/>
      <c r="AC673" s="62">
        <v>3125.3938399999856</v>
      </c>
      <c r="AD673" s="62">
        <v>909.77383999998528</v>
      </c>
      <c r="AE673" s="62">
        <v>909.77383999998528</v>
      </c>
      <c r="AF673" s="62">
        <v>909.77383999998528</v>
      </c>
      <c r="AG673" s="62">
        <v>0</v>
      </c>
      <c r="AH673" s="62"/>
      <c r="AI673" s="62">
        <v>-14468.846185799935</v>
      </c>
      <c r="AJ673" s="62">
        <v>-12777.596772355952</v>
      </c>
      <c r="AK673" s="62">
        <v>-4362.7938555555656</v>
      </c>
      <c r="AL673" s="62">
        <v>0</v>
      </c>
      <c r="AM673" s="62">
        <v>0</v>
      </c>
    </row>
    <row r="674" spans="1:39">
      <c r="A674" s="9">
        <v>97463</v>
      </c>
      <c r="B674" s="10" t="s">
        <v>2048</v>
      </c>
      <c r="C674" s="60">
        <v>4.1100000000000003E-5</v>
      </c>
      <c r="E674" s="62">
        <v>886.35829528302565</v>
      </c>
      <c r="F674" s="62">
        <v>14958.41256084319</v>
      </c>
      <c r="G674" s="62">
        <v>5827.5387064197512</v>
      </c>
      <c r="H674" s="62">
        <v>-6699.0655800000022</v>
      </c>
      <c r="I674" s="62">
        <v>0</v>
      </c>
      <c r="J674" s="62"/>
      <c r="K674" s="62">
        <v>-247.29870000000003</v>
      </c>
      <c r="L674" s="62">
        <v>520.57260000000008</v>
      </c>
      <c r="M674" s="62">
        <v>965.93220000000008</v>
      </c>
      <c r="N674" s="62">
        <v>600.67650000000003</v>
      </c>
      <c r="O674" s="62">
        <v>0</v>
      </c>
      <c r="P674" s="62"/>
      <c r="Q674" s="62">
        <v>904.81650000000002</v>
      </c>
      <c r="R674" s="62">
        <v>15011.364000000001</v>
      </c>
      <c r="S674" s="62">
        <v>5744.2182000000003</v>
      </c>
      <c r="T674" s="62">
        <v>-6415.0524000000005</v>
      </c>
      <c r="U674" s="62">
        <v>0</v>
      </c>
      <c r="V674" s="62"/>
      <c r="W674" s="62">
        <v>2682.8847000000001</v>
      </c>
      <c r="X674" s="62">
        <v>2682.8847000000001</v>
      </c>
      <c r="Y674" s="62">
        <v>2466.2466000000004</v>
      </c>
      <c r="Z674" s="62">
        <v>1135.182</v>
      </c>
      <c r="AA674" s="62">
        <v>0</v>
      </c>
      <c r="AB674" s="62"/>
      <c r="AC674" s="62">
        <v>1111.1607468879656</v>
      </c>
      <c r="AD674" s="62">
        <v>308.79621244813177</v>
      </c>
      <c r="AE674" s="62">
        <v>0</v>
      </c>
      <c r="AF674" s="62">
        <v>0</v>
      </c>
      <c r="AG674" s="62">
        <v>0</v>
      </c>
      <c r="AH674" s="62"/>
      <c r="AI674" s="62">
        <v>-3565.2049516049401</v>
      </c>
      <c r="AJ674" s="62">
        <v>-3565.2049516049401</v>
      </c>
      <c r="AK674" s="62">
        <v>-3348.8582935802492</v>
      </c>
      <c r="AL674" s="62">
        <v>-2019.8716800000011</v>
      </c>
      <c r="AM674" s="62">
        <v>0</v>
      </c>
    </row>
    <row r="675" spans="1:39">
      <c r="A675" s="9">
        <v>97471</v>
      </c>
      <c r="B675" s="10" t="s">
        <v>2049</v>
      </c>
      <c r="C675" s="60">
        <v>1.22E-5</v>
      </c>
      <c r="E675" s="62">
        <v>3606.3518273708651</v>
      </c>
      <c r="F675" s="62">
        <v>7342.1462995700349</v>
      </c>
      <c r="G675" s="62">
        <v>4098.0256527572019</v>
      </c>
      <c r="H675" s="62">
        <v>-543.53516000000047</v>
      </c>
      <c r="I675" s="62">
        <v>0</v>
      </c>
      <c r="J675" s="62"/>
      <c r="K675" s="62">
        <v>-73.407399999999996</v>
      </c>
      <c r="L675" s="62">
        <v>154.52520000000001</v>
      </c>
      <c r="M675" s="62">
        <v>286.7244</v>
      </c>
      <c r="N675" s="62">
        <v>178.303</v>
      </c>
      <c r="O675" s="62">
        <v>0</v>
      </c>
      <c r="P675" s="62"/>
      <c r="Q675" s="62">
        <v>268.58300000000003</v>
      </c>
      <c r="R675" s="62">
        <v>4455.9279999999999</v>
      </c>
      <c r="S675" s="62">
        <v>1705.0963999999999</v>
      </c>
      <c r="T675" s="62">
        <v>-1904.2248</v>
      </c>
      <c r="U675" s="62">
        <v>0</v>
      </c>
      <c r="V675" s="62"/>
      <c r="W675" s="62">
        <v>796.37940000000003</v>
      </c>
      <c r="X675" s="62">
        <v>796.37940000000003</v>
      </c>
      <c r="Y675" s="62">
        <v>732.07320000000004</v>
      </c>
      <c r="Z675" s="62">
        <v>336.964</v>
      </c>
      <c r="AA675" s="62">
        <v>0</v>
      </c>
      <c r="AB675" s="62"/>
      <c r="AC675" s="62">
        <v>2614.7968273708652</v>
      </c>
      <c r="AD675" s="62">
        <v>1935.3136995700354</v>
      </c>
      <c r="AE675" s="62">
        <v>1374.1316527572012</v>
      </c>
      <c r="AF675" s="62">
        <v>845.42263999999966</v>
      </c>
      <c r="AG675" s="62">
        <v>0</v>
      </c>
      <c r="AH675" s="62"/>
      <c r="AI675" s="62">
        <v>0</v>
      </c>
      <c r="AJ675" s="62">
        <v>0</v>
      </c>
      <c r="AK675" s="62">
        <v>0</v>
      </c>
      <c r="AL675" s="62">
        <v>0</v>
      </c>
      <c r="AM675" s="62">
        <v>0</v>
      </c>
    </row>
    <row r="676" spans="1:39">
      <c r="A676" s="9">
        <v>97481</v>
      </c>
      <c r="B676" s="10" t="s">
        <v>2050</v>
      </c>
      <c r="C676" s="60">
        <v>9.9000000000000001E-6</v>
      </c>
      <c r="E676" s="62">
        <v>2383.5046803370719</v>
      </c>
      <c r="F676" s="62">
        <v>4396.7206255652873</v>
      </c>
      <c r="G676" s="62">
        <v>1878.392062469135</v>
      </c>
      <c r="H676" s="62">
        <v>-1905.7709400000017</v>
      </c>
      <c r="I676" s="62">
        <v>0</v>
      </c>
      <c r="J676" s="62"/>
      <c r="K676" s="62">
        <v>-59.568300000000001</v>
      </c>
      <c r="L676" s="62">
        <v>125.3934</v>
      </c>
      <c r="M676" s="62">
        <v>232.66980000000001</v>
      </c>
      <c r="N676" s="62">
        <v>144.6885</v>
      </c>
      <c r="O676" s="62">
        <v>0</v>
      </c>
      <c r="P676" s="62"/>
      <c r="Q676" s="62">
        <v>217.9485</v>
      </c>
      <c r="R676" s="62">
        <v>3615.8760000000002</v>
      </c>
      <c r="S676" s="62">
        <v>1383.6438000000001</v>
      </c>
      <c r="T676" s="62">
        <v>-1545.2316000000001</v>
      </c>
      <c r="U676" s="62">
        <v>0</v>
      </c>
      <c r="V676" s="62"/>
      <c r="W676" s="62">
        <v>646.2423</v>
      </c>
      <c r="X676" s="62">
        <v>646.2423</v>
      </c>
      <c r="Y676" s="62">
        <v>594.05939999999998</v>
      </c>
      <c r="Z676" s="62">
        <v>273.43799999999999</v>
      </c>
      <c r="AA676" s="62">
        <v>0</v>
      </c>
      <c r="AB676" s="62"/>
      <c r="AC676" s="62">
        <v>2357.5480203370735</v>
      </c>
      <c r="AD676" s="62">
        <v>787.87476556528918</v>
      </c>
      <c r="AE676" s="62">
        <v>446.68490246913643</v>
      </c>
      <c r="AF676" s="62">
        <v>0</v>
      </c>
      <c r="AG676" s="62">
        <v>0</v>
      </c>
      <c r="AH676" s="62"/>
      <c r="AI676" s="62">
        <v>-778.66584000000148</v>
      </c>
      <c r="AJ676" s="62">
        <v>-778.66584000000148</v>
      </c>
      <c r="AK676" s="62">
        <v>-778.66584000000148</v>
      </c>
      <c r="AL676" s="62">
        <v>-778.66584000000148</v>
      </c>
      <c r="AM676" s="62">
        <v>0</v>
      </c>
    </row>
    <row r="677" spans="1:39">
      <c r="A677" s="9">
        <v>97491</v>
      </c>
      <c r="B677" s="10" t="s">
        <v>2051</v>
      </c>
      <c r="C677" s="60">
        <v>0</v>
      </c>
      <c r="E677" s="62">
        <v>-4927.0260995850622</v>
      </c>
      <c r="F677" s="62">
        <v>-2922.3128016597516</v>
      </c>
      <c r="G677" s="62">
        <v>0</v>
      </c>
      <c r="H677" s="62">
        <v>0</v>
      </c>
      <c r="I677" s="62">
        <v>0</v>
      </c>
      <c r="J677" s="62"/>
      <c r="K677" s="62">
        <v>0</v>
      </c>
      <c r="L677" s="62">
        <v>0</v>
      </c>
      <c r="M677" s="62">
        <v>0</v>
      </c>
      <c r="N677" s="62">
        <v>0</v>
      </c>
      <c r="O677" s="62">
        <v>0</v>
      </c>
      <c r="P677" s="62"/>
      <c r="Q677" s="62">
        <v>0</v>
      </c>
      <c r="R677" s="62">
        <v>0</v>
      </c>
      <c r="S677" s="62">
        <v>0</v>
      </c>
      <c r="T677" s="62">
        <v>0</v>
      </c>
      <c r="U677" s="62">
        <v>0</v>
      </c>
      <c r="V677" s="62"/>
      <c r="W677" s="62">
        <v>0</v>
      </c>
      <c r="X677" s="62">
        <v>0</v>
      </c>
      <c r="Y677" s="62">
        <v>0</v>
      </c>
      <c r="Z677" s="62">
        <v>0</v>
      </c>
      <c r="AA677" s="62">
        <v>0</v>
      </c>
      <c r="AB677" s="62"/>
      <c r="AC677" s="62">
        <v>0</v>
      </c>
      <c r="AD677" s="62">
        <v>0</v>
      </c>
      <c r="AE677" s="62">
        <v>0</v>
      </c>
      <c r="AF677" s="62">
        <v>0</v>
      </c>
      <c r="AG677" s="62">
        <v>0</v>
      </c>
      <c r="AH677" s="62"/>
      <c r="AI677" s="62">
        <v>-4927.0260995850622</v>
      </c>
      <c r="AJ677" s="62">
        <v>-2922.3128016597516</v>
      </c>
      <c r="AK677" s="62">
        <v>0</v>
      </c>
      <c r="AL677" s="62">
        <v>0</v>
      </c>
      <c r="AM677" s="62">
        <v>0</v>
      </c>
    </row>
    <row r="678" spans="1:39">
      <c r="A678" s="9">
        <v>97501</v>
      </c>
      <c r="B678" s="10" t="s">
        <v>2052</v>
      </c>
      <c r="C678" s="60">
        <v>1.1000999999999999E-3</v>
      </c>
      <c r="E678" s="62">
        <v>133892.12597263092</v>
      </c>
      <c r="F678" s="62">
        <v>516878.62138939439</v>
      </c>
      <c r="G678" s="62">
        <v>272098.80734806589</v>
      </c>
      <c r="H678" s="62">
        <v>-100489.00153999992</v>
      </c>
      <c r="I678" s="62">
        <v>0</v>
      </c>
      <c r="J678" s="62"/>
      <c r="K678" s="62">
        <v>-6619.3016999999991</v>
      </c>
      <c r="L678" s="62">
        <v>13933.866599999999</v>
      </c>
      <c r="M678" s="62">
        <v>25854.550199999998</v>
      </c>
      <c r="N678" s="62">
        <v>16077.961499999999</v>
      </c>
      <c r="O678" s="62">
        <v>0</v>
      </c>
      <c r="P678" s="62"/>
      <c r="Q678" s="62">
        <v>24218.701499999999</v>
      </c>
      <c r="R678" s="62">
        <v>401800.52399999998</v>
      </c>
      <c r="S678" s="62">
        <v>153752.17619999999</v>
      </c>
      <c r="T678" s="62">
        <v>-171708.00839999999</v>
      </c>
      <c r="U678" s="62">
        <v>0</v>
      </c>
      <c r="V678" s="62"/>
      <c r="W678" s="62">
        <v>71811.227699999989</v>
      </c>
      <c r="X678" s="62">
        <v>71811.227699999989</v>
      </c>
      <c r="Y678" s="62">
        <v>66012.600599999991</v>
      </c>
      <c r="Z678" s="62">
        <v>30384.761999999999</v>
      </c>
      <c r="AA678" s="62">
        <v>0</v>
      </c>
      <c r="AB678" s="62"/>
      <c r="AC678" s="62">
        <v>44481.498472630934</v>
      </c>
      <c r="AD678" s="62">
        <v>29333.003089394413</v>
      </c>
      <c r="AE678" s="62">
        <v>26479.480348065888</v>
      </c>
      <c r="AF678" s="62">
        <v>24756.283360000059</v>
      </c>
      <c r="AG678" s="62">
        <v>0</v>
      </c>
      <c r="AH678" s="62"/>
      <c r="AI678" s="62">
        <v>0</v>
      </c>
      <c r="AJ678" s="62">
        <v>0</v>
      </c>
      <c r="AK678" s="62">
        <v>0</v>
      </c>
      <c r="AL678" s="62">
        <v>0</v>
      </c>
      <c r="AM678" s="62">
        <v>0</v>
      </c>
    </row>
    <row r="679" spans="1:39">
      <c r="A679" s="9">
        <v>97511</v>
      </c>
      <c r="B679" s="10" t="s">
        <v>2053</v>
      </c>
      <c r="C679" s="60">
        <v>2.3450000000000001E-4</v>
      </c>
      <c r="E679" s="62">
        <v>22850.000413503771</v>
      </c>
      <c r="F679" s="62">
        <v>107385.07969997681</v>
      </c>
      <c r="G679" s="62">
        <v>55835.076468806597</v>
      </c>
      <c r="H679" s="62">
        <v>-25434.325460000007</v>
      </c>
      <c r="I679" s="62">
        <v>0</v>
      </c>
      <c r="J679" s="62"/>
      <c r="K679" s="62">
        <v>-1410.9865</v>
      </c>
      <c r="L679" s="62">
        <v>2970.1770000000001</v>
      </c>
      <c r="M679" s="62">
        <v>5511.2190000000001</v>
      </c>
      <c r="N679" s="62">
        <v>3427.2175000000002</v>
      </c>
      <c r="O679" s="62">
        <v>0</v>
      </c>
      <c r="P679" s="62"/>
      <c r="Q679" s="62">
        <v>5162.5174999999999</v>
      </c>
      <c r="R679" s="62">
        <v>85648.78</v>
      </c>
      <c r="S679" s="62">
        <v>32774.188999999998</v>
      </c>
      <c r="T679" s="62">
        <v>-36601.698000000004</v>
      </c>
      <c r="U679" s="62">
        <v>0</v>
      </c>
      <c r="V679" s="62"/>
      <c r="W679" s="62">
        <v>15307.4565</v>
      </c>
      <c r="X679" s="62">
        <v>15307.4565</v>
      </c>
      <c r="Y679" s="62">
        <v>14071.407000000001</v>
      </c>
      <c r="Z679" s="62">
        <v>6476.89</v>
      </c>
      <c r="AA679" s="62">
        <v>0</v>
      </c>
      <c r="AB679" s="62"/>
      <c r="AC679" s="62">
        <v>4254.6422827983697</v>
      </c>
      <c r="AD679" s="62">
        <v>3838.84228279837</v>
      </c>
      <c r="AE679" s="62">
        <v>3478.2614688065987</v>
      </c>
      <c r="AF679" s="62">
        <v>1263.2650399999984</v>
      </c>
      <c r="AG679" s="62">
        <v>0</v>
      </c>
      <c r="AH679" s="62"/>
      <c r="AI679" s="62">
        <v>-463.6293692945967</v>
      </c>
      <c r="AJ679" s="62">
        <v>-380.17608282156942</v>
      </c>
      <c r="AK679" s="62">
        <v>0</v>
      </c>
      <c r="AL679" s="62">
        <v>0</v>
      </c>
      <c r="AM679" s="62">
        <v>0</v>
      </c>
    </row>
    <row r="680" spans="1:39">
      <c r="A680" s="9">
        <v>97521</v>
      </c>
      <c r="B680" s="10" t="s">
        <v>2054</v>
      </c>
      <c r="C680" s="60">
        <v>1.2870000000000001E-4</v>
      </c>
      <c r="E680" s="62">
        <v>6809.6402146983655</v>
      </c>
      <c r="F680" s="62">
        <v>51677.607155445257</v>
      </c>
      <c r="G680" s="62">
        <v>25925.691224609058</v>
      </c>
      <c r="H680" s="62">
        <v>-15232.21054</v>
      </c>
      <c r="I680" s="62">
        <v>0</v>
      </c>
      <c r="J680" s="62"/>
      <c r="K680" s="62">
        <v>-774.38790000000006</v>
      </c>
      <c r="L680" s="62">
        <v>1630.1142000000002</v>
      </c>
      <c r="M680" s="62">
        <v>3024.7074000000002</v>
      </c>
      <c r="N680" s="62">
        <v>1880.9505000000001</v>
      </c>
      <c r="O680" s="62">
        <v>0</v>
      </c>
      <c r="P680" s="62"/>
      <c r="Q680" s="62">
        <v>2833.3305</v>
      </c>
      <c r="R680" s="62">
        <v>47006.388000000006</v>
      </c>
      <c r="S680" s="62">
        <v>17987.369400000003</v>
      </c>
      <c r="T680" s="62">
        <v>-20088.0108</v>
      </c>
      <c r="U680" s="62">
        <v>0</v>
      </c>
      <c r="V680" s="62"/>
      <c r="W680" s="62">
        <v>8401.1499000000003</v>
      </c>
      <c r="X680" s="62">
        <v>8401.1499000000003</v>
      </c>
      <c r="Y680" s="62">
        <v>7722.7722000000003</v>
      </c>
      <c r="Z680" s="62">
        <v>3554.6940000000004</v>
      </c>
      <c r="AA680" s="62">
        <v>0</v>
      </c>
      <c r="AB680" s="62"/>
      <c r="AC680" s="62">
        <v>2189.8800000000006</v>
      </c>
      <c r="AD680" s="62">
        <v>0</v>
      </c>
      <c r="AE680" s="62">
        <v>0</v>
      </c>
      <c r="AF680" s="62">
        <v>0</v>
      </c>
      <c r="AG680" s="62">
        <v>0</v>
      </c>
      <c r="AH680" s="62"/>
      <c r="AI680" s="62">
        <v>-5840.3322853016361</v>
      </c>
      <c r="AJ680" s="62">
        <v>-5360.0449445547492</v>
      </c>
      <c r="AK680" s="62">
        <v>-2809.1577753909428</v>
      </c>
      <c r="AL680" s="62">
        <v>-579.84423999999854</v>
      </c>
      <c r="AM680" s="62">
        <v>0</v>
      </c>
    </row>
    <row r="681" spans="1:39">
      <c r="A681" s="9">
        <v>97531</v>
      </c>
      <c r="B681" s="10" t="s">
        <v>2055</v>
      </c>
      <c r="C681" s="60">
        <v>4.32E-5</v>
      </c>
      <c r="E681" s="62">
        <v>1016.0385298751771</v>
      </c>
      <c r="F681" s="62">
        <v>18658.181170705051</v>
      </c>
      <c r="G681" s="62">
        <v>12562.935139835392</v>
      </c>
      <c r="H681" s="62">
        <v>-2721.168639999999</v>
      </c>
      <c r="I681" s="62">
        <v>0</v>
      </c>
      <c r="J681" s="62"/>
      <c r="K681" s="62">
        <v>-259.93439999999998</v>
      </c>
      <c r="L681" s="62">
        <v>547.1712</v>
      </c>
      <c r="M681" s="62">
        <v>1015.2864</v>
      </c>
      <c r="N681" s="62">
        <v>631.36800000000005</v>
      </c>
      <c r="O681" s="62">
        <v>0</v>
      </c>
      <c r="P681" s="62"/>
      <c r="Q681" s="62">
        <v>951.048</v>
      </c>
      <c r="R681" s="62">
        <v>15778.368</v>
      </c>
      <c r="S681" s="62">
        <v>6037.7183999999997</v>
      </c>
      <c r="T681" s="62">
        <v>-6742.8288000000002</v>
      </c>
      <c r="U681" s="62">
        <v>0</v>
      </c>
      <c r="V681" s="62"/>
      <c r="W681" s="62">
        <v>2819.9663999999998</v>
      </c>
      <c r="X681" s="62">
        <v>2819.9663999999998</v>
      </c>
      <c r="Y681" s="62">
        <v>2592.2592</v>
      </c>
      <c r="Z681" s="62">
        <v>1193.184</v>
      </c>
      <c r="AA681" s="62">
        <v>0</v>
      </c>
      <c r="AB681" s="62"/>
      <c r="AC681" s="62">
        <v>3034.9720900411539</v>
      </c>
      <c r="AD681" s="62">
        <v>3034.9720900411539</v>
      </c>
      <c r="AE681" s="62">
        <v>2917.6711398353928</v>
      </c>
      <c r="AF681" s="62">
        <v>2197.1081600000007</v>
      </c>
      <c r="AG681" s="62">
        <v>0</v>
      </c>
      <c r="AH681" s="62"/>
      <c r="AI681" s="62">
        <v>-5530.0135601659767</v>
      </c>
      <c r="AJ681" s="62">
        <v>-3522.2965193361024</v>
      </c>
      <c r="AK681" s="62">
        <v>0</v>
      </c>
      <c r="AL681" s="62">
        <v>0</v>
      </c>
      <c r="AM681" s="62">
        <v>0</v>
      </c>
    </row>
    <row r="682" spans="1:39">
      <c r="A682" s="9">
        <v>97601</v>
      </c>
      <c r="B682" s="10" t="s">
        <v>2056</v>
      </c>
      <c r="C682" s="60">
        <v>5.1672000000000003E-3</v>
      </c>
      <c r="E682" s="62">
        <v>421753.01590301527</v>
      </c>
      <c r="F682" s="62">
        <v>2307048.3637012728</v>
      </c>
      <c r="G682" s="62">
        <v>1186609.8756933333</v>
      </c>
      <c r="H682" s="62">
        <v>-540549.27023999987</v>
      </c>
      <c r="I682" s="62">
        <v>0</v>
      </c>
      <c r="J682" s="62"/>
      <c r="K682" s="62">
        <v>-31091.042400000002</v>
      </c>
      <c r="L682" s="62">
        <v>65447.755200000007</v>
      </c>
      <c r="M682" s="62">
        <v>121439.5344</v>
      </c>
      <c r="N682" s="62">
        <v>75518.627999999997</v>
      </c>
      <c r="O682" s="62">
        <v>0</v>
      </c>
      <c r="P682" s="62"/>
      <c r="Q682" s="62">
        <v>113755.90800000001</v>
      </c>
      <c r="R682" s="62">
        <v>1887268.128</v>
      </c>
      <c r="S682" s="62">
        <v>722178.20640000002</v>
      </c>
      <c r="T682" s="62">
        <v>-806517.24479999999</v>
      </c>
      <c r="U682" s="62">
        <v>0</v>
      </c>
      <c r="V682" s="62"/>
      <c r="W682" s="62">
        <v>337299.31440000003</v>
      </c>
      <c r="X682" s="62">
        <v>337299.31440000003</v>
      </c>
      <c r="Y682" s="62">
        <v>310063.00320000004</v>
      </c>
      <c r="Z682" s="62">
        <v>142718.06400000001</v>
      </c>
      <c r="AA682" s="62">
        <v>0</v>
      </c>
      <c r="AB682" s="62"/>
      <c r="AC682" s="62">
        <v>47731.282560000102</v>
      </c>
      <c r="AD682" s="62">
        <v>47731.282560000102</v>
      </c>
      <c r="AE682" s="62">
        <v>47731.282560000102</v>
      </c>
      <c r="AF682" s="62">
        <v>47731.282560000102</v>
      </c>
      <c r="AG682" s="62">
        <v>0</v>
      </c>
      <c r="AH682" s="62"/>
      <c r="AI682" s="62">
        <v>-45942.446656984859</v>
      </c>
      <c r="AJ682" s="62">
        <v>-30698.116458727614</v>
      </c>
      <c r="AK682" s="62">
        <v>-14802.150866666789</v>
      </c>
      <c r="AL682" s="62">
        <v>0</v>
      </c>
      <c r="AM682" s="62">
        <v>0</v>
      </c>
    </row>
    <row r="683" spans="1:39">
      <c r="A683" s="9">
        <v>97607</v>
      </c>
      <c r="B683" s="10" t="s">
        <v>2057</v>
      </c>
      <c r="C683" s="60">
        <v>2.3200000000000001E-5</v>
      </c>
      <c r="E683" s="62">
        <v>7294.115663861483</v>
      </c>
      <c r="F683" s="62">
        <v>13719.65446801086</v>
      </c>
      <c r="G683" s="62">
        <v>7691.2787412345697</v>
      </c>
      <c r="H683" s="62">
        <v>-650.05135999999879</v>
      </c>
      <c r="I683" s="62">
        <v>0</v>
      </c>
      <c r="J683" s="62"/>
      <c r="K683" s="62">
        <v>-139.59440000000001</v>
      </c>
      <c r="L683" s="62">
        <v>293.85120000000001</v>
      </c>
      <c r="M683" s="62">
        <v>545.24639999999999</v>
      </c>
      <c r="N683" s="62">
        <v>339.06800000000004</v>
      </c>
      <c r="O683" s="62">
        <v>0</v>
      </c>
      <c r="P683" s="62"/>
      <c r="Q683" s="62">
        <v>510.74800000000005</v>
      </c>
      <c r="R683" s="62">
        <v>8473.5680000000011</v>
      </c>
      <c r="S683" s="62">
        <v>3242.4784000000004</v>
      </c>
      <c r="T683" s="62">
        <v>-3621.1488000000004</v>
      </c>
      <c r="U683" s="62">
        <v>0</v>
      </c>
      <c r="V683" s="62"/>
      <c r="W683" s="62">
        <v>1514.4264000000001</v>
      </c>
      <c r="X683" s="62">
        <v>1514.4264000000001</v>
      </c>
      <c r="Y683" s="62">
        <v>1392.1392000000001</v>
      </c>
      <c r="Z683" s="62">
        <v>640.78399999999999</v>
      </c>
      <c r="AA683" s="62">
        <v>0</v>
      </c>
      <c r="AB683" s="62"/>
      <c r="AC683" s="62">
        <v>5408.535663861483</v>
      </c>
      <c r="AD683" s="62">
        <v>3437.8088680108604</v>
      </c>
      <c r="AE683" s="62">
        <v>2511.4147412345692</v>
      </c>
      <c r="AF683" s="62">
        <v>1991.2454400000013</v>
      </c>
      <c r="AG683" s="62">
        <v>0</v>
      </c>
      <c r="AH683" s="62"/>
      <c r="AI683" s="62">
        <v>0</v>
      </c>
      <c r="AJ683" s="62">
        <v>0</v>
      </c>
      <c r="AK683" s="62">
        <v>0</v>
      </c>
      <c r="AL683" s="62">
        <v>0</v>
      </c>
      <c r="AM683" s="62">
        <v>0</v>
      </c>
    </row>
    <row r="684" spans="1:39">
      <c r="A684" s="9">
        <v>97611</v>
      </c>
      <c r="B684" s="10" t="s">
        <v>2058</v>
      </c>
      <c r="C684" s="60">
        <v>2.4767999999999999E-3</v>
      </c>
      <c r="E684" s="62">
        <v>85567.496115246118</v>
      </c>
      <c r="F684" s="62">
        <v>1017070.9685632128</v>
      </c>
      <c r="G684" s="62">
        <v>495441.17852864182</v>
      </c>
      <c r="H684" s="62">
        <v>-304172.23688000004</v>
      </c>
      <c r="I684" s="62">
        <v>0</v>
      </c>
      <c r="J684" s="62"/>
      <c r="K684" s="62">
        <v>-14902.9056</v>
      </c>
      <c r="L684" s="62">
        <v>31371.148799999999</v>
      </c>
      <c r="M684" s="62">
        <v>58209.753599999996</v>
      </c>
      <c r="N684" s="62">
        <v>36198.432000000001</v>
      </c>
      <c r="O684" s="62">
        <v>0</v>
      </c>
      <c r="P684" s="62"/>
      <c r="Q684" s="62">
        <v>54526.752</v>
      </c>
      <c r="R684" s="62">
        <v>904626.43199999991</v>
      </c>
      <c r="S684" s="62">
        <v>346162.52159999998</v>
      </c>
      <c r="T684" s="62">
        <v>-386588.85119999998</v>
      </c>
      <c r="U684" s="62">
        <v>0</v>
      </c>
      <c r="V684" s="62"/>
      <c r="W684" s="62">
        <v>161678.0736</v>
      </c>
      <c r="X684" s="62">
        <v>161678.0736</v>
      </c>
      <c r="Y684" s="62">
        <v>148622.86079999999</v>
      </c>
      <c r="Z684" s="62">
        <v>68409.216</v>
      </c>
      <c r="AA684" s="62">
        <v>0</v>
      </c>
      <c r="AB684" s="62"/>
      <c r="AC684" s="62">
        <v>0</v>
      </c>
      <c r="AD684" s="62">
        <v>0</v>
      </c>
      <c r="AE684" s="62">
        <v>0</v>
      </c>
      <c r="AF684" s="62">
        <v>0</v>
      </c>
      <c r="AG684" s="62">
        <v>0</v>
      </c>
      <c r="AH684" s="62"/>
      <c r="AI684" s="62">
        <v>-115734.42388475389</v>
      </c>
      <c r="AJ684" s="62">
        <v>-80604.685836787103</v>
      </c>
      <c r="AK684" s="62">
        <v>-57553.95747135811</v>
      </c>
      <c r="AL684" s="62">
        <v>-22191.033680000066</v>
      </c>
      <c r="AM684" s="62">
        <v>0</v>
      </c>
    </row>
    <row r="685" spans="1:39">
      <c r="A685" s="9">
        <v>97613</v>
      </c>
      <c r="B685" s="10" t="s">
        <v>2059</v>
      </c>
      <c r="C685" s="60">
        <v>1.1629999999999999E-4</v>
      </c>
      <c r="E685" s="62">
        <v>8909.7090812776041</v>
      </c>
      <c r="F685" s="62">
        <v>51357.241555136527</v>
      </c>
      <c r="G685" s="62">
        <v>27121.579855802469</v>
      </c>
      <c r="H685" s="62">
        <v>-13278.809979999991</v>
      </c>
      <c r="I685" s="62">
        <v>0</v>
      </c>
      <c r="J685" s="62"/>
      <c r="K685" s="62">
        <v>-699.77710000000002</v>
      </c>
      <c r="L685" s="62">
        <v>1473.0557999999999</v>
      </c>
      <c r="M685" s="62">
        <v>2733.2826</v>
      </c>
      <c r="N685" s="62">
        <v>1699.7244999999998</v>
      </c>
      <c r="O685" s="62">
        <v>0</v>
      </c>
      <c r="P685" s="62"/>
      <c r="Q685" s="62">
        <v>2560.3444999999997</v>
      </c>
      <c r="R685" s="62">
        <v>42477.411999999997</v>
      </c>
      <c r="S685" s="62">
        <v>16254.320599999999</v>
      </c>
      <c r="T685" s="62">
        <v>-18152.569199999998</v>
      </c>
      <c r="U685" s="62">
        <v>0</v>
      </c>
      <c r="V685" s="62"/>
      <c r="W685" s="62">
        <v>7591.7150999999994</v>
      </c>
      <c r="X685" s="62">
        <v>7591.7150999999994</v>
      </c>
      <c r="Y685" s="62">
        <v>6978.6977999999999</v>
      </c>
      <c r="Z685" s="62">
        <v>3212.2059999999997</v>
      </c>
      <c r="AA685" s="62">
        <v>0</v>
      </c>
      <c r="AB685" s="62"/>
      <c r="AC685" s="62">
        <v>1387.7327160493783</v>
      </c>
      <c r="AD685" s="62">
        <v>1387.7327160493783</v>
      </c>
      <c r="AE685" s="62">
        <v>1193.4501358024659</v>
      </c>
      <c r="AF685" s="62">
        <v>0</v>
      </c>
      <c r="AG685" s="62">
        <v>0</v>
      </c>
      <c r="AH685" s="62"/>
      <c r="AI685" s="62">
        <v>-1930.3061347717744</v>
      </c>
      <c r="AJ685" s="62">
        <v>-1572.6740609128544</v>
      </c>
      <c r="AK685" s="62">
        <v>-38.17127999999343</v>
      </c>
      <c r="AL685" s="62">
        <v>-38.17127999999343</v>
      </c>
      <c r="AM685" s="62">
        <v>0</v>
      </c>
    </row>
    <row r="686" spans="1:39">
      <c r="A686" s="9">
        <v>97621</v>
      </c>
      <c r="B686" s="10" t="s">
        <v>2060</v>
      </c>
      <c r="C686" s="60">
        <v>4.5179999999999998E-4</v>
      </c>
      <c r="E686" s="62">
        <v>24727.750210796592</v>
      </c>
      <c r="F686" s="62">
        <v>186625.16267187541</v>
      </c>
      <c r="G686" s="62">
        <v>81734.673343950621</v>
      </c>
      <c r="H686" s="62">
        <v>-60881.814439999987</v>
      </c>
      <c r="I686" s="62">
        <v>0</v>
      </c>
      <c r="J686" s="62"/>
      <c r="K686" s="62">
        <v>-2718.4805999999999</v>
      </c>
      <c r="L686" s="62">
        <v>5722.4987999999994</v>
      </c>
      <c r="M686" s="62">
        <v>10618.203599999999</v>
      </c>
      <c r="N686" s="62">
        <v>6603.0569999999998</v>
      </c>
      <c r="O686" s="62">
        <v>0</v>
      </c>
      <c r="P686" s="62"/>
      <c r="Q686" s="62">
        <v>9946.3770000000004</v>
      </c>
      <c r="R686" s="62">
        <v>165015.432</v>
      </c>
      <c r="S686" s="62">
        <v>63144.471599999997</v>
      </c>
      <c r="T686" s="62">
        <v>-70518.751199999999</v>
      </c>
      <c r="U686" s="62">
        <v>0</v>
      </c>
      <c r="V686" s="62"/>
      <c r="W686" s="62">
        <v>29492.148599999997</v>
      </c>
      <c r="X686" s="62">
        <v>29492.148599999997</v>
      </c>
      <c r="Y686" s="62">
        <v>27110.710799999997</v>
      </c>
      <c r="Z686" s="62">
        <v>12478.715999999999</v>
      </c>
      <c r="AA686" s="62">
        <v>0</v>
      </c>
      <c r="AB686" s="62"/>
      <c r="AC686" s="62">
        <v>8724.4907717842452</v>
      </c>
      <c r="AD686" s="62">
        <v>7111.8688328630842</v>
      </c>
      <c r="AE686" s="62">
        <v>0</v>
      </c>
      <c r="AF686" s="62">
        <v>0</v>
      </c>
      <c r="AG686" s="62">
        <v>0</v>
      </c>
      <c r="AH686" s="62"/>
      <c r="AI686" s="62">
        <v>-20716.78556098765</v>
      </c>
      <c r="AJ686" s="62">
        <v>-20716.78556098765</v>
      </c>
      <c r="AK686" s="62">
        <v>-19138.712656049378</v>
      </c>
      <c r="AL686" s="62">
        <v>-9444.836239999986</v>
      </c>
      <c r="AM686" s="62">
        <v>0</v>
      </c>
    </row>
    <row r="687" spans="1:39">
      <c r="A687" s="9">
        <v>97623</v>
      </c>
      <c r="B687" s="10" t="s">
        <v>2061</v>
      </c>
      <c r="C687" s="60">
        <v>2.9499999999999999E-5</v>
      </c>
      <c r="E687" s="62">
        <v>5643.4779989109156</v>
      </c>
      <c r="F687" s="62">
        <v>15199.004410529174</v>
      </c>
      <c r="G687" s="62">
        <v>6413.4568350617283</v>
      </c>
      <c r="H687" s="62">
        <v>-3794.1700600000004</v>
      </c>
      <c r="I687" s="62">
        <v>0</v>
      </c>
      <c r="J687" s="62"/>
      <c r="K687" s="62">
        <v>-177.50149999999999</v>
      </c>
      <c r="L687" s="62">
        <v>373.64699999999999</v>
      </c>
      <c r="M687" s="62">
        <v>693.30899999999997</v>
      </c>
      <c r="N687" s="62">
        <v>431.14249999999998</v>
      </c>
      <c r="O687" s="62">
        <v>0</v>
      </c>
      <c r="P687" s="62"/>
      <c r="Q687" s="62">
        <v>649.4425</v>
      </c>
      <c r="R687" s="62">
        <v>10774.58</v>
      </c>
      <c r="S687" s="62">
        <v>4122.9790000000003</v>
      </c>
      <c r="T687" s="62">
        <v>-4604.4780000000001</v>
      </c>
      <c r="U687" s="62">
        <v>0</v>
      </c>
      <c r="V687" s="62"/>
      <c r="W687" s="62">
        <v>1925.6714999999999</v>
      </c>
      <c r="X687" s="62">
        <v>1925.6714999999999</v>
      </c>
      <c r="Y687" s="62">
        <v>1770.1769999999999</v>
      </c>
      <c r="Z687" s="62">
        <v>814.79</v>
      </c>
      <c r="AA687" s="62">
        <v>0</v>
      </c>
      <c r="AB687" s="62"/>
      <c r="AC687" s="62">
        <v>3681.4900589109156</v>
      </c>
      <c r="AD687" s="62">
        <v>2560.7304705291735</v>
      </c>
      <c r="AE687" s="62">
        <v>262.61639506172844</v>
      </c>
      <c r="AF687" s="62">
        <v>0</v>
      </c>
      <c r="AG687" s="62">
        <v>0</v>
      </c>
      <c r="AH687" s="62"/>
      <c r="AI687" s="62">
        <v>-435.6245600000002</v>
      </c>
      <c r="AJ687" s="62">
        <v>-435.6245600000002</v>
      </c>
      <c r="AK687" s="62">
        <v>-435.6245600000002</v>
      </c>
      <c r="AL687" s="62">
        <v>-435.6245600000002</v>
      </c>
      <c r="AM687" s="62">
        <v>0</v>
      </c>
    </row>
    <row r="688" spans="1:39">
      <c r="A688" s="9">
        <v>97627</v>
      </c>
      <c r="B688" s="10" t="s">
        <v>2062</v>
      </c>
      <c r="C688" s="60">
        <v>9.7000000000000003E-6</v>
      </c>
      <c r="E688" s="62">
        <v>596.9202934757443</v>
      </c>
      <c r="F688" s="62">
        <v>4017.0274569612211</v>
      </c>
      <c r="G688" s="62">
        <v>2317.6448153086421</v>
      </c>
      <c r="H688" s="62">
        <v>-1077.2466600000007</v>
      </c>
      <c r="I688" s="62">
        <v>0</v>
      </c>
      <c r="J688" s="62"/>
      <c r="K688" s="62">
        <v>-58.364899999999999</v>
      </c>
      <c r="L688" s="62">
        <v>122.86020000000001</v>
      </c>
      <c r="M688" s="62">
        <v>227.96940000000001</v>
      </c>
      <c r="N688" s="62">
        <v>141.7655</v>
      </c>
      <c r="O688" s="62">
        <v>0</v>
      </c>
      <c r="P688" s="62"/>
      <c r="Q688" s="62">
        <v>213.5455</v>
      </c>
      <c r="R688" s="62">
        <v>3542.828</v>
      </c>
      <c r="S688" s="62">
        <v>1355.6913999999999</v>
      </c>
      <c r="T688" s="62">
        <v>-1514.0148000000002</v>
      </c>
      <c r="U688" s="62">
        <v>0</v>
      </c>
      <c r="V688" s="62"/>
      <c r="W688" s="62">
        <v>633.18690000000004</v>
      </c>
      <c r="X688" s="62">
        <v>633.18690000000004</v>
      </c>
      <c r="Y688" s="62">
        <v>582.05820000000006</v>
      </c>
      <c r="Z688" s="62">
        <v>267.91399999999999</v>
      </c>
      <c r="AA688" s="62">
        <v>0</v>
      </c>
      <c r="AB688" s="62"/>
      <c r="AC688" s="62">
        <v>362.32814617283947</v>
      </c>
      <c r="AD688" s="62">
        <v>172.24814617283943</v>
      </c>
      <c r="AE688" s="62">
        <v>151.92581530864192</v>
      </c>
      <c r="AF688" s="62">
        <v>27.088639999999586</v>
      </c>
      <c r="AG688" s="62">
        <v>0</v>
      </c>
      <c r="AH688" s="62"/>
      <c r="AI688" s="62">
        <v>-553.77535269709529</v>
      </c>
      <c r="AJ688" s="62">
        <v>-454.0957892116183</v>
      </c>
      <c r="AK688" s="62">
        <v>0</v>
      </c>
      <c r="AL688" s="62">
        <v>0</v>
      </c>
      <c r="AM688" s="62">
        <v>0</v>
      </c>
    </row>
    <row r="689" spans="1:39">
      <c r="A689" s="9">
        <v>97631</v>
      </c>
      <c r="B689" s="10" t="s">
        <v>2063</v>
      </c>
      <c r="C689" s="60">
        <v>2.051E-4</v>
      </c>
      <c r="E689" s="62">
        <v>21207.645484878507</v>
      </c>
      <c r="F689" s="62">
        <v>92635.122951185549</v>
      </c>
      <c r="G689" s="62">
        <v>46044.036731440327</v>
      </c>
      <c r="H689" s="62">
        <v>-24278.207020000005</v>
      </c>
      <c r="I689" s="62">
        <v>0</v>
      </c>
      <c r="J689" s="62"/>
      <c r="K689" s="62">
        <v>-1234.0867000000001</v>
      </c>
      <c r="L689" s="62">
        <v>2597.7966000000001</v>
      </c>
      <c r="M689" s="62">
        <v>4820.2601999999997</v>
      </c>
      <c r="N689" s="62">
        <v>2997.5365000000002</v>
      </c>
      <c r="O689" s="62">
        <v>0</v>
      </c>
      <c r="P689" s="62"/>
      <c r="Q689" s="62">
        <v>4515.2764999999999</v>
      </c>
      <c r="R689" s="62">
        <v>74910.724000000002</v>
      </c>
      <c r="S689" s="62">
        <v>28665.1862</v>
      </c>
      <c r="T689" s="62">
        <v>-32012.828399999999</v>
      </c>
      <c r="U689" s="62">
        <v>0</v>
      </c>
      <c r="V689" s="62"/>
      <c r="W689" s="62">
        <v>13388.3127</v>
      </c>
      <c r="X689" s="62">
        <v>13388.3127</v>
      </c>
      <c r="Y689" s="62">
        <v>12307.230600000001</v>
      </c>
      <c r="Z689" s="62">
        <v>5664.8620000000001</v>
      </c>
      <c r="AA689" s="62">
        <v>0</v>
      </c>
      <c r="AB689" s="62"/>
      <c r="AC689" s="62">
        <v>5465.9201048785144</v>
      </c>
      <c r="AD689" s="62">
        <v>2666.0667711855676</v>
      </c>
      <c r="AE689" s="62">
        <v>1179.1368514403332</v>
      </c>
      <c r="AF689" s="62">
        <v>0</v>
      </c>
      <c r="AG689" s="62">
        <v>0</v>
      </c>
      <c r="AH689" s="62"/>
      <c r="AI689" s="62">
        <v>-927.77712000001043</v>
      </c>
      <c r="AJ689" s="62">
        <v>-927.77712000001043</v>
      </c>
      <c r="AK689" s="62">
        <v>-927.77712000001043</v>
      </c>
      <c r="AL689" s="62">
        <v>-927.77712000001043</v>
      </c>
      <c r="AM689" s="62">
        <v>0</v>
      </c>
    </row>
    <row r="690" spans="1:39">
      <c r="A690" s="9">
        <v>97637</v>
      </c>
      <c r="B690" s="10" t="s">
        <v>2064</v>
      </c>
      <c r="C690" s="60">
        <v>4.3000000000000003E-6</v>
      </c>
      <c r="E690" s="62">
        <v>728.55611767122616</v>
      </c>
      <c r="F690" s="62">
        <v>2178.2191824015167</v>
      </c>
      <c r="G690" s="62">
        <v>1086.9409575308646</v>
      </c>
      <c r="H690" s="62">
        <v>-353.7473399999995</v>
      </c>
      <c r="I690" s="62">
        <v>0</v>
      </c>
      <c r="J690" s="62"/>
      <c r="K690" s="62">
        <v>-25.873100000000001</v>
      </c>
      <c r="L690" s="62">
        <v>54.463800000000006</v>
      </c>
      <c r="M690" s="62">
        <v>101.05860000000001</v>
      </c>
      <c r="N690" s="62">
        <v>62.844500000000004</v>
      </c>
      <c r="O690" s="62">
        <v>0</v>
      </c>
      <c r="P690" s="62"/>
      <c r="Q690" s="62">
        <v>94.664500000000004</v>
      </c>
      <c r="R690" s="62">
        <v>1570.5320000000002</v>
      </c>
      <c r="S690" s="62">
        <v>600.97660000000008</v>
      </c>
      <c r="T690" s="62">
        <v>-671.16120000000001</v>
      </c>
      <c r="U690" s="62">
        <v>0</v>
      </c>
      <c r="V690" s="62"/>
      <c r="W690" s="62">
        <v>280.69110000000001</v>
      </c>
      <c r="X690" s="62">
        <v>280.69110000000001</v>
      </c>
      <c r="Y690" s="62">
        <v>258.0258</v>
      </c>
      <c r="Z690" s="62">
        <v>118.76600000000001</v>
      </c>
      <c r="AA690" s="62">
        <v>0</v>
      </c>
      <c r="AB690" s="62"/>
      <c r="AC690" s="62">
        <v>389.44966705394233</v>
      </c>
      <c r="AD690" s="62">
        <v>282.90833178423281</v>
      </c>
      <c r="AE690" s="62">
        <v>135.80336000000045</v>
      </c>
      <c r="AF690" s="62">
        <v>135.80336000000045</v>
      </c>
      <c r="AG690" s="62">
        <v>0</v>
      </c>
      <c r="AH690" s="62"/>
      <c r="AI690" s="62">
        <v>-10.376049382716104</v>
      </c>
      <c r="AJ690" s="62">
        <v>-10.376049382716104</v>
      </c>
      <c r="AK690" s="62">
        <v>-8.9234024691358531</v>
      </c>
      <c r="AL690" s="62">
        <v>0</v>
      </c>
      <c r="AM690" s="62">
        <v>0</v>
      </c>
    </row>
    <row r="691" spans="1:39">
      <c r="A691" s="9">
        <v>97641</v>
      </c>
      <c r="B691" s="10" t="s">
        <v>2065</v>
      </c>
      <c r="C691" s="60">
        <v>6.8899999999999994E-5</v>
      </c>
      <c r="E691" s="62">
        <v>7669.8688401465033</v>
      </c>
      <c r="F691" s="62">
        <v>35202.802701142347</v>
      </c>
      <c r="G691" s="62">
        <v>18325.17675061728</v>
      </c>
      <c r="H691" s="62">
        <v>-7349.4600999999966</v>
      </c>
      <c r="I691" s="62">
        <v>0</v>
      </c>
      <c r="J691" s="62"/>
      <c r="K691" s="62">
        <v>-414.57129999999995</v>
      </c>
      <c r="L691" s="62">
        <v>872.68739999999991</v>
      </c>
      <c r="M691" s="62">
        <v>1619.2877999999998</v>
      </c>
      <c r="N691" s="62">
        <v>1006.9734999999999</v>
      </c>
      <c r="O691" s="62">
        <v>0</v>
      </c>
      <c r="P691" s="62"/>
      <c r="Q691" s="62">
        <v>1516.8335</v>
      </c>
      <c r="R691" s="62">
        <v>25165.035999999996</v>
      </c>
      <c r="S691" s="62">
        <v>9629.6017999999985</v>
      </c>
      <c r="T691" s="62">
        <v>-10754.187599999999</v>
      </c>
      <c r="U691" s="62">
        <v>0</v>
      </c>
      <c r="V691" s="62"/>
      <c r="W691" s="62">
        <v>4497.5852999999997</v>
      </c>
      <c r="X691" s="62">
        <v>4497.5852999999997</v>
      </c>
      <c r="Y691" s="62">
        <v>4134.4133999999995</v>
      </c>
      <c r="Z691" s="62">
        <v>1903.0179999999998</v>
      </c>
      <c r="AA691" s="62">
        <v>0</v>
      </c>
      <c r="AB691" s="62"/>
      <c r="AC691" s="62">
        <v>4958.8413401465041</v>
      </c>
      <c r="AD691" s="62">
        <v>4667.494001142356</v>
      </c>
      <c r="AE691" s="62">
        <v>2941.8737506172829</v>
      </c>
      <c r="AF691" s="62">
        <v>494.73600000000226</v>
      </c>
      <c r="AG691" s="62">
        <v>0</v>
      </c>
      <c r="AH691" s="62"/>
      <c r="AI691" s="62">
        <v>-2888.8200000000006</v>
      </c>
      <c r="AJ691" s="62">
        <v>0</v>
      </c>
      <c r="AK691" s="62">
        <v>0</v>
      </c>
      <c r="AL691" s="62">
        <v>0</v>
      </c>
      <c r="AM691" s="62">
        <v>0</v>
      </c>
    </row>
    <row r="692" spans="1:39">
      <c r="A692" s="9">
        <v>97651</v>
      </c>
      <c r="B692" s="10" t="s">
        <v>2066</v>
      </c>
      <c r="C692" s="60">
        <v>5.1979999999999995E-4</v>
      </c>
      <c r="E692" s="62">
        <v>22723.384718974055</v>
      </c>
      <c r="F692" s="62">
        <v>220963.06348221056</v>
      </c>
      <c r="G692" s="62">
        <v>106594.28098551436</v>
      </c>
      <c r="H692" s="62">
        <v>-61741.33764000002</v>
      </c>
      <c r="I692" s="62">
        <v>0</v>
      </c>
      <c r="J692" s="62"/>
      <c r="K692" s="62">
        <v>-3127.6365999999998</v>
      </c>
      <c r="L692" s="62">
        <v>6583.7867999999989</v>
      </c>
      <c r="M692" s="62">
        <v>12216.339599999999</v>
      </c>
      <c r="N692" s="62">
        <v>7596.8769999999995</v>
      </c>
      <c r="O692" s="62">
        <v>0</v>
      </c>
      <c r="P692" s="62"/>
      <c r="Q692" s="62">
        <v>11443.396999999999</v>
      </c>
      <c r="R692" s="62">
        <v>189851.75199999998</v>
      </c>
      <c r="S692" s="62">
        <v>72648.287599999996</v>
      </c>
      <c r="T692" s="62">
        <v>-81132.463199999998</v>
      </c>
      <c r="U692" s="62">
        <v>0</v>
      </c>
      <c r="V692" s="62"/>
      <c r="W692" s="62">
        <v>33930.984599999996</v>
      </c>
      <c r="X692" s="62">
        <v>33930.984599999996</v>
      </c>
      <c r="Y692" s="62">
        <v>31191.118799999997</v>
      </c>
      <c r="Z692" s="62">
        <v>14356.875999999998</v>
      </c>
      <c r="AA692" s="62">
        <v>0</v>
      </c>
      <c r="AB692" s="62"/>
      <c r="AC692" s="62">
        <v>1440.3313153526924</v>
      </c>
      <c r="AD692" s="62">
        <v>1181.0716785892082</v>
      </c>
      <c r="AE692" s="62">
        <v>0</v>
      </c>
      <c r="AF692" s="62">
        <v>0</v>
      </c>
      <c r="AG692" s="62">
        <v>0</v>
      </c>
      <c r="AH692" s="62"/>
      <c r="AI692" s="62">
        <v>-20963.69159637863</v>
      </c>
      <c r="AJ692" s="62">
        <v>-10584.531596378631</v>
      </c>
      <c r="AK692" s="62">
        <v>-9461.4650144856278</v>
      </c>
      <c r="AL692" s="62">
        <v>-2562.6274400000111</v>
      </c>
      <c r="AM692" s="62">
        <v>0</v>
      </c>
    </row>
    <row r="693" spans="1:39">
      <c r="A693" s="9">
        <v>97661</v>
      </c>
      <c r="B693" s="10" t="s">
        <v>2067</v>
      </c>
      <c r="C693" s="60">
        <v>5.1600000000000001E-5</v>
      </c>
      <c r="E693" s="62">
        <v>9028.2824287901931</v>
      </c>
      <c r="F693" s="62">
        <v>25270.392838748703</v>
      </c>
      <c r="G693" s="62">
        <v>14527.38029687243</v>
      </c>
      <c r="H693" s="62">
        <v>-4448.5839199999982</v>
      </c>
      <c r="I693" s="62">
        <v>0</v>
      </c>
      <c r="J693" s="62"/>
      <c r="K693" s="62">
        <v>-310.47719999999998</v>
      </c>
      <c r="L693" s="62">
        <v>653.56560000000002</v>
      </c>
      <c r="M693" s="62">
        <v>1212.7031999999999</v>
      </c>
      <c r="N693" s="62">
        <v>754.13400000000001</v>
      </c>
      <c r="O693" s="62">
        <v>0</v>
      </c>
      <c r="P693" s="62"/>
      <c r="Q693" s="62">
        <v>1135.9739999999999</v>
      </c>
      <c r="R693" s="62">
        <v>18846.384000000002</v>
      </c>
      <c r="S693" s="62">
        <v>7211.7192000000005</v>
      </c>
      <c r="T693" s="62">
        <v>-8053.9344000000001</v>
      </c>
      <c r="U693" s="62">
        <v>0</v>
      </c>
      <c r="V693" s="62"/>
      <c r="W693" s="62">
        <v>3368.2932000000001</v>
      </c>
      <c r="X693" s="62">
        <v>3368.2932000000001</v>
      </c>
      <c r="Y693" s="62">
        <v>3096.3096</v>
      </c>
      <c r="Z693" s="62">
        <v>1425.192</v>
      </c>
      <c r="AA693" s="62">
        <v>0</v>
      </c>
      <c r="AB693" s="62"/>
      <c r="AC693" s="62">
        <v>5885.4791507818945</v>
      </c>
      <c r="AD693" s="62">
        <v>3263.9591507818941</v>
      </c>
      <c r="AE693" s="62">
        <v>3006.6482968724299</v>
      </c>
      <c r="AF693" s="62">
        <v>1426.0244800000016</v>
      </c>
      <c r="AG693" s="62">
        <v>0</v>
      </c>
      <c r="AH693" s="62"/>
      <c r="AI693" s="62">
        <v>-1050.986721991701</v>
      </c>
      <c r="AJ693" s="62">
        <v>-861.80911203319511</v>
      </c>
      <c r="AK693" s="62">
        <v>0</v>
      </c>
      <c r="AL693" s="62">
        <v>0</v>
      </c>
      <c r="AM693" s="62">
        <v>0</v>
      </c>
    </row>
    <row r="694" spans="1:39">
      <c r="A694" s="9">
        <v>97701</v>
      </c>
      <c r="B694" s="10" t="s">
        <v>2068</v>
      </c>
      <c r="C694" s="60">
        <v>2.4975000000000002E-3</v>
      </c>
      <c r="E694" s="62">
        <v>203741.75598682545</v>
      </c>
      <c r="F694" s="62">
        <v>1115517.3390003524</v>
      </c>
      <c r="G694" s="62">
        <v>562101.47462987655</v>
      </c>
      <c r="H694" s="62">
        <v>-284196.77757999988</v>
      </c>
      <c r="I694" s="62">
        <v>0</v>
      </c>
      <c r="J694" s="62"/>
      <c r="K694" s="62">
        <v>-15027.4575</v>
      </c>
      <c r="L694" s="62">
        <v>31633.335000000003</v>
      </c>
      <c r="M694" s="62">
        <v>58696.245000000003</v>
      </c>
      <c r="N694" s="62">
        <v>36500.962500000001</v>
      </c>
      <c r="O694" s="62">
        <v>0</v>
      </c>
      <c r="P694" s="62"/>
      <c r="Q694" s="62">
        <v>54982.462500000001</v>
      </c>
      <c r="R694" s="62">
        <v>912186.9</v>
      </c>
      <c r="S694" s="62">
        <v>349055.59500000003</v>
      </c>
      <c r="T694" s="62">
        <v>-389819.79000000004</v>
      </c>
      <c r="U694" s="62">
        <v>0</v>
      </c>
      <c r="V694" s="62"/>
      <c r="W694" s="62">
        <v>163029.30750000002</v>
      </c>
      <c r="X694" s="62">
        <v>163029.30750000002</v>
      </c>
      <c r="Y694" s="62">
        <v>149864.98500000002</v>
      </c>
      <c r="Z694" s="62">
        <v>68980.95</v>
      </c>
      <c r="AA694" s="62">
        <v>0</v>
      </c>
      <c r="AB694" s="62"/>
      <c r="AC694" s="62">
        <v>9430.8334868254442</v>
      </c>
      <c r="AD694" s="62">
        <v>8667.796500352415</v>
      </c>
      <c r="AE694" s="62">
        <v>4484.6496298765351</v>
      </c>
      <c r="AF694" s="62">
        <v>141.09992000013585</v>
      </c>
      <c r="AG694" s="62">
        <v>0</v>
      </c>
      <c r="AH694" s="62"/>
      <c r="AI694" s="62">
        <v>-8673.3900000000012</v>
      </c>
      <c r="AJ694" s="62">
        <v>0</v>
      </c>
      <c r="AK694" s="62">
        <v>0</v>
      </c>
      <c r="AL694" s="62">
        <v>0</v>
      </c>
      <c r="AM694" s="62">
        <v>0</v>
      </c>
    </row>
    <row r="695" spans="1:39">
      <c r="A695" s="9">
        <v>97705</v>
      </c>
      <c r="B695" s="10" t="s">
        <v>2069</v>
      </c>
      <c r="C695" s="60">
        <v>4.7700000000000001E-5</v>
      </c>
      <c r="E695" s="62">
        <v>3949.2704120700782</v>
      </c>
      <c r="F695" s="62">
        <v>18260.405629497462</v>
      </c>
      <c r="G695" s="62">
        <v>8679.1487977777761</v>
      </c>
      <c r="H695" s="62">
        <v>-8117.438180000001</v>
      </c>
      <c r="I695" s="62">
        <v>0</v>
      </c>
      <c r="J695" s="62"/>
      <c r="K695" s="62">
        <v>-287.01089999999999</v>
      </c>
      <c r="L695" s="62">
        <v>604.16819999999996</v>
      </c>
      <c r="M695" s="62">
        <v>1121.0454</v>
      </c>
      <c r="N695" s="62">
        <v>697.13549999999998</v>
      </c>
      <c r="O695" s="62">
        <v>0</v>
      </c>
      <c r="P695" s="62"/>
      <c r="Q695" s="62">
        <v>1050.1155000000001</v>
      </c>
      <c r="R695" s="62">
        <v>17421.948</v>
      </c>
      <c r="S695" s="62">
        <v>6666.6473999999998</v>
      </c>
      <c r="T695" s="62">
        <v>-7445.2067999999999</v>
      </c>
      <c r="U695" s="62">
        <v>0</v>
      </c>
      <c r="V695" s="62"/>
      <c r="W695" s="62">
        <v>3113.7129</v>
      </c>
      <c r="X695" s="62">
        <v>3113.7129</v>
      </c>
      <c r="Y695" s="62">
        <v>2862.2862</v>
      </c>
      <c r="Z695" s="62">
        <v>1317.4739999999999</v>
      </c>
      <c r="AA695" s="62">
        <v>0</v>
      </c>
      <c r="AB695" s="62"/>
      <c r="AC695" s="62">
        <v>4009.4805555555558</v>
      </c>
      <c r="AD695" s="62">
        <v>832.57055555555496</v>
      </c>
      <c r="AE695" s="62">
        <v>716.01067777777757</v>
      </c>
      <c r="AF695" s="62">
        <v>0</v>
      </c>
      <c r="AG695" s="62">
        <v>0</v>
      </c>
      <c r="AH695" s="62"/>
      <c r="AI695" s="62">
        <v>-3937.0276434854777</v>
      </c>
      <c r="AJ695" s="62">
        <v>-3711.9940260580925</v>
      </c>
      <c r="AK695" s="62">
        <v>-2686.840880000002</v>
      </c>
      <c r="AL695" s="62">
        <v>-2686.840880000002</v>
      </c>
      <c r="AM695" s="62">
        <v>0</v>
      </c>
    </row>
    <row r="696" spans="1:39">
      <c r="A696" s="9">
        <v>97711</v>
      </c>
      <c r="B696" s="10" t="s">
        <v>2070</v>
      </c>
      <c r="C696" s="60">
        <v>9.0879999999999997E-4</v>
      </c>
      <c r="E696" s="62">
        <v>72537.512469402791</v>
      </c>
      <c r="F696" s="62">
        <v>394501.84044716216</v>
      </c>
      <c r="G696" s="62">
        <v>194015.67287218102</v>
      </c>
      <c r="H696" s="62">
        <v>-106921.93192000002</v>
      </c>
      <c r="I696" s="62">
        <v>0</v>
      </c>
      <c r="J696" s="62"/>
      <c r="K696" s="62">
        <v>-5468.2496000000001</v>
      </c>
      <c r="L696" s="62">
        <v>11510.8608</v>
      </c>
      <c r="M696" s="62">
        <v>21358.617599999998</v>
      </c>
      <c r="N696" s="62">
        <v>13282.111999999999</v>
      </c>
      <c r="O696" s="62">
        <v>0</v>
      </c>
      <c r="P696" s="62"/>
      <c r="Q696" s="62">
        <v>20007.232</v>
      </c>
      <c r="R696" s="62">
        <v>331930.11199999996</v>
      </c>
      <c r="S696" s="62">
        <v>127015.7056</v>
      </c>
      <c r="T696" s="62">
        <v>-141849.13920000001</v>
      </c>
      <c r="U696" s="62">
        <v>0</v>
      </c>
      <c r="V696" s="62"/>
      <c r="W696" s="62">
        <v>59323.7376</v>
      </c>
      <c r="X696" s="62">
        <v>59323.7376</v>
      </c>
      <c r="Y696" s="62">
        <v>54533.452799999999</v>
      </c>
      <c r="Z696" s="62">
        <v>25101.056</v>
      </c>
      <c r="AA696" s="62">
        <v>0</v>
      </c>
      <c r="AB696" s="62"/>
      <c r="AC696" s="62">
        <v>8451.8490124480941</v>
      </c>
      <c r="AD696" s="62">
        <v>1514.1865902074367</v>
      </c>
      <c r="AE696" s="62">
        <v>0</v>
      </c>
      <c r="AF696" s="62">
        <v>0</v>
      </c>
      <c r="AG696" s="62">
        <v>0</v>
      </c>
      <c r="AH696" s="62"/>
      <c r="AI696" s="62">
        <v>-9777.0565430452989</v>
      </c>
      <c r="AJ696" s="62">
        <v>-9777.0565430452989</v>
      </c>
      <c r="AK696" s="62">
        <v>-8892.1031278189621</v>
      </c>
      <c r="AL696" s="62">
        <v>-3455.9607200000091</v>
      </c>
      <c r="AM696" s="62">
        <v>0</v>
      </c>
    </row>
    <row r="697" spans="1:39">
      <c r="A697" s="9">
        <v>97713</v>
      </c>
      <c r="B697" s="10" t="s">
        <v>2071</v>
      </c>
      <c r="C697" s="60">
        <v>4.1199999999999999E-5</v>
      </c>
      <c r="E697" s="62">
        <v>-1462.5841865867587</v>
      </c>
      <c r="F697" s="62">
        <v>12907.093864865521</v>
      </c>
      <c r="G697" s="62">
        <v>5769.351725185179</v>
      </c>
      <c r="H697" s="62">
        <v>-7102.9569600000041</v>
      </c>
      <c r="I697" s="62">
        <v>0</v>
      </c>
      <c r="J697" s="62"/>
      <c r="K697" s="62">
        <v>-247.90039999999999</v>
      </c>
      <c r="L697" s="62">
        <v>521.83920000000001</v>
      </c>
      <c r="M697" s="62">
        <v>968.28239999999994</v>
      </c>
      <c r="N697" s="62">
        <v>602.13800000000003</v>
      </c>
      <c r="O697" s="62">
        <v>0</v>
      </c>
      <c r="P697" s="62"/>
      <c r="Q697" s="62">
        <v>907.01799999999992</v>
      </c>
      <c r="R697" s="62">
        <v>15047.887999999999</v>
      </c>
      <c r="S697" s="62">
        <v>5758.1943999999994</v>
      </c>
      <c r="T697" s="62">
        <v>-6430.6607999999997</v>
      </c>
      <c r="U697" s="62">
        <v>0</v>
      </c>
      <c r="V697" s="62"/>
      <c r="W697" s="62">
        <v>2689.4123999999997</v>
      </c>
      <c r="X697" s="62">
        <v>2689.4123999999997</v>
      </c>
      <c r="Y697" s="62">
        <v>2472.2471999999998</v>
      </c>
      <c r="Z697" s="62">
        <v>1137.944</v>
      </c>
      <c r="AA697" s="62">
        <v>0</v>
      </c>
      <c r="AB697" s="62"/>
      <c r="AC697" s="62">
        <v>926.64000000000021</v>
      </c>
      <c r="AD697" s="62">
        <v>0</v>
      </c>
      <c r="AE697" s="62">
        <v>0</v>
      </c>
      <c r="AF697" s="62">
        <v>0</v>
      </c>
      <c r="AG697" s="62">
        <v>0</v>
      </c>
      <c r="AH697" s="62"/>
      <c r="AI697" s="62">
        <v>-5737.7541865867588</v>
      </c>
      <c r="AJ697" s="62">
        <v>-5352.0457351344767</v>
      </c>
      <c r="AK697" s="62">
        <v>-3429.3722748148193</v>
      </c>
      <c r="AL697" s="62">
        <v>-2412.3781600000048</v>
      </c>
      <c r="AM697" s="62">
        <v>0</v>
      </c>
    </row>
    <row r="698" spans="1:39">
      <c r="A698" s="9">
        <v>97717</v>
      </c>
      <c r="B698" s="10" t="s">
        <v>2072</v>
      </c>
      <c r="C698" s="60">
        <v>4.6999999999999999E-6</v>
      </c>
      <c r="E698" s="62">
        <v>-1156.4472537865206</v>
      </c>
      <c r="F698" s="62">
        <v>1791.2902715246826</v>
      </c>
      <c r="G698" s="62">
        <v>968.16937489711961</v>
      </c>
      <c r="H698" s="62">
        <v>-940.32230000000004</v>
      </c>
      <c r="I698" s="62">
        <v>0</v>
      </c>
      <c r="J698" s="62"/>
      <c r="K698" s="62">
        <v>-28.279899999999998</v>
      </c>
      <c r="L698" s="62">
        <v>59.530200000000001</v>
      </c>
      <c r="M698" s="62">
        <v>110.4594</v>
      </c>
      <c r="N698" s="62">
        <v>68.6905</v>
      </c>
      <c r="O698" s="62">
        <v>0</v>
      </c>
      <c r="P698" s="62"/>
      <c r="Q698" s="62">
        <v>103.4705</v>
      </c>
      <c r="R698" s="62">
        <v>1716.6279999999999</v>
      </c>
      <c r="S698" s="62">
        <v>656.88139999999999</v>
      </c>
      <c r="T698" s="62">
        <v>-733.59479999999996</v>
      </c>
      <c r="U698" s="62">
        <v>0</v>
      </c>
      <c r="V698" s="62"/>
      <c r="W698" s="62">
        <v>306.80189999999999</v>
      </c>
      <c r="X698" s="62">
        <v>306.80189999999999</v>
      </c>
      <c r="Y698" s="62">
        <v>282.02819999999997</v>
      </c>
      <c r="Z698" s="62">
        <v>129.81399999999999</v>
      </c>
      <c r="AA698" s="62">
        <v>0</v>
      </c>
      <c r="AB698" s="62"/>
      <c r="AC698" s="62">
        <v>376.78183127572038</v>
      </c>
      <c r="AD698" s="62">
        <v>376.78183127572038</v>
      </c>
      <c r="AE698" s="62">
        <v>324.03237489711967</v>
      </c>
      <c r="AF698" s="62">
        <v>0</v>
      </c>
      <c r="AG698" s="62">
        <v>0</v>
      </c>
      <c r="AH698" s="62"/>
      <c r="AI698" s="62">
        <v>-1915.221585062241</v>
      </c>
      <c r="AJ698" s="62">
        <v>-668.4516597510376</v>
      </c>
      <c r="AK698" s="62">
        <v>-405.23200000000008</v>
      </c>
      <c r="AL698" s="62">
        <v>-405.23200000000008</v>
      </c>
      <c r="AM698" s="62">
        <v>0</v>
      </c>
    </row>
    <row r="699" spans="1:39">
      <c r="A699" s="9">
        <v>97721</v>
      </c>
      <c r="B699" s="10" t="s">
        <v>2073</v>
      </c>
      <c r="C699" s="60">
        <v>5.6599999999999999E-4</v>
      </c>
      <c r="E699" s="62">
        <v>36958.622209364272</v>
      </c>
      <c r="F699" s="62">
        <v>242417.87604056759</v>
      </c>
      <c r="G699" s="62">
        <v>128043.21221358023</v>
      </c>
      <c r="H699" s="62">
        <v>-66339.436000000002</v>
      </c>
      <c r="I699" s="62">
        <v>0</v>
      </c>
      <c r="J699" s="62"/>
      <c r="K699" s="62">
        <v>-3405.6219999999998</v>
      </c>
      <c r="L699" s="62">
        <v>7168.9560000000001</v>
      </c>
      <c r="M699" s="62">
        <v>13302.132</v>
      </c>
      <c r="N699" s="62">
        <v>8272.09</v>
      </c>
      <c r="O699" s="62">
        <v>0</v>
      </c>
      <c r="P699" s="62"/>
      <c r="Q699" s="62">
        <v>12460.49</v>
      </c>
      <c r="R699" s="62">
        <v>206725.84</v>
      </c>
      <c r="S699" s="62">
        <v>79105.292000000001</v>
      </c>
      <c r="T699" s="62">
        <v>-88343.543999999994</v>
      </c>
      <c r="U699" s="62">
        <v>0</v>
      </c>
      <c r="V699" s="62"/>
      <c r="W699" s="62">
        <v>36946.781999999999</v>
      </c>
      <c r="X699" s="62">
        <v>36946.781999999999</v>
      </c>
      <c r="Y699" s="62">
        <v>33963.396000000001</v>
      </c>
      <c r="Z699" s="62">
        <v>15632.92</v>
      </c>
      <c r="AA699" s="62">
        <v>0</v>
      </c>
      <c r="AB699" s="62"/>
      <c r="AC699" s="62">
        <v>5879.5732716049151</v>
      </c>
      <c r="AD699" s="62">
        <v>4154.9932716049152</v>
      </c>
      <c r="AE699" s="62">
        <v>3573.2942135802282</v>
      </c>
      <c r="AF699" s="62">
        <v>0</v>
      </c>
      <c r="AG699" s="62">
        <v>0</v>
      </c>
      <c r="AH699" s="62"/>
      <c r="AI699" s="62">
        <v>-14922.601062240645</v>
      </c>
      <c r="AJ699" s="62">
        <v>-12578.695231037333</v>
      </c>
      <c r="AK699" s="62">
        <v>-1900.9020000000019</v>
      </c>
      <c r="AL699" s="62">
        <v>-1900.9020000000019</v>
      </c>
      <c r="AM699" s="62">
        <v>0</v>
      </c>
    </row>
    <row r="700" spans="1:39">
      <c r="A700" s="9">
        <v>97727</v>
      </c>
      <c r="B700" s="10" t="s">
        <v>2074</v>
      </c>
      <c r="C700" s="60">
        <v>2.27E-5</v>
      </c>
      <c r="E700" s="62">
        <v>590.23674774892061</v>
      </c>
      <c r="F700" s="62">
        <v>9421.98174028004</v>
      </c>
      <c r="G700" s="62">
        <v>4754.8594749794247</v>
      </c>
      <c r="H700" s="62">
        <v>-2637.8604599999999</v>
      </c>
      <c r="I700" s="62">
        <v>0</v>
      </c>
      <c r="J700" s="62"/>
      <c r="K700" s="62">
        <v>-136.58590000000001</v>
      </c>
      <c r="L700" s="62">
        <v>287.51819999999998</v>
      </c>
      <c r="M700" s="62">
        <v>533.49540000000002</v>
      </c>
      <c r="N700" s="62">
        <v>331.76049999999998</v>
      </c>
      <c r="O700" s="62">
        <v>0</v>
      </c>
      <c r="P700" s="62"/>
      <c r="Q700" s="62">
        <v>499.7405</v>
      </c>
      <c r="R700" s="62">
        <v>8290.9480000000003</v>
      </c>
      <c r="S700" s="62">
        <v>3172.5974000000001</v>
      </c>
      <c r="T700" s="62">
        <v>-3543.1068</v>
      </c>
      <c r="U700" s="62">
        <v>0</v>
      </c>
      <c r="V700" s="62"/>
      <c r="W700" s="62">
        <v>1481.7879</v>
      </c>
      <c r="X700" s="62">
        <v>1481.7879</v>
      </c>
      <c r="Y700" s="62">
        <v>1362.1361999999999</v>
      </c>
      <c r="Z700" s="62">
        <v>626.97399999999993</v>
      </c>
      <c r="AA700" s="62">
        <v>0</v>
      </c>
      <c r="AB700" s="62"/>
      <c r="AC700" s="62">
        <v>0</v>
      </c>
      <c r="AD700" s="62">
        <v>0</v>
      </c>
      <c r="AE700" s="62">
        <v>0</v>
      </c>
      <c r="AF700" s="62">
        <v>0</v>
      </c>
      <c r="AG700" s="62">
        <v>0</v>
      </c>
      <c r="AH700" s="62"/>
      <c r="AI700" s="62">
        <v>-1254.7057522510795</v>
      </c>
      <c r="AJ700" s="62">
        <v>-638.27235971995924</v>
      </c>
      <c r="AK700" s="62">
        <v>-313.36952502057568</v>
      </c>
      <c r="AL700" s="62">
        <v>-53.488159999999695</v>
      </c>
      <c r="AM700" s="62">
        <v>0</v>
      </c>
    </row>
    <row r="701" spans="1:39">
      <c r="A701" s="9">
        <v>97731</v>
      </c>
      <c r="B701" s="10" t="s">
        <v>2075</v>
      </c>
      <c r="C701" s="60">
        <v>3.5500000000000002E-5</v>
      </c>
      <c r="E701" s="62">
        <v>5842.9035492693383</v>
      </c>
      <c r="F701" s="62">
        <v>18036.622218149008</v>
      </c>
      <c r="G701" s="62">
        <v>8861.1761278189351</v>
      </c>
      <c r="H701" s="62">
        <v>-3877.3627799999967</v>
      </c>
      <c r="I701" s="62">
        <v>0</v>
      </c>
      <c r="J701" s="62"/>
      <c r="K701" s="62">
        <v>-213.60350000000003</v>
      </c>
      <c r="L701" s="62">
        <v>449.64300000000003</v>
      </c>
      <c r="M701" s="62">
        <v>834.32100000000003</v>
      </c>
      <c r="N701" s="62">
        <v>518.83249999999998</v>
      </c>
      <c r="O701" s="62">
        <v>0</v>
      </c>
      <c r="P701" s="62"/>
      <c r="Q701" s="62">
        <v>781.53250000000003</v>
      </c>
      <c r="R701" s="62">
        <v>12966.02</v>
      </c>
      <c r="S701" s="62">
        <v>4961.5510000000004</v>
      </c>
      <c r="T701" s="62">
        <v>-5540.982</v>
      </c>
      <c r="U701" s="62">
        <v>0</v>
      </c>
      <c r="V701" s="62"/>
      <c r="W701" s="62">
        <v>2317.3335000000002</v>
      </c>
      <c r="X701" s="62">
        <v>2317.3335000000002</v>
      </c>
      <c r="Y701" s="62">
        <v>2130.2130000000002</v>
      </c>
      <c r="Z701" s="62">
        <v>980.5100000000001</v>
      </c>
      <c r="AA701" s="62">
        <v>0</v>
      </c>
      <c r="AB701" s="62"/>
      <c r="AC701" s="62">
        <v>2957.6410492693376</v>
      </c>
      <c r="AD701" s="62">
        <v>2303.6257181490059</v>
      </c>
      <c r="AE701" s="62">
        <v>935.09112781893396</v>
      </c>
      <c r="AF701" s="62">
        <v>164.27672000000274</v>
      </c>
      <c r="AG701" s="62">
        <v>0</v>
      </c>
      <c r="AH701" s="62"/>
      <c r="AI701" s="62">
        <v>0</v>
      </c>
      <c r="AJ701" s="62">
        <v>0</v>
      </c>
      <c r="AK701" s="62">
        <v>0</v>
      </c>
      <c r="AL701" s="62">
        <v>0</v>
      </c>
      <c r="AM701" s="62">
        <v>0</v>
      </c>
    </row>
    <row r="702" spans="1:39">
      <c r="A702" s="9">
        <v>97801</v>
      </c>
      <c r="B702" s="10" t="s">
        <v>2076</v>
      </c>
      <c r="C702" s="60">
        <v>6.9303000000000003E-3</v>
      </c>
      <c r="E702" s="62">
        <v>465403.52177986794</v>
      </c>
      <c r="F702" s="62">
        <v>2950983.7724403664</v>
      </c>
      <c r="G702" s="62">
        <v>1454664.4414361317</v>
      </c>
      <c r="H702" s="62">
        <v>-857121.18493999983</v>
      </c>
      <c r="I702" s="62">
        <v>0</v>
      </c>
      <c r="J702" s="62"/>
      <c r="K702" s="62">
        <v>-41699.615100000003</v>
      </c>
      <c r="L702" s="62">
        <v>87779.179799999998</v>
      </c>
      <c r="M702" s="62">
        <v>162875.9106</v>
      </c>
      <c r="N702" s="62">
        <v>101286.33450000001</v>
      </c>
      <c r="O702" s="62">
        <v>0</v>
      </c>
      <c r="P702" s="62"/>
      <c r="Q702" s="62">
        <v>152570.5545</v>
      </c>
      <c r="R702" s="62">
        <v>2531222.7720000003</v>
      </c>
      <c r="S702" s="62">
        <v>968592.58860000002</v>
      </c>
      <c r="T702" s="62">
        <v>-1081708.9452</v>
      </c>
      <c r="U702" s="62">
        <v>0</v>
      </c>
      <c r="V702" s="62"/>
      <c r="W702" s="62">
        <v>452389.19310000003</v>
      </c>
      <c r="X702" s="62">
        <v>452389.19310000003</v>
      </c>
      <c r="Y702" s="62">
        <v>415859.58180000004</v>
      </c>
      <c r="Z702" s="62">
        <v>191414.886</v>
      </c>
      <c r="AA702" s="62">
        <v>0</v>
      </c>
      <c r="AB702" s="62"/>
      <c r="AC702" s="62">
        <v>27763.560000000005</v>
      </c>
      <c r="AD702" s="62">
        <v>0</v>
      </c>
      <c r="AE702" s="62">
        <v>0</v>
      </c>
      <c r="AF702" s="62">
        <v>0</v>
      </c>
      <c r="AG702" s="62">
        <v>0</v>
      </c>
      <c r="AH702" s="62"/>
      <c r="AI702" s="62">
        <v>-125620.17072013217</v>
      </c>
      <c r="AJ702" s="62">
        <v>-120407.37245963429</v>
      </c>
      <c r="AK702" s="62">
        <v>-92663.639563868201</v>
      </c>
      <c r="AL702" s="62">
        <v>-68113.460239999928</v>
      </c>
      <c r="AM702" s="62">
        <v>0</v>
      </c>
    </row>
    <row r="703" spans="1:39">
      <c r="A703" s="9">
        <v>97802</v>
      </c>
      <c r="B703" s="10" t="s">
        <v>2077</v>
      </c>
      <c r="C703" s="60">
        <v>1.5300000000000001E-4</v>
      </c>
      <c r="E703" s="62">
        <v>11160.864253588796</v>
      </c>
      <c r="F703" s="62">
        <v>58057.360498402079</v>
      </c>
      <c r="G703" s="62">
        <v>30077.341189794239</v>
      </c>
      <c r="H703" s="62">
        <v>-20850.651160000001</v>
      </c>
      <c r="I703" s="62">
        <v>0</v>
      </c>
      <c r="J703" s="62"/>
      <c r="K703" s="62">
        <v>-920.601</v>
      </c>
      <c r="L703" s="62">
        <v>1937.8980000000001</v>
      </c>
      <c r="M703" s="62">
        <v>3595.806</v>
      </c>
      <c r="N703" s="62">
        <v>2236.0950000000003</v>
      </c>
      <c r="O703" s="62">
        <v>0</v>
      </c>
      <c r="P703" s="62"/>
      <c r="Q703" s="62">
        <v>3368.2950000000001</v>
      </c>
      <c r="R703" s="62">
        <v>55881.72</v>
      </c>
      <c r="S703" s="62">
        <v>21383.585999999999</v>
      </c>
      <c r="T703" s="62">
        <v>-23880.852000000003</v>
      </c>
      <c r="U703" s="62">
        <v>0</v>
      </c>
      <c r="V703" s="62"/>
      <c r="W703" s="62">
        <v>9987.3810000000012</v>
      </c>
      <c r="X703" s="62">
        <v>9987.3810000000012</v>
      </c>
      <c r="Y703" s="62">
        <v>9180.9179999999997</v>
      </c>
      <c r="Z703" s="62">
        <v>4225.8600000000006</v>
      </c>
      <c r="AA703" s="62">
        <v>0</v>
      </c>
      <c r="AB703" s="62"/>
      <c r="AC703" s="62">
        <v>9696.0600000000013</v>
      </c>
      <c r="AD703" s="62">
        <v>0</v>
      </c>
      <c r="AE703" s="62">
        <v>0</v>
      </c>
      <c r="AF703" s="62">
        <v>0</v>
      </c>
      <c r="AG703" s="62">
        <v>0</v>
      </c>
      <c r="AH703" s="62"/>
      <c r="AI703" s="62">
        <v>-10970.270746411206</v>
      </c>
      <c r="AJ703" s="62">
        <v>-9749.6385015979322</v>
      </c>
      <c r="AK703" s="62">
        <v>-4082.9688102057603</v>
      </c>
      <c r="AL703" s="62">
        <v>-3431.7541600000022</v>
      </c>
      <c r="AM703" s="62">
        <v>0</v>
      </c>
    </row>
    <row r="704" spans="1:39">
      <c r="A704" s="9">
        <v>97803</v>
      </c>
      <c r="B704" s="10" t="s">
        <v>2078</v>
      </c>
      <c r="C704" s="60">
        <v>7.5300000000000001E-5</v>
      </c>
      <c r="E704" s="62">
        <v>9508.1197951959402</v>
      </c>
      <c r="F704" s="62">
        <v>33357.174563660672</v>
      </c>
      <c r="G704" s="62">
        <v>17402.706264444445</v>
      </c>
      <c r="H704" s="62">
        <v>-8477.4425800000008</v>
      </c>
      <c r="I704" s="62">
        <v>0</v>
      </c>
      <c r="J704" s="62"/>
      <c r="K704" s="62">
        <v>-453.08010000000002</v>
      </c>
      <c r="L704" s="62">
        <v>953.74980000000005</v>
      </c>
      <c r="M704" s="62">
        <v>1769.7006000000001</v>
      </c>
      <c r="N704" s="62">
        <v>1100.5095000000001</v>
      </c>
      <c r="O704" s="62">
        <v>0</v>
      </c>
      <c r="P704" s="62"/>
      <c r="Q704" s="62">
        <v>1657.7294999999999</v>
      </c>
      <c r="R704" s="62">
        <v>27502.572</v>
      </c>
      <c r="S704" s="62">
        <v>10524.078600000001</v>
      </c>
      <c r="T704" s="62">
        <v>-11753.1252</v>
      </c>
      <c r="U704" s="62">
        <v>0</v>
      </c>
      <c r="V704" s="62"/>
      <c r="W704" s="62">
        <v>4915.3581000000004</v>
      </c>
      <c r="X704" s="62">
        <v>4915.3581000000004</v>
      </c>
      <c r="Y704" s="62">
        <v>4518.4517999999998</v>
      </c>
      <c r="Z704" s="62">
        <v>2079.7860000000001</v>
      </c>
      <c r="AA704" s="62">
        <v>0</v>
      </c>
      <c r="AB704" s="62"/>
      <c r="AC704" s="62">
        <v>4224.1810088888897</v>
      </c>
      <c r="AD704" s="62">
        <v>671.0710088888892</v>
      </c>
      <c r="AE704" s="62">
        <v>590.47526444444475</v>
      </c>
      <c r="AF704" s="62">
        <v>95.387119999999413</v>
      </c>
      <c r="AG704" s="62">
        <v>0</v>
      </c>
      <c r="AH704" s="62"/>
      <c r="AI704" s="62">
        <v>-836.06871369294765</v>
      </c>
      <c r="AJ704" s="62">
        <v>-685.57634522821729</v>
      </c>
      <c r="AK704" s="62">
        <v>0</v>
      </c>
      <c r="AL704" s="62">
        <v>0</v>
      </c>
      <c r="AM704" s="62">
        <v>0</v>
      </c>
    </row>
    <row r="705" spans="1:39">
      <c r="A705" s="9">
        <v>97805</v>
      </c>
      <c r="B705" s="10" t="s">
        <v>2079</v>
      </c>
      <c r="C705" s="60">
        <v>7.9400000000000006E-5</v>
      </c>
      <c r="E705" s="62">
        <v>10279.793703518602</v>
      </c>
      <c r="F705" s="62">
        <v>38902.55011596674</v>
      </c>
      <c r="G705" s="62">
        <v>19604.973575967077</v>
      </c>
      <c r="H705" s="62">
        <v>-8972.0622800000056</v>
      </c>
      <c r="I705" s="62">
        <v>0</v>
      </c>
      <c r="J705" s="62"/>
      <c r="K705" s="62">
        <v>-477.74980000000005</v>
      </c>
      <c r="L705" s="62">
        <v>1005.6804000000001</v>
      </c>
      <c r="M705" s="62">
        <v>1866.0588</v>
      </c>
      <c r="N705" s="62">
        <v>1160.431</v>
      </c>
      <c r="O705" s="62">
        <v>0</v>
      </c>
      <c r="P705" s="62"/>
      <c r="Q705" s="62">
        <v>1747.9910000000002</v>
      </c>
      <c r="R705" s="62">
        <v>29000.056</v>
      </c>
      <c r="S705" s="62">
        <v>11097.102800000001</v>
      </c>
      <c r="T705" s="62">
        <v>-12393.069600000001</v>
      </c>
      <c r="U705" s="62">
        <v>0</v>
      </c>
      <c r="V705" s="62"/>
      <c r="W705" s="62">
        <v>5182.9938000000002</v>
      </c>
      <c r="X705" s="62">
        <v>5182.9938000000002</v>
      </c>
      <c r="Y705" s="62">
        <v>4764.4764000000005</v>
      </c>
      <c r="Z705" s="62">
        <v>2193.0280000000002</v>
      </c>
      <c r="AA705" s="62">
        <v>0</v>
      </c>
      <c r="AB705" s="62"/>
      <c r="AC705" s="62">
        <v>4052.2787035186011</v>
      </c>
      <c r="AD705" s="62">
        <v>3713.8199159667342</v>
      </c>
      <c r="AE705" s="62">
        <v>1877.3355759670744</v>
      </c>
      <c r="AF705" s="62">
        <v>67.548319999994419</v>
      </c>
      <c r="AG705" s="62">
        <v>0</v>
      </c>
      <c r="AH705" s="62"/>
      <c r="AI705" s="62">
        <v>-225.72000000000006</v>
      </c>
      <c r="AJ705" s="62">
        <v>0</v>
      </c>
      <c r="AK705" s="62">
        <v>0</v>
      </c>
      <c r="AL705" s="62">
        <v>0</v>
      </c>
      <c r="AM705" s="62">
        <v>0</v>
      </c>
    </row>
    <row r="706" spans="1:39">
      <c r="A706" s="9">
        <v>97811</v>
      </c>
      <c r="B706" s="10" t="s">
        <v>2080</v>
      </c>
      <c r="C706" s="60">
        <v>2.4172E-3</v>
      </c>
      <c r="E706" s="62">
        <v>123226.80317687077</v>
      </c>
      <c r="F706" s="62">
        <v>1008654.3046679082</v>
      </c>
      <c r="G706" s="62">
        <v>511742.19389168732</v>
      </c>
      <c r="H706" s="62">
        <v>-275473.43063999992</v>
      </c>
      <c r="I706" s="62">
        <v>0</v>
      </c>
      <c r="J706" s="62"/>
      <c r="K706" s="62">
        <v>-14544.2924</v>
      </c>
      <c r="L706" s="62">
        <v>30616.2552</v>
      </c>
      <c r="M706" s="62">
        <v>56809.034399999997</v>
      </c>
      <c r="N706" s="62">
        <v>35327.377999999997</v>
      </c>
      <c r="O706" s="62">
        <v>0</v>
      </c>
      <c r="P706" s="62"/>
      <c r="Q706" s="62">
        <v>53214.658000000003</v>
      </c>
      <c r="R706" s="62">
        <v>882858.12800000003</v>
      </c>
      <c r="S706" s="62">
        <v>337832.70640000002</v>
      </c>
      <c r="T706" s="62">
        <v>-377286.24479999999</v>
      </c>
      <c r="U706" s="62">
        <v>0</v>
      </c>
      <c r="V706" s="62"/>
      <c r="W706" s="62">
        <v>157787.5644</v>
      </c>
      <c r="X706" s="62">
        <v>157787.5644</v>
      </c>
      <c r="Y706" s="62">
        <v>145046.50320000001</v>
      </c>
      <c r="Z706" s="62">
        <v>66763.063999999998</v>
      </c>
      <c r="AA706" s="62">
        <v>0</v>
      </c>
      <c r="AB706" s="62"/>
      <c r="AC706" s="62">
        <v>0</v>
      </c>
      <c r="AD706" s="62">
        <v>0</v>
      </c>
      <c r="AE706" s="62">
        <v>0</v>
      </c>
      <c r="AF706" s="62">
        <v>0</v>
      </c>
      <c r="AG706" s="62">
        <v>0</v>
      </c>
      <c r="AH706" s="62"/>
      <c r="AI706" s="62">
        <v>-73231.12682312922</v>
      </c>
      <c r="AJ706" s="62">
        <v>-62607.642932091891</v>
      </c>
      <c r="AK706" s="62">
        <v>-27946.050108312746</v>
      </c>
      <c r="AL706" s="62">
        <v>-277.62783999997191</v>
      </c>
      <c r="AM706" s="62">
        <v>0</v>
      </c>
    </row>
    <row r="707" spans="1:39">
      <c r="A707" s="9">
        <v>97817</v>
      </c>
      <c r="B707" s="10" t="s">
        <v>2081</v>
      </c>
      <c r="C707" s="60">
        <v>2.2200000000000001E-5</v>
      </c>
      <c r="E707" s="62">
        <v>5713.4237165343347</v>
      </c>
      <c r="F707" s="62">
        <v>13312.731421928525</v>
      </c>
      <c r="G707" s="62">
        <v>9418.4567695473288</v>
      </c>
      <c r="H707" s="62">
        <v>1310.1650000000036</v>
      </c>
      <c r="I707" s="62">
        <v>0</v>
      </c>
      <c r="J707" s="62"/>
      <c r="K707" s="62">
        <v>-133.57740000000001</v>
      </c>
      <c r="L707" s="62">
        <v>281.18520000000001</v>
      </c>
      <c r="M707" s="62">
        <v>521.74440000000004</v>
      </c>
      <c r="N707" s="62">
        <v>324.45300000000003</v>
      </c>
      <c r="O707" s="62">
        <v>0</v>
      </c>
      <c r="P707" s="62"/>
      <c r="Q707" s="62">
        <v>488.733</v>
      </c>
      <c r="R707" s="62">
        <v>8108.3280000000004</v>
      </c>
      <c r="S707" s="62">
        <v>3102.7164000000002</v>
      </c>
      <c r="T707" s="62">
        <v>-3465.0648000000001</v>
      </c>
      <c r="U707" s="62">
        <v>0</v>
      </c>
      <c r="V707" s="62"/>
      <c r="W707" s="62">
        <v>1449.1494</v>
      </c>
      <c r="X707" s="62">
        <v>1449.1494</v>
      </c>
      <c r="Y707" s="62">
        <v>1332.1332</v>
      </c>
      <c r="Z707" s="62">
        <v>613.16399999999999</v>
      </c>
      <c r="AA707" s="62">
        <v>0</v>
      </c>
      <c r="AB707" s="62"/>
      <c r="AC707" s="62">
        <v>5237.6748576131722</v>
      </c>
      <c r="AD707" s="62">
        <v>4563.4848576131717</v>
      </c>
      <c r="AE707" s="62">
        <v>4461.8627695473288</v>
      </c>
      <c r="AF707" s="62">
        <v>3837.6128000000035</v>
      </c>
      <c r="AG707" s="62">
        <v>0</v>
      </c>
      <c r="AH707" s="62"/>
      <c r="AI707" s="62">
        <v>-1328.5561410788378</v>
      </c>
      <c r="AJ707" s="62">
        <v>-1089.4160356846473</v>
      </c>
      <c r="AK707" s="62">
        <v>0</v>
      </c>
      <c r="AL707" s="62">
        <v>0</v>
      </c>
      <c r="AM707" s="62">
        <v>0</v>
      </c>
    </row>
    <row r="708" spans="1:39">
      <c r="A708" s="9">
        <v>97818</v>
      </c>
      <c r="B708" s="10" t="s">
        <v>2082</v>
      </c>
      <c r="C708" s="60">
        <v>2.1999999999999999E-5</v>
      </c>
      <c r="E708" s="62">
        <v>1943.8804951918437</v>
      </c>
      <c r="F708" s="62">
        <v>11965.628066146199</v>
      </c>
      <c r="G708" s="62">
        <v>6527.6964424691369</v>
      </c>
      <c r="H708" s="62">
        <v>-2428.7481600000006</v>
      </c>
      <c r="I708" s="62">
        <v>0</v>
      </c>
      <c r="J708" s="62"/>
      <c r="K708" s="62">
        <v>-132.374</v>
      </c>
      <c r="L708" s="62">
        <v>278.65199999999999</v>
      </c>
      <c r="M708" s="62">
        <v>517.04399999999998</v>
      </c>
      <c r="N708" s="62">
        <v>321.52999999999997</v>
      </c>
      <c r="O708" s="62">
        <v>0</v>
      </c>
      <c r="P708" s="62"/>
      <c r="Q708" s="62">
        <v>484.33</v>
      </c>
      <c r="R708" s="62">
        <v>8035.28</v>
      </c>
      <c r="S708" s="62">
        <v>3074.7640000000001</v>
      </c>
      <c r="T708" s="62">
        <v>-3433.848</v>
      </c>
      <c r="U708" s="62">
        <v>0</v>
      </c>
      <c r="V708" s="62"/>
      <c r="W708" s="62">
        <v>1436.0940000000001</v>
      </c>
      <c r="X708" s="62">
        <v>1436.0940000000001</v>
      </c>
      <c r="Y708" s="62">
        <v>1320.1320000000001</v>
      </c>
      <c r="Z708" s="62">
        <v>607.64</v>
      </c>
      <c r="AA708" s="62">
        <v>0</v>
      </c>
      <c r="AB708" s="62"/>
      <c r="AC708" s="62">
        <v>2292.250495191844</v>
      </c>
      <c r="AD708" s="62">
        <v>2215.6020661462012</v>
      </c>
      <c r="AE708" s="62">
        <v>1615.7564424691363</v>
      </c>
      <c r="AF708" s="62">
        <v>75.929839999999956</v>
      </c>
      <c r="AG708" s="62">
        <v>0</v>
      </c>
      <c r="AH708" s="62"/>
      <c r="AI708" s="62">
        <v>-2136.4200000000005</v>
      </c>
      <c r="AJ708" s="62">
        <v>0</v>
      </c>
      <c r="AK708" s="62">
        <v>0</v>
      </c>
      <c r="AL708" s="62">
        <v>0</v>
      </c>
      <c r="AM708" s="62">
        <v>0</v>
      </c>
    </row>
    <row r="709" spans="1:39">
      <c r="A709" s="9">
        <v>97821</v>
      </c>
      <c r="B709" s="10" t="s">
        <v>2083</v>
      </c>
      <c r="C709" s="60">
        <v>1.126E-4</v>
      </c>
      <c r="E709" s="62">
        <v>-132.34653204378628</v>
      </c>
      <c r="F709" s="62">
        <v>46951.440424553723</v>
      </c>
      <c r="G709" s="62">
        <v>25163.182114897121</v>
      </c>
      <c r="H709" s="62">
        <v>-11480.571559999998</v>
      </c>
      <c r="I709" s="62">
        <v>0</v>
      </c>
      <c r="J709" s="62"/>
      <c r="K709" s="62">
        <v>-677.51419999999996</v>
      </c>
      <c r="L709" s="62">
        <v>1426.1915999999999</v>
      </c>
      <c r="M709" s="62">
        <v>2646.3251999999998</v>
      </c>
      <c r="N709" s="62">
        <v>1645.6489999999999</v>
      </c>
      <c r="O709" s="62">
        <v>0</v>
      </c>
      <c r="P709" s="62"/>
      <c r="Q709" s="62">
        <v>2478.8890000000001</v>
      </c>
      <c r="R709" s="62">
        <v>41126.023999999998</v>
      </c>
      <c r="S709" s="62">
        <v>15737.2012</v>
      </c>
      <c r="T709" s="62">
        <v>-17575.058400000002</v>
      </c>
      <c r="U709" s="62">
        <v>0</v>
      </c>
      <c r="V709" s="62"/>
      <c r="W709" s="62">
        <v>7350.1902</v>
      </c>
      <c r="X709" s="62">
        <v>7350.1902</v>
      </c>
      <c r="Y709" s="62">
        <v>6756.6755999999996</v>
      </c>
      <c r="Z709" s="62">
        <v>3110.0120000000002</v>
      </c>
      <c r="AA709" s="62">
        <v>0</v>
      </c>
      <c r="AB709" s="62"/>
      <c r="AC709" s="62">
        <v>1338.8258400000036</v>
      </c>
      <c r="AD709" s="62">
        <v>1338.8258400000036</v>
      </c>
      <c r="AE709" s="62">
        <v>1338.8258400000036</v>
      </c>
      <c r="AF709" s="62">
        <v>1338.8258400000036</v>
      </c>
      <c r="AG709" s="62">
        <v>0</v>
      </c>
      <c r="AH709" s="62"/>
      <c r="AI709" s="62">
        <v>-10622.73737204379</v>
      </c>
      <c r="AJ709" s="62">
        <v>-4289.7912154462774</v>
      </c>
      <c r="AK709" s="62">
        <v>-1315.8457251028815</v>
      </c>
      <c r="AL709" s="62">
        <v>0</v>
      </c>
      <c r="AM709" s="62">
        <v>0</v>
      </c>
    </row>
    <row r="710" spans="1:39">
      <c r="A710" s="9">
        <v>97823</v>
      </c>
      <c r="B710" s="10" t="s">
        <v>2084</v>
      </c>
      <c r="C710" s="60">
        <v>2.3300000000000001E-5</v>
      </c>
      <c r="E710" s="62">
        <v>1822.3311838850473</v>
      </c>
      <c r="F710" s="62">
        <v>10833.249423719071</v>
      </c>
      <c r="G710" s="62">
        <v>5625.5949125925927</v>
      </c>
      <c r="H710" s="62">
        <v>-2391.6129799999999</v>
      </c>
      <c r="I710" s="62">
        <v>0</v>
      </c>
      <c r="J710" s="62"/>
      <c r="K710" s="62">
        <v>-140.1961</v>
      </c>
      <c r="L710" s="62">
        <v>295.11779999999999</v>
      </c>
      <c r="M710" s="62">
        <v>547.59659999999997</v>
      </c>
      <c r="N710" s="62">
        <v>340.52949999999998</v>
      </c>
      <c r="O710" s="62">
        <v>0</v>
      </c>
      <c r="P710" s="62"/>
      <c r="Q710" s="62">
        <v>512.94950000000006</v>
      </c>
      <c r="R710" s="62">
        <v>8510.0920000000006</v>
      </c>
      <c r="S710" s="62">
        <v>3256.4546</v>
      </c>
      <c r="T710" s="62">
        <v>-3636.7572</v>
      </c>
      <c r="U710" s="62">
        <v>0</v>
      </c>
      <c r="V710" s="62"/>
      <c r="W710" s="62">
        <v>1520.9540999999999</v>
      </c>
      <c r="X710" s="62">
        <v>1520.9540999999999</v>
      </c>
      <c r="Y710" s="62">
        <v>1398.1397999999999</v>
      </c>
      <c r="Z710" s="62">
        <v>643.54600000000005</v>
      </c>
      <c r="AA710" s="62">
        <v>0</v>
      </c>
      <c r="AB710" s="62"/>
      <c r="AC710" s="62">
        <v>519.65368388504726</v>
      </c>
      <c r="AD710" s="62">
        <v>507.08552371907228</v>
      </c>
      <c r="AE710" s="62">
        <v>423.4039125925932</v>
      </c>
      <c r="AF710" s="62">
        <v>261.06872000000038</v>
      </c>
      <c r="AG710" s="62">
        <v>0</v>
      </c>
      <c r="AH710" s="62"/>
      <c r="AI710" s="62">
        <v>-591.03000000000009</v>
      </c>
      <c r="AJ710" s="62">
        <v>0</v>
      </c>
      <c r="AK710" s="62">
        <v>0</v>
      </c>
      <c r="AL710" s="62">
        <v>0</v>
      </c>
      <c r="AM710" s="62">
        <v>0</v>
      </c>
    </row>
    <row r="711" spans="1:39">
      <c r="A711" s="9">
        <v>97831</v>
      </c>
      <c r="B711" s="10" t="s">
        <v>2085</v>
      </c>
      <c r="C711" s="60">
        <v>1.7009999999999999E-4</v>
      </c>
      <c r="E711" s="62">
        <v>11781.416981842138</v>
      </c>
      <c r="F711" s="62">
        <v>76920.498482754978</v>
      </c>
      <c r="G711" s="62">
        <v>41514.59000790125</v>
      </c>
      <c r="H711" s="62">
        <v>-15550.420659999991</v>
      </c>
      <c r="I711" s="62">
        <v>0</v>
      </c>
      <c r="J711" s="62"/>
      <c r="K711" s="62">
        <v>-1023.4916999999999</v>
      </c>
      <c r="L711" s="62">
        <v>2154.4865999999997</v>
      </c>
      <c r="M711" s="62">
        <v>3997.6901999999995</v>
      </c>
      <c r="N711" s="62">
        <v>2486.0114999999996</v>
      </c>
      <c r="O711" s="62">
        <v>0</v>
      </c>
      <c r="P711" s="62"/>
      <c r="Q711" s="62">
        <v>3744.7514999999999</v>
      </c>
      <c r="R711" s="62">
        <v>62127.323999999993</v>
      </c>
      <c r="S711" s="62">
        <v>23773.516199999998</v>
      </c>
      <c r="T711" s="62">
        <v>-26549.8884</v>
      </c>
      <c r="U711" s="62">
        <v>0</v>
      </c>
      <c r="V711" s="62"/>
      <c r="W711" s="62">
        <v>11103.617699999999</v>
      </c>
      <c r="X711" s="62">
        <v>11103.617699999999</v>
      </c>
      <c r="Y711" s="62">
        <v>10207.0206</v>
      </c>
      <c r="Z711" s="62">
        <v>4698.1619999999994</v>
      </c>
      <c r="AA711" s="62">
        <v>0</v>
      </c>
      <c r="AB711" s="62"/>
      <c r="AC711" s="62">
        <v>3815.2942400000088</v>
      </c>
      <c r="AD711" s="62">
        <v>3815.2942400000088</v>
      </c>
      <c r="AE711" s="62">
        <v>3815.2942400000088</v>
      </c>
      <c r="AF711" s="62">
        <v>3815.2942400000088</v>
      </c>
      <c r="AG711" s="62">
        <v>0</v>
      </c>
      <c r="AH711" s="62"/>
      <c r="AI711" s="62">
        <v>-5858.754758157871</v>
      </c>
      <c r="AJ711" s="62">
        <v>-2280.2240572450096</v>
      </c>
      <c r="AK711" s="62">
        <v>-278.93123209876268</v>
      </c>
      <c r="AL711" s="62">
        <v>0</v>
      </c>
      <c r="AM711" s="62">
        <v>0</v>
      </c>
    </row>
    <row r="712" spans="1:39">
      <c r="A712" s="9">
        <v>97837</v>
      </c>
      <c r="B712" s="10" t="s">
        <v>2086</v>
      </c>
      <c r="C712" s="60">
        <v>1.0200000000000001E-5</v>
      </c>
      <c r="E712" s="62">
        <v>2086.0754646633559</v>
      </c>
      <c r="F712" s="62">
        <v>5397.9915816758048</v>
      </c>
      <c r="G712" s="62">
        <v>2721.6744077366266</v>
      </c>
      <c r="H712" s="62">
        <v>-652.52563999999916</v>
      </c>
      <c r="I712" s="62">
        <v>0</v>
      </c>
      <c r="J712" s="62"/>
      <c r="K712" s="62">
        <v>-61.373400000000004</v>
      </c>
      <c r="L712" s="62">
        <v>129.19320000000002</v>
      </c>
      <c r="M712" s="62">
        <v>239.72040000000001</v>
      </c>
      <c r="N712" s="62">
        <v>149.07300000000001</v>
      </c>
      <c r="O712" s="62">
        <v>0</v>
      </c>
      <c r="P712" s="62"/>
      <c r="Q712" s="62">
        <v>224.55300000000003</v>
      </c>
      <c r="R712" s="62">
        <v>3725.4480000000003</v>
      </c>
      <c r="S712" s="62">
        <v>1425.5724</v>
      </c>
      <c r="T712" s="62">
        <v>-1592.0568000000001</v>
      </c>
      <c r="U712" s="62">
        <v>0</v>
      </c>
      <c r="V712" s="62"/>
      <c r="W712" s="62">
        <v>665.82540000000006</v>
      </c>
      <c r="X712" s="62">
        <v>665.82540000000006</v>
      </c>
      <c r="Y712" s="62">
        <v>612.06119999999999</v>
      </c>
      <c r="Z712" s="62">
        <v>281.72399999999999</v>
      </c>
      <c r="AA712" s="62">
        <v>0</v>
      </c>
      <c r="AB712" s="62"/>
      <c r="AC712" s="62">
        <v>1331.9701765975115</v>
      </c>
      <c r="AD712" s="62">
        <v>952.4246936099596</v>
      </c>
      <c r="AE712" s="62">
        <v>508.73416000000088</v>
      </c>
      <c r="AF712" s="62">
        <v>508.73416000000088</v>
      </c>
      <c r="AG712" s="62">
        <v>0</v>
      </c>
      <c r="AH712" s="62"/>
      <c r="AI712" s="62">
        <v>-74.899711934155789</v>
      </c>
      <c r="AJ712" s="62">
        <v>-74.899711934155789</v>
      </c>
      <c r="AK712" s="62">
        <v>-64.413752263374008</v>
      </c>
      <c r="AL712" s="62">
        <v>0</v>
      </c>
      <c r="AM712" s="62">
        <v>0</v>
      </c>
    </row>
    <row r="713" spans="1:39">
      <c r="A713" s="9">
        <v>97840</v>
      </c>
      <c r="B713" s="10" t="s">
        <v>2087</v>
      </c>
      <c r="C713" s="60">
        <v>1.3190000000000001E-4</v>
      </c>
      <c r="E713" s="62">
        <v>37803.148120416976</v>
      </c>
      <c r="F713" s="62">
        <v>84226.836657097476</v>
      </c>
      <c r="G713" s="62">
        <v>43819.932780987656</v>
      </c>
      <c r="H713" s="62">
        <v>-6978.4681400000063</v>
      </c>
      <c r="I713" s="62">
        <v>0</v>
      </c>
      <c r="J713" s="62"/>
      <c r="K713" s="62">
        <v>-793.64230000000009</v>
      </c>
      <c r="L713" s="62">
        <v>1670.6454000000001</v>
      </c>
      <c r="M713" s="62">
        <v>3099.9138000000003</v>
      </c>
      <c r="N713" s="62">
        <v>1927.7185000000002</v>
      </c>
      <c r="O713" s="62">
        <v>0</v>
      </c>
      <c r="P713" s="62"/>
      <c r="Q713" s="62">
        <v>2903.7785000000003</v>
      </c>
      <c r="R713" s="62">
        <v>48175.156000000003</v>
      </c>
      <c r="S713" s="62">
        <v>18434.607800000002</v>
      </c>
      <c r="T713" s="62">
        <v>-20587.479600000002</v>
      </c>
      <c r="U713" s="62">
        <v>0</v>
      </c>
      <c r="V713" s="62"/>
      <c r="W713" s="62">
        <v>8610.0362999999998</v>
      </c>
      <c r="X713" s="62">
        <v>8610.0362999999998</v>
      </c>
      <c r="Y713" s="62">
        <v>7914.7914000000001</v>
      </c>
      <c r="Z713" s="62">
        <v>3643.0780000000004</v>
      </c>
      <c r="AA713" s="62">
        <v>0</v>
      </c>
      <c r="AB713" s="62"/>
      <c r="AC713" s="62">
        <v>28047.235620416977</v>
      </c>
      <c r="AD713" s="62">
        <v>25770.998957097479</v>
      </c>
      <c r="AE713" s="62">
        <v>14370.619780987654</v>
      </c>
      <c r="AF713" s="62">
        <v>8038.2149599999957</v>
      </c>
      <c r="AG713" s="62">
        <v>0</v>
      </c>
      <c r="AH713" s="62"/>
      <c r="AI713" s="62">
        <v>-964.26000000000022</v>
      </c>
      <c r="AJ713" s="62">
        <v>0</v>
      </c>
      <c r="AK713" s="62">
        <v>0</v>
      </c>
      <c r="AL713" s="62">
        <v>0</v>
      </c>
      <c r="AM713" s="62">
        <v>0</v>
      </c>
    </row>
    <row r="714" spans="1:39">
      <c r="A714" s="9">
        <v>97841</v>
      </c>
      <c r="B714" s="10" t="s">
        <v>2088</v>
      </c>
      <c r="C714" s="60">
        <v>1.31E-5</v>
      </c>
      <c r="E714" s="62">
        <v>-2756.4528033280394</v>
      </c>
      <c r="F714" s="62">
        <v>5696.0602684561945</v>
      </c>
      <c r="G714" s="62">
        <v>2650.2232958847749</v>
      </c>
      <c r="H714" s="62">
        <v>-1643.8194999999996</v>
      </c>
      <c r="I714" s="62">
        <v>0</v>
      </c>
      <c r="J714" s="62"/>
      <c r="K714" s="62">
        <v>-78.822699999999998</v>
      </c>
      <c r="L714" s="62">
        <v>165.9246</v>
      </c>
      <c r="M714" s="62">
        <v>307.87619999999998</v>
      </c>
      <c r="N714" s="62">
        <v>191.45650000000001</v>
      </c>
      <c r="O714" s="62">
        <v>0</v>
      </c>
      <c r="P714" s="62"/>
      <c r="Q714" s="62">
        <v>288.3965</v>
      </c>
      <c r="R714" s="62">
        <v>4784.6440000000002</v>
      </c>
      <c r="S714" s="62">
        <v>1830.8822</v>
      </c>
      <c r="T714" s="62">
        <v>-2044.7003999999999</v>
      </c>
      <c r="U714" s="62">
        <v>0</v>
      </c>
      <c r="V714" s="62"/>
      <c r="W714" s="62">
        <v>855.12869999999998</v>
      </c>
      <c r="X714" s="62">
        <v>855.12869999999998</v>
      </c>
      <c r="Y714" s="62">
        <v>786.07860000000005</v>
      </c>
      <c r="Z714" s="62">
        <v>361.822</v>
      </c>
      <c r="AA714" s="62">
        <v>0</v>
      </c>
      <c r="AB714" s="62"/>
      <c r="AC714" s="62">
        <v>225.4540456431541</v>
      </c>
      <c r="AD714" s="62">
        <v>184.87231742738643</v>
      </c>
      <c r="AE714" s="62">
        <v>0</v>
      </c>
      <c r="AF714" s="62">
        <v>0</v>
      </c>
      <c r="AG714" s="62">
        <v>0</v>
      </c>
      <c r="AH714" s="62"/>
      <c r="AI714" s="62">
        <v>-4046.6093489711934</v>
      </c>
      <c r="AJ714" s="62">
        <v>-294.50934897119248</v>
      </c>
      <c r="AK714" s="62">
        <v>-274.61370411522552</v>
      </c>
      <c r="AL714" s="62">
        <v>-152.39759999999967</v>
      </c>
      <c r="AM714" s="62">
        <v>0</v>
      </c>
    </row>
    <row r="715" spans="1:39">
      <c r="A715" s="9">
        <v>97847</v>
      </c>
      <c r="B715" s="10" t="s">
        <v>2089</v>
      </c>
      <c r="C715" s="60">
        <v>2.0999999999999998E-6</v>
      </c>
      <c r="E715" s="62">
        <v>526.34265768522823</v>
      </c>
      <c r="F715" s="62">
        <v>1346.9575639092945</v>
      </c>
      <c r="G715" s="62">
        <v>815.08116427983566</v>
      </c>
      <c r="H715" s="62">
        <v>3.1161400000002573</v>
      </c>
      <c r="I715" s="62">
        <v>0</v>
      </c>
      <c r="J715" s="62"/>
      <c r="K715" s="62">
        <v>-12.635699999999998</v>
      </c>
      <c r="L715" s="62">
        <v>26.598599999999998</v>
      </c>
      <c r="M715" s="62">
        <v>49.354199999999999</v>
      </c>
      <c r="N715" s="62">
        <v>30.691499999999998</v>
      </c>
      <c r="O715" s="62">
        <v>0</v>
      </c>
      <c r="P715" s="62"/>
      <c r="Q715" s="62">
        <v>46.231499999999997</v>
      </c>
      <c r="R715" s="62">
        <v>767.00399999999991</v>
      </c>
      <c r="S715" s="62">
        <v>293.50019999999995</v>
      </c>
      <c r="T715" s="62">
        <v>-327.77639999999997</v>
      </c>
      <c r="U715" s="62">
        <v>0</v>
      </c>
      <c r="V715" s="62"/>
      <c r="W715" s="62">
        <v>137.08169999999998</v>
      </c>
      <c r="X715" s="62">
        <v>137.08169999999998</v>
      </c>
      <c r="Y715" s="62">
        <v>126.01259999999999</v>
      </c>
      <c r="Z715" s="62">
        <v>58.001999999999995</v>
      </c>
      <c r="AA715" s="62">
        <v>0</v>
      </c>
      <c r="AB715" s="62"/>
      <c r="AC715" s="62">
        <v>427.93515768522821</v>
      </c>
      <c r="AD715" s="62">
        <v>416.2732639092946</v>
      </c>
      <c r="AE715" s="62">
        <v>346.2141642798357</v>
      </c>
      <c r="AF715" s="62">
        <v>242.1990400000002</v>
      </c>
      <c r="AG715" s="62">
        <v>0</v>
      </c>
      <c r="AH715" s="62"/>
      <c r="AI715" s="62">
        <v>-72.27000000000001</v>
      </c>
      <c r="AJ715" s="62">
        <v>0</v>
      </c>
      <c r="AK715" s="62">
        <v>0</v>
      </c>
      <c r="AL715" s="62">
        <v>0</v>
      </c>
      <c r="AM715" s="62">
        <v>0</v>
      </c>
    </row>
    <row r="716" spans="1:39">
      <c r="A716" s="9">
        <v>97851</v>
      </c>
      <c r="B716" s="10" t="s">
        <v>2090</v>
      </c>
      <c r="C716" s="60">
        <v>2.7799999999999998E-4</v>
      </c>
      <c r="E716" s="62">
        <v>20068.153060931974</v>
      </c>
      <c r="F716" s="62">
        <v>119328.02618474938</v>
      </c>
      <c r="G716" s="62">
        <v>58883.912049218081</v>
      </c>
      <c r="H716" s="62">
        <v>-33323.539280000019</v>
      </c>
      <c r="I716" s="62">
        <v>0</v>
      </c>
      <c r="J716" s="62"/>
      <c r="K716" s="62">
        <v>-1672.7259999999999</v>
      </c>
      <c r="L716" s="62">
        <v>3521.1479999999997</v>
      </c>
      <c r="M716" s="62">
        <v>6533.5559999999996</v>
      </c>
      <c r="N716" s="62">
        <v>4062.97</v>
      </c>
      <c r="O716" s="62">
        <v>0</v>
      </c>
      <c r="P716" s="62"/>
      <c r="Q716" s="62">
        <v>6120.1699999999992</v>
      </c>
      <c r="R716" s="62">
        <v>101536.71999999999</v>
      </c>
      <c r="S716" s="62">
        <v>38853.835999999996</v>
      </c>
      <c r="T716" s="62">
        <v>-43391.351999999999</v>
      </c>
      <c r="U716" s="62">
        <v>0</v>
      </c>
      <c r="V716" s="62"/>
      <c r="W716" s="62">
        <v>18147.005999999998</v>
      </c>
      <c r="X716" s="62">
        <v>18147.005999999998</v>
      </c>
      <c r="Y716" s="62">
        <v>16681.667999999998</v>
      </c>
      <c r="Z716" s="62">
        <v>7678.36</v>
      </c>
      <c r="AA716" s="62">
        <v>0</v>
      </c>
      <c r="AB716" s="62"/>
      <c r="AC716" s="62">
        <v>1448.3700000000003</v>
      </c>
      <c r="AD716" s="62">
        <v>0</v>
      </c>
      <c r="AE716" s="62">
        <v>0</v>
      </c>
      <c r="AF716" s="62">
        <v>0</v>
      </c>
      <c r="AG716" s="62">
        <v>0</v>
      </c>
      <c r="AH716" s="62"/>
      <c r="AI716" s="62">
        <v>-3974.6669390680227</v>
      </c>
      <c r="AJ716" s="62">
        <v>-3876.8478152505963</v>
      </c>
      <c r="AK716" s="62">
        <v>-3185.1479507819099</v>
      </c>
      <c r="AL716" s="62">
        <v>-1673.5172800000232</v>
      </c>
      <c r="AM716" s="62">
        <v>0</v>
      </c>
    </row>
    <row r="717" spans="1:39">
      <c r="A717" s="9">
        <v>97853</v>
      </c>
      <c r="B717" s="10" t="s">
        <v>2091</v>
      </c>
      <c r="C717" s="60">
        <v>1.0289999999999999E-4</v>
      </c>
      <c r="E717" s="62">
        <v>8780.7480042870066</v>
      </c>
      <c r="F717" s="62">
        <v>44617.265849930161</v>
      </c>
      <c r="G717" s="62">
        <v>21297.416146337444</v>
      </c>
      <c r="H717" s="62">
        <v>-10460.346980000002</v>
      </c>
      <c r="I717" s="62">
        <v>0</v>
      </c>
      <c r="J717" s="62"/>
      <c r="K717" s="62">
        <v>-619.14929999999993</v>
      </c>
      <c r="L717" s="62">
        <v>1303.3314</v>
      </c>
      <c r="M717" s="62">
        <v>2418.3557999999998</v>
      </c>
      <c r="N717" s="62">
        <v>1503.8834999999999</v>
      </c>
      <c r="O717" s="62">
        <v>0</v>
      </c>
      <c r="P717" s="62"/>
      <c r="Q717" s="62">
        <v>2265.3434999999999</v>
      </c>
      <c r="R717" s="62">
        <v>37583.195999999996</v>
      </c>
      <c r="S717" s="62">
        <v>14381.5098</v>
      </c>
      <c r="T717" s="62">
        <v>-16061.043599999999</v>
      </c>
      <c r="U717" s="62">
        <v>0</v>
      </c>
      <c r="V717" s="62"/>
      <c r="W717" s="62">
        <v>6717.0032999999994</v>
      </c>
      <c r="X717" s="62">
        <v>6717.0032999999994</v>
      </c>
      <c r="Y717" s="62">
        <v>6174.6174000000001</v>
      </c>
      <c r="Z717" s="62">
        <v>2842.098</v>
      </c>
      <c r="AA717" s="62">
        <v>0</v>
      </c>
      <c r="AB717" s="62"/>
      <c r="AC717" s="62">
        <v>3826.5993108713697</v>
      </c>
      <c r="AD717" s="62">
        <v>2422.7839565145227</v>
      </c>
      <c r="AE717" s="62">
        <v>1254.7151199999978</v>
      </c>
      <c r="AF717" s="62">
        <v>1254.7151199999978</v>
      </c>
      <c r="AG717" s="62">
        <v>0</v>
      </c>
      <c r="AH717" s="62"/>
      <c r="AI717" s="62">
        <v>-3409.048806584362</v>
      </c>
      <c r="AJ717" s="62">
        <v>-3409.048806584362</v>
      </c>
      <c r="AK717" s="62">
        <v>-2931.7819736625524</v>
      </c>
      <c r="AL717" s="62">
        <v>0</v>
      </c>
      <c r="AM717" s="62">
        <v>0</v>
      </c>
    </row>
    <row r="718" spans="1:39">
      <c r="A718" s="9">
        <v>97861</v>
      </c>
      <c r="B718" s="10" t="s">
        <v>2092</v>
      </c>
      <c r="C718" s="60">
        <v>6.7000000000000002E-5</v>
      </c>
      <c r="E718" s="62">
        <v>1754.8361206837171</v>
      </c>
      <c r="F718" s="62">
        <v>29273.675525331022</v>
      </c>
      <c r="G718" s="62">
        <v>13785.940069547334</v>
      </c>
      <c r="H718" s="62">
        <v>-8527.6277999999947</v>
      </c>
      <c r="I718" s="62">
        <v>0</v>
      </c>
      <c r="J718" s="62"/>
      <c r="K718" s="62">
        <v>-403.13900000000001</v>
      </c>
      <c r="L718" s="62">
        <v>848.62200000000007</v>
      </c>
      <c r="M718" s="62">
        <v>1574.634</v>
      </c>
      <c r="N718" s="62">
        <v>979.20500000000004</v>
      </c>
      <c r="O718" s="62">
        <v>0</v>
      </c>
      <c r="P718" s="62"/>
      <c r="Q718" s="62">
        <v>1475.0050000000001</v>
      </c>
      <c r="R718" s="62">
        <v>24471.08</v>
      </c>
      <c r="S718" s="62">
        <v>9364.0540000000001</v>
      </c>
      <c r="T718" s="62">
        <v>-10457.628000000001</v>
      </c>
      <c r="U718" s="62">
        <v>0</v>
      </c>
      <c r="V718" s="62"/>
      <c r="W718" s="62">
        <v>4373.5590000000002</v>
      </c>
      <c r="X718" s="62">
        <v>4373.5590000000002</v>
      </c>
      <c r="Y718" s="62">
        <v>4020.402</v>
      </c>
      <c r="Z718" s="62">
        <v>1850.54</v>
      </c>
      <c r="AA718" s="62">
        <v>0</v>
      </c>
      <c r="AB718" s="62"/>
      <c r="AC718" s="62">
        <v>973.25886307053941</v>
      </c>
      <c r="AD718" s="62">
        <v>798.07226771784258</v>
      </c>
      <c r="AE718" s="62">
        <v>0</v>
      </c>
      <c r="AF718" s="62">
        <v>0</v>
      </c>
      <c r="AG718" s="62">
        <v>0</v>
      </c>
      <c r="AH718" s="62"/>
      <c r="AI718" s="62">
        <v>-4663.8477423868226</v>
      </c>
      <c r="AJ718" s="62">
        <v>-1217.6577423868212</v>
      </c>
      <c r="AK718" s="62">
        <v>-1173.1499304526656</v>
      </c>
      <c r="AL718" s="62">
        <v>-899.7447999999938</v>
      </c>
      <c r="AM718" s="62">
        <v>0</v>
      </c>
    </row>
    <row r="719" spans="1:39">
      <c r="A719" s="9">
        <v>97871</v>
      </c>
      <c r="B719" s="10" t="s">
        <v>2093</v>
      </c>
      <c r="C719" s="60">
        <v>2.9930000000000001E-4</v>
      </c>
      <c r="E719" s="62">
        <v>103666.09167434217</v>
      </c>
      <c r="F719" s="62">
        <v>200326.04988147912</v>
      </c>
      <c r="G719" s="62">
        <v>112327.27063292183</v>
      </c>
      <c r="H719" s="62">
        <v>-9456.577699999998</v>
      </c>
      <c r="I719" s="62">
        <v>0</v>
      </c>
      <c r="J719" s="62"/>
      <c r="K719" s="62">
        <v>-1800.8881000000001</v>
      </c>
      <c r="L719" s="62">
        <v>3790.9338000000002</v>
      </c>
      <c r="M719" s="62">
        <v>7034.1486000000004</v>
      </c>
      <c r="N719" s="62">
        <v>4374.2695000000003</v>
      </c>
      <c r="O719" s="62">
        <v>0</v>
      </c>
      <c r="P719" s="62"/>
      <c r="Q719" s="62">
        <v>6589.0895</v>
      </c>
      <c r="R719" s="62">
        <v>109316.33200000001</v>
      </c>
      <c r="S719" s="62">
        <v>41830.766600000003</v>
      </c>
      <c r="T719" s="62">
        <v>-46715.941200000001</v>
      </c>
      <c r="U719" s="62">
        <v>0</v>
      </c>
      <c r="V719" s="62"/>
      <c r="W719" s="62">
        <v>19537.4061</v>
      </c>
      <c r="X719" s="62">
        <v>19537.4061</v>
      </c>
      <c r="Y719" s="62">
        <v>17959.7958</v>
      </c>
      <c r="Z719" s="62">
        <v>8266.6660000000011</v>
      </c>
      <c r="AA719" s="62">
        <v>0</v>
      </c>
      <c r="AB719" s="62"/>
      <c r="AC719" s="62">
        <v>79340.484174342171</v>
      </c>
      <c r="AD719" s="62">
        <v>67681.377981479105</v>
      </c>
      <c r="AE719" s="62">
        <v>45502.559632921824</v>
      </c>
      <c r="AF719" s="62">
        <v>24618.427999999996</v>
      </c>
      <c r="AG719" s="62">
        <v>0</v>
      </c>
      <c r="AH719" s="62"/>
      <c r="AI719" s="62">
        <v>0</v>
      </c>
      <c r="AJ719" s="62">
        <v>0</v>
      </c>
      <c r="AK719" s="62">
        <v>0</v>
      </c>
      <c r="AL719" s="62">
        <v>0</v>
      </c>
      <c r="AM719" s="62">
        <v>0</v>
      </c>
    </row>
    <row r="720" spans="1:39">
      <c r="A720" s="9">
        <v>97877</v>
      </c>
      <c r="B720" s="10" t="s">
        <v>2094</v>
      </c>
      <c r="C720" s="60">
        <v>1.9E-6</v>
      </c>
      <c r="E720" s="62">
        <v>801.20778544507641</v>
      </c>
      <c r="F720" s="62">
        <v>1310.0942775612589</v>
      </c>
      <c r="G720" s="62">
        <v>751.2305445267491</v>
      </c>
      <c r="H720" s="62">
        <v>-20.230059999999838</v>
      </c>
      <c r="I720" s="62">
        <v>0</v>
      </c>
      <c r="J720" s="62"/>
      <c r="K720" s="62">
        <v>-11.4323</v>
      </c>
      <c r="L720" s="62">
        <v>24.0654</v>
      </c>
      <c r="M720" s="62">
        <v>44.653800000000004</v>
      </c>
      <c r="N720" s="62">
        <v>27.7685</v>
      </c>
      <c r="O720" s="62">
        <v>0</v>
      </c>
      <c r="P720" s="62"/>
      <c r="Q720" s="62">
        <v>41.828499999999998</v>
      </c>
      <c r="R720" s="62">
        <v>693.95600000000002</v>
      </c>
      <c r="S720" s="62">
        <v>265.5478</v>
      </c>
      <c r="T720" s="62">
        <v>-296.55959999999999</v>
      </c>
      <c r="U720" s="62">
        <v>0</v>
      </c>
      <c r="V720" s="62"/>
      <c r="W720" s="62">
        <v>124.02630000000001</v>
      </c>
      <c r="X720" s="62">
        <v>124.02630000000001</v>
      </c>
      <c r="Y720" s="62">
        <v>114.01139999999999</v>
      </c>
      <c r="Z720" s="62">
        <v>52.478000000000002</v>
      </c>
      <c r="AA720" s="62">
        <v>0</v>
      </c>
      <c r="AB720" s="62"/>
      <c r="AC720" s="62">
        <v>646.7852854450764</v>
      </c>
      <c r="AD720" s="62">
        <v>468.04657756125891</v>
      </c>
      <c r="AE720" s="62">
        <v>327.01754452674913</v>
      </c>
      <c r="AF720" s="62">
        <v>196.08304000000012</v>
      </c>
      <c r="AG720" s="62">
        <v>0</v>
      </c>
      <c r="AH720" s="62"/>
      <c r="AI720" s="62">
        <v>0</v>
      </c>
      <c r="AJ720" s="62">
        <v>0</v>
      </c>
      <c r="AK720" s="62">
        <v>0</v>
      </c>
      <c r="AL720" s="62">
        <v>0</v>
      </c>
      <c r="AM720" s="62">
        <v>0</v>
      </c>
    </row>
    <row r="721" spans="1:39">
      <c r="A721" s="9">
        <v>97901</v>
      </c>
      <c r="B721" s="10" t="s">
        <v>2095</v>
      </c>
      <c r="C721" s="60">
        <v>4.2658000000000001E-3</v>
      </c>
      <c r="E721" s="62">
        <v>381721.12463867472</v>
      </c>
      <c r="F721" s="62">
        <v>1912560.177963654</v>
      </c>
      <c r="G721" s="62">
        <v>958413.4783013165</v>
      </c>
      <c r="H721" s="62">
        <v>-475198.93076000031</v>
      </c>
      <c r="I721" s="62">
        <v>0</v>
      </c>
      <c r="J721" s="62"/>
      <c r="K721" s="62">
        <v>-25667.318600000002</v>
      </c>
      <c r="L721" s="62">
        <v>54030.622800000005</v>
      </c>
      <c r="M721" s="62">
        <v>100254.8316</v>
      </c>
      <c r="N721" s="62">
        <v>62344.667000000001</v>
      </c>
      <c r="O721" s="62">
        <v>0</v>
      </c>
      <c r="P721" s="62"/>
      <c r="Q721" s="62">
        <v>93911.587</v>
      </c>
      <c r="R721" s="62">
        <v>1558040.7920000001</v>
      </c>
      <c r="S721" s="62">
        <v>596196.73959999997</v>
      </c>
      <c r="T721" s="62">
        <v>-665823.12719999999</v>
      </c>
      <c r="U721" s="62">
        <v>0</v>
      </c>
      <c r="V721" s="62"/>
      <c r="W721" s="62">
        <v>278458.62660000002</v>
      </c>
      <c r="X721" s="62">
        <v>278458.62660000002</v>
      </c>
      <c r="Y721" s="62">
        <v>255973.59480000002</v>
      </c>
      <c r="Z721" s="62">
        <v>117821.39600000001</v>
      </c>
      <c r="AA721" s="62">
        <v>0</v>
      </c>
      <c r="AB721" s="62"/>
      <c r="AC721" s="62">
        <v>40215.696079003916</v>
      </c>
      <c r="AD721" s="62">
        <v>27227.60300398316</v>
      </c>
      <c r="AE721" s="62">
        <v>10458.133439999678</v>
      </c>
      <c r="AF721" s="62">
        <v>10458.133439999678</v>
      </c>
      <c r="AG721" s="62">
        <v>0</v>
      </c>
      <c r="AH721" s="62"/>
      <c r="AI721" s="62">
        <v>-5197.4664403292354</v>
      </c>
      <c r="AJ721" s="62">
        <v>-5197.4664403292354</v>
      </c>
      <c r="AK721" s="62">
        <v>-4469.8211386831445</v>
      </c>
      <c r="AL721" s="62">
        <v>0</v>
      </c>
      <c r="AM721" s="62">
        <v>0</v>
      </c>
    </row>
    <row r="722" spans="1:39">
      <c r="A722" s="9">
        <v>97911</v>
      </c>
      <c r="B722" s="10" t="s">
        <v>2096</v>
      </c>
      <c r="C722" s="60">
        <v>1.3005E-3</v>
      </c>
      <c r="E722" s="62">
        <v>116168.74737299829</v>
      </c>
      <c r="F722" s="62">
        <v>576882.19268652517</v>
      </c>
      <c r="G722" s="62">
        <v>281956.60558518517</v>
      </c>
      <c r="H722" s="62">
        <v>-147916.2877000001</v>
      </c>
      <c r="I722" s="62">
        <v>0</v>
      </c>
      <c r="J722" s="62"/>
      <c r="K722" s="62">
        <v>-7825.1085000000003</v>
      </c>
      <c r="L722" s="62">
        <v>16472.133000000002</v>
      </c>
      <c r="M722" s="62">
        <v>30564.350999999999</v>
      </c>
      <c r="N722" s="62">
        <v>19006.807499999999</v>
      </c>
      <c r="O722" s="62">
        <v>0</v>
      </c>
      <c r="P722" s="62"/>
      <c r="Q722" s="62">
        <v>28630.5075</v>
      </c>
      <c r="R722" s="62">
        <v>474994.62</v>
      </c>
      <c r="S722" s="62">
        <v>181760.481</v>
      </c>
      <c r="T722" s="62">
        <v>-202987.242</v>
      </c>
      <c r="U722" s="62">
        <v>0</v>
      </c>
      <c r="V722" s="62"/>
      <c r="W722" s="62">
        <v>84892.738500000007</v>
      </c>
      <c r="X722" s="62">
        <v>84892.738500000007</v>
      </c>
      <c r="Y722" s="62">
        <v>78037.803</v>
      </c>
      <c r="Z722" s="62">
        <v>35919.81</v>
      </c>
      <c r="AA722" s="62">
        <v>0</v>
      </c>
      <c r="AB722" s="62"/>
      <c r="AC722" s="62">
        <v>20412.896169294516</v>
      </c>
      <c r="AD722" s="62">
        <v>10464.987482821487</v>
      </c>
      <c r="AE722" s="62">
        <v>144.33679999990864</v>
      </c>
      <c r="AF722" s="62">
        <v>144.33679999990864</v>
      </c>
      <c r="AG722" s="62">
        <v>0</v>
      </c>
      <c r="AH722" s="62"/>
      <c r="AI722" s="62">
        <v>-9942.286296296239</v>
      </c>
      <c r="AJ722" s="62">
        <v>-9942.286296296239</v>
      </c>
      <c r="AK722" s="62">
        <v>-8550.3662148147687</v>
      </c>
      <c r="AL722" s="62">
        <v>0</v>
      </c>
      <c r="AM722" s="62">
        <v>0</v>
      </c>
    </row>
    <row r="723" spans="1:39">
      <c r="A723" s="9">
        <v>97913</v>
      </c>
      <c r="B723" s="10" t="s">
        <v>2097</v>
      </c>
      <c r="C723" s="60">
        <v>3.5899999999999998E-5</v>
      </c>
      <c r="E723" s="62">
        <v>8283.491349748816</v>
      </c>
      <c r="F723" s="62">
        <v>20743.81852734218</v>
      </c>
      <c r="G723" s="62">
        <v>11467.71089893004</v>
      </c>
      <c r="H723" s="62">
        <v>-2122.9734200000012</v>
      </c>
      <c r="I723" s="62">
        <v>0</v>
      </c>
      <c r="J723" s="62"/>
      <c r="K723" s="62">
        <v>-216.0103</v>
      </c>
      <c r="L723" s="62">
        <v>454.70939999999996</v>
      </c>
      <c r="M723" s="62">
        <v>843.72179999999992</v>
      </c>
      <c r="N723" s="62">
        <v>524.67849999999999</v>
      </c>
      <c r="O723" s="62">
        <v>0</v>
      </c>
      <c r="P723" s="62"/>
      <c r="Q723" s="62">
        <v>790.33849999999995</v>
      </c>
      <c r="R723" s="62">
        <v>13112.116</v>
      </c>
      <c r="S723" s="62">
        <v>5017.4557999999997</v>
      </c>
      <c r="T723" s="62">
        <v>-5603.4155999999994</v>
      </c>
      <c r="U723" s="62">
        <v>0</v>
      </c>
      <c r="V723" s="62"/>
      <c r="W723" s="62">
        <v>2343.4443000000001</v>
      </c>
      <c r="X723" s="62">
        <v>2343.4443000000001</v>
      </c>
      <c r="Y723" s="62">
        <v>2154.2154</v>
      </c>
      <c r="Z723" s="62">
        <v>991.55799999999999</v>
      </c>
      <c r="AA723" s="62">
        <v>0</v>
      </c>
      <c r="AB723" s="62"/>
      <c r="AC723" s="62">
        <v>5365.7188497488169</v>
      </c>
      <c r="AD723" s="62">
        <v>4833.5488273421788</v>
      </c>
      <c r="AE723" s="62">
        <v>3452.3178989300404</v>
      </c>
      <c r="AF723" s="62">
        <v>1964.2056799999982</v>
      </c>
      <c r="AG723" s="62">
        <v>0</v>
      </c>
      <c r="AH723" s="62"/>
      <c r="AI723" s="62">
        <v>0</v>
      </c>
      <c r="AJ723" s="62">
        <v>0</v>
      </c>
      <c r="AK723" s="62">
        <v>0</v>
      </c>
      <c r="AL723" s="62">
        <v>0</v>
      </c>
      <c r="AM723" s="62">
        <v>0</v>
      </c>
    </row>
    <row r="724" spans="1:39">
      <c r="A724" s="9">
        <v>97917</v>
      </c>
      <c r="B724" s="10" t="s">
        <v>2098</v>
      </c>
      <c r="C724" s="60">
        <v>2.0999999999999999E-5</v>
      </c>
      <c r="E724" s="62">
        <v>4865.3993360428931</v>
      </c>
      <c r="F724" s="62">
        <v>11468.251389984802</v>
      </c>
      <c r="G724" s="62">
        <v>6222.6260126748966</v>
      </c>
      <c r="H724" s="62">
        <v>-1434.1156400000007</v>
      </c>
      <c r="I724" s="62">
        <v>0</v>
      </c>
      <c r="J724" s="62"/>
      <c r="K724" s="62">
        <v>-126.357</v>
      </c>
      <c r="L724" s="62">
        <v>265.98599999999999</v>
      </c>
      <c r="M724" s="62">
        <v>493.54199999999997</v>
      </c>
      <c r="N724" s="62">
        <v>306.91499999999996</v>
      </c>
      <c r="O724" s="62">
        <v>0</v>
      </c>
      <c r="P724" s="62"/>
      <c r="Q724" s="62">
        <v>462.315</v>
      </c>
      <c r="R724" s="62">
        <v>7670.04</v>
      </c>
      <c r="S724" s="62">
        <v>2935.002</v>
      </c>
      <c r="T724" s="62">
        <v>-3277.7639999999997</v>
      </c>
      <c r="U724" s="62">
        <v>0</v>
      </c>
      <c r="V724" s="62"/>
      <c r="W724" s="62">
        <v>1370.817</v>
      </c>
      <c r="X724" s="62">
        <v>1370.817</v>
      </c>
      <c r="Y724" s="62">
        <v>1260.126</v>
      </c>
      <c r="Z724" s="62">
        <v>580.02</v>
      </c>
      <c r="AA724" s="62">
        <v>0</v>
      </c>
      <c r="AB724" s="62"/>
      <c r="AC724" s="62">
        <v>3158.624336042893</v>
      </c>
      <c r="AD724" s="62">
        <v>2161.4083899848019</v>
      </c>
      <c r="AE724" s="62">
        <v>1533.9560126748966</v>
      </c>
      <c r="AF724" s="62">
        <v>956.71335999999906</v>
      </c>
      <c r="AG724" s="62">
        <v>0</v>
      </c>
      <c r="AH724" s="62"/>
      <c r="AI724" s="62">
        <v>0</v>
      </c>
      <c r="AJ724" s="62">
        <v>0</v>
      </c>
      <c r="AK724" s="62">
        <v>0</v>
      </c>
      <c r="AL724" s="62">
        <v>0</v>
      </c>
      <c r="AM724" s="62">
        <v>0</v>
      </c>
    </row>
    <row r="725" spans="1:39">
      <c r="A725" s="9">
        <v>97921</v>
      </c>
      <c r="B725" s="10" t="s">
        <v>2099</v>
      </c>
      <c r="C725" s="60">
        <v>2.1699999999999999E-4</v>
      </c>
      <c r="E725" s="62">
        <v>20893.697671306469</v>
      </c>
      <c r="F725" s="62">
        <v>99871.229712634275</v>
      </c>
      <c r="G725" s="62">
        <v>47141.036429711938</v>
      </c>
      <c r="H725" s="62">
        <v>-24784.681559999986</v>
      </c>
      <c r="I725" s="62">
        <v>0</v>
      </c>
      <c r="J725" s="62"/>
      <c r="K725" s="62">
        <v>-1305.6889999999999</v>
      </c>
      <c r="L725" s="62">
        <v>2748.5219999999999</v>
      </c>
      <c r="M725" s="62">
        <v>5099.9340000000002</v>
      </c>
      <c r="N725" s="62">
        <v>3171.4549999999999</v>
      </c>
      <c r="O725" s="62">
        <v>0</v>
      </c>
      <c r="P725" s="62"/>
      <c r="Q725" s="62">
        <v>4777.2550000000001</v>
      </c>
      <c r="R725" s="62">
        <v>79257.08</v>
      </c>
      <c r="S725" s="62">
        <v>30328.353999999999</v>
      </c>
      <c r="T725" s="62">
        <v>-33870.227999999996</v>
      </c>
      <c r="U725" s="62">
        <v>0</v>
      </c>
      <c r="V725" s="62"/>
      <c r="W725" s="62">
        <v>14165.108999999999</v>
      </c>
      <c r="X725" s="62">
        <v>14165.108999999999</v>
      </c>
      <c r="Y725" s="62">
        <v>13021.302</v>
      </c>
      <c r="Z725" s="62">
        <v>5993.54</v>
      </c>
      <c r="AA725" s="62">
        <v>0</v>
      </c>
      <c r="AB725" s="62"/>
      <c r="AC725" s="62">
        <v>6352.6331037344435</v>
      </c>
      <c r="AD725" s="62">
        <v>5209.1591450622454</v>
      </c>
      <c r="AE725" s="62">
        <v>0</v>
      </c>
      <c r="AF725" s="62">
        <v>0</v>
      </c>
      <c r="AG725" s="62">
        <v>0</v>
      </c>
      <c r="AH725" s="62"/>
      <c r="AI725" s="62">
        <v>-3095.6104324279727</v>
      </c>
      <c r="AJ725" s="62">
        <v>-1508.6404324279724</v>
      </c>
      <c r="AK725" s="62">
        <v>-1308.5535702880557</v>
      </c>
      <c r="AL725" s="62">
        <v>-79.448559999992654</v>
      </c>
      <c r="AM725" s="62">
        <v>0</v>
      </c>
    </row>
    <row r="726" spans="1:39">
      <c r="A726" s="9">
        <v>97931</v>
      </c>
      <c r="B726" s="10" t="s">
        <v>2100</v>
      </c>
      <c r="C726" s="60">
        <v>7.0199999999999999E-5</v>
      </c>
      <c r="E726" s="62">
        <v>7877.0354705797117</v>
      </c>
      <c r="F726" s="62">
        <v>37462.391473401287</v>
      </c>
      <c r="G726" s="62">
        <v>16436.752099423866</v>
      </c>
      <c r="H726" s="62">
        <v>-6608.3966799999998</v>
      </c>
      <c r="I726" s="62">
        <v>0</v>
      </c>
      <c r="J726" s="62"/>
      <c r="K726" s="62">
        <v>-422.39339999999999</v>
      </c>
      <c r="L726" s="62">
        <v>889.15319999999997</v>
      </c>
      <c r="M726" s="62">
        <v>1649.8404</v>
      </c>
      <c r="N726" s="62">
        <v>1025.973</v>
      </c>
      <c r="O726" s="62">
        <v>0</v>
      </c>
      <c r="P726" s="62"/>
      <c r="Q726" s="62">
        <v>1545.453</v>
      </c>
      <c r="R726" s="62">
        <v>25639.847999999998</v>
      </c>
      <c r="S726" s="62">
        <v>9811.2924000000003</v>
      </c>
      <c r="T726" s="62">
        <v>-10957.096799999999</v>
      </c>
      <c r="U726" s="62">
        <v>0</v>
      </c>
      <c r="V726" s="62"/>
      <c r="W726" s="62">
        <v>4582.4453999999996</v>
      </c>
      <c r="X726" s="62">
        <v>4582.4453999999996</v>
      </c>
      <c r="Y726" s="62">
        <v>4212.4211999999998</v>
      </c>
      <c r="Z726" s="62">
        <v>1938.924</v>
      </c>
      <c r="AA726" s="62">
        <v>0</v>
      </c>
      <c r="AB726" s="62"/>
      <c r="AC726" s="62">
        <v>8321.3342154356833</v>
      </c>
      <c r="AD726" s="62">
        <v>7072.578618257262</v>
      </c>
      <c r="AE726" s="62">
        <v>1383.8031199999998</v>
      </c>
      <c r="AF726" s="62">
        <v>1383.8031199999998</v>
      </c>
      <c r="AG726" s="62">
        <v>0</v>
      </c>
      <c r="AH726" s="62"/>
      <c r="AI726" s="62">
        <v>-6149.8037448559708</v>
      </c>
      <c r="AJ726" s="62">
        <v>-721.63374485597001</v>
      </c>
      <c r="AK726" s="62">
        <v>-620.60502057613439</v>
      </c>
      <c r="AL726" s="62">
        <v>0</v>
      </c>
      <c r="AM726" s="62">
        <v>0</v>
      </c>
    </row>
    <row r="727" spans="1:39">
      <c r="A727" s="9">
        <v>97941</v>
      </c>
      <c r="B727" s="10" t="s">
        <v>2101</v>
      </c>
      <c r="C727" s="60">
        <v>2.0479999999999999E-4</v>
      </c>
      <c r="E727" s="62">
        <v>23647.550586535504</v>
      </c>
      <c r="F727" s="62">
        <v>96407.666606203537</v>
      </c>
      <c r="G727" s="62">
        <v>44368.499250123423</v>
      </c>
      <c r="H727" s="62">
        <v>-25503.458640000019</v>
      </c>
      <c r="I727" s="62">
        <v>0</v>
      </c>
      <c r="J727" s="62"/>
      <c r="K727" s="62">
        <v>-1232.2816</v>
      </c>
      <c r="L727" s="62">
        <v>2593.9967999999999</v>
      </c>
      <c r="M727" s="62">
        <v>4813.2096000000001</v>
      </c>
      <c r="N727" s="62">
        <v>2993.152</v>
      </c>
      <c r="O727" s="62">
        <v>0</v>
      </c>
      <c r="P727" s="62"/>
      <c r="Q727" s="62">
        <v>4508.6719999999996</v>
      </c>
      <c r="R727" s="62">
        <v>74801.152000000002</v>
      </c>
      <c r="S727" s="62">
        <v>28623.257599999997</v>
      </c>
      <c r="T727" s="62">
        <v>-31966.003199999999</v>
      </c>
      <c r="U727" s="62">
        <v>0</v>
      </c>
      <c r="V727" s="62"/>
      <c r="W727" s="62">
        <v>13368.729599999999</v>
      </c>
      <c r="X727" s="62">
        <v>13368.729599999999</v>
      </c>
      <c r="Y727" s="62">
        <v>12289.228799999999</v>
      </c>
      <c r="Z727" s="62">
        <v>5656.576</v>
      </c>
      <c r="AA727" s="62">
        <v>0</v>
      </c>
      <c r="AB727" s="62"/>
      <c r="AC727" s="62">
        <v>9338.114026535528</v>
      </c>
      <c r="AD727" s="62">
        <v>7830.9716462035776</v>
      </c>
      <c r="AE727" s="62">
        <v>829.98669012345101</v>
      </c>
      <c r="AF727" s="62">
        <v>0</v>
      </c>
      <c r="AG727" s="62">
        <v>0</v>
      </c>
      <c r="AH727" s="62"/>
      <c r="AI727" s="62">
        <v>-2335.6834400000221</v>
      </c>
      <c r="AJ727" s="62">
        <v>-2187.1834400000221</v>
      </c>
      <c r="AK727" s="62">
        <v>-2187.1834400000221</v>
      </c>
      <c r="AL727" s="62">
        <v>-2187.1834400000221</v>
      </c>
      <c r="AM727" s="62">
        <v>0</v>
      </c>
    </row>
    <row r="728" spans="1:39">
      <c r="A728" s="9">
        <v>97947</v>
      </c>
      <c r="B728" s="10" t="s">
        <v>2102</v>
      </c>
      <c r="C728" s="60">
        <v>1.3900000000000001E-5</v>
      </c>
      <c r="E728" s="62">
        <v>4248.70846536721</v>
      </c>
      <c r="F728" s="62">
        <v>9389.2986047862978</v>
      </c>
      <c r="G728" s="62">
        <v>5218.1336069958852</v>
      </c>
      <c r="H728" s="62">
        <v>-832.82150000000047</v>
      </c>
      <c r="I728" s="62">
        <v>0</v>
      </c>
      <c r="J728" s="62"/>
      <c r="K728" s="62">
        <v>-83.636300000000006</v>
      </c>
      <c r="L728" s="62">
        <v>176.0574</v>
      </c>
      <c r="M728" s="62">
        <v>326.67779999999999</v>
      </c>
      <c r="N728" s="62">
        <v>203.14850000000001</v>
      </c>
      <c r="O728" s="62">
        <v>0</v>
      </c>
      <c r="P728" s="62"/>
      <c r="Q728" s="62">
        <v>306.00850000000003</v>
      </c>
      <c r="R728" s="62">
        <v>5076.8360000000002</v>
      </c>
      <c r="S728" s="62">
        <v>1942.6918000000001</v>
      </c>
      <c r="T728" s="62">
        <v>-2169.5676000000003</v>
      </c>
      <c r="U728" s="62">
        <v>0</v>
      </c>
      <c r="V728" s="62"/>
      <c r="W728" s="62">
        <v>907.35030000000006</v>
      </c>
      <c r="X728" s="62">
        <v>907.35030000000006</v>
      </c>
      <c r="Y728" s="62">
        <v>834.0834000000001</v>
      </c>
      <c r="Z728" s="62">
        <v>383.91800000000001</v>
      </c>
      <c r="AA728" s="62">
        <v>0</v>
      </c>
      <c r="AB728" s="62"/>
      <c r="AC728" s="62">
        <v>3424.89596536721</v>
      </c>
      <c r="AD728" s="62">
        <v>3229.0549047862974</v>
      </c>
      <c r="AE728" s="62">
        <v>2114.6806069958848</v>
      </c>
      <c r="AF728" s="62">
        <v>749.67959999999994</v>
      </c>
      <c r="AG728" s="62">
        <v>0</v>
      </c>
      <c r="AH728" s="62"/>
      <c r="AI728" s="62">
        <v>-305.91000000000008</v>
      </c>
      <c r="AJ728" s="62">
        <v>0</v>
      </c>
      <c r="AK728" s="62">
        <v>0</v>
      </c>
      <c r="AL728" s="62">
        <v>0</v>
      </c>
      <c r="AM728" s="62">
        <v>0</v>
      </c>
    </row>
    <row r="729" spans="1:39">
      <c r="A729" s="9">
        <v>97948</v>
      </c>
      <c r="B729" s="10" t="s">
        <v>2103</v>
      </c>
      <c r="C729" s="60">
        <v>2.2099999999999998E-5</v>
      </c>
      <c r="E729" s="62">
        <v>822.16890642248336</v>
      </c>
      <c r="F729" s="62">
        <v>8492.3395047627328</v>
      </c>
      <c r="G729" s="62">
        <v>2846.6276556378584</v>
      </c>
      <c r="H729" s="62">
        <v>-4572.9242599999998</v>
      </c>
      <c r="I729" s="62">
        <v>0</v>
      </c>
      <c r="J729" s="62"/>
      <c r="K729" s="62">
        <v>-132.97569999999999</v>
      </c>
      <c r="L729" s="62">
        <v>279.91859999999997</v>
      </c>
      <c r="M729" s="62">
        <v>519.39419999999996</v>
      </c>
      <c r="N729" s="62">
        <v>322.99149999999997</v>
      </c>
      <c r="O729" s="62">
        <v>0</v>
      </c>
      <c r="P729" s="62"/>
      <c r="Q729" s="62">
        <v>486.53149999999999</v>
      </c>
      <c r="R729" s="62">
        <v>8071.8039999999992</v>
      </c>
      <c r="S729" s="62">
        <v>3088.7401999999997</v>
      </c>
      <c r="T729" s="62">
        <v>-3449.4563999999996</v>
      </c>
      <c r="U729" s="62">
        <v>0</v>
      </c>
      <c r="V729" s="62"/>
      <c r="W729" s="62">
        <v>1442.6216999999999</v>
      </c>
      <c r="X729" s="62">
        <v>1442.6216999999999</v>
      </c>
      <c r="Y729" s="62">
        <v>1326.1325999999999</v>
      </c>
      <c r="Z729" s="62">
        <v>610.40199999999993</v>
      </c>
      <c r="AA729" s="62">
        <v>0</v>
      </c>
      <c r="AB729" s="62"/>
      <c r="AC729" s="62">
        <v>1118.6411203319503</v>
      </c>
      <c r="AD729" s="62">
        <v>790.64491867219965</v>
      </c>
      <c r="AE729" s="62">
        <v>0</v>
      </c>
      <c r="AF729" s="62">
        <v>0</v>
      </c>
      <c r="AG729" s="62">
        <v>0</v>
      </c>
      <c r="AH729" s="62"/>
      <c r="AI729" s="62">
        <v>-2092.6497139094668</v>
      </c>
      <c r="AJ729" s="62">
        <v>-2092.6497139094668</v>
      </c>
      <c r="AK729" s="62">
        <v>-2087.6393443621414</v>
      </c>
      <c r="AL729" s="62">
        <v>-2056.8613600000008</v>
      </c>
      <c r="AM729" s="62">
        <v>0</v>
      </c>
    </row>
    <row r="730" spans="1:39">
      <c r="A730" s="9">
        <v>97951</v>
      </c>
      <c r="B730" s="10" t="s">
        <v>2104</v>
      </c>
      <c r="C730" s="60">
        <v>1.2440999999999999E-3</v>
      </c>
      <c r="E730" s="62">
        <v>105480.8367115587</v>
      </c>
      <c r="F730" s="62">
        <v>561784.77810956689</v>
      </c>
      <c r="G730" s="62">
        <v>283381.45063135796</v>
      </c>
      <c r="H730" s="62">
        <v>-137241.03386</v>
      </c>
      <c r="I730" s="62">
        <v>0</v>
      </c>
      <c r="J730" s="62"/>
      <c r="K730" s="62">
        <v>-7485.7496999999994</v>
      </c>
      <c r="L730" s="62">
        <v>15757.7706</v>
      </c>
      <c r="M730" s="62">
        <v>29238.838199999998</v>
      </c>
      <c r="N730" s="62">
        <v>18182.521499999999</v>
      </c>
      <c r="O730" s="62">
        <v>0</v>
      </c>
      <c r="P730" s="62"/>
      <c r="Q730" s="62">
        <v>27388.861499999999</v>
      </c>
      <c r="R730" s="62">
        <v>454395.08399999997</v>
      </c>
      <c r="S730" s="62">
        <v>173877.90419999999</v>
      </c>
      <c r="T730" s="62">
        <v>-194184.10439999998</v>
      </c>
      <c r="U730" s="62">
        <v>0</v>
      </c>
      <c r="V730" s="62"/>
      <c r="W730" s="62">
        <v>81211.115699999995</v>
      </c>
      <c r="X730" s="62">
        <v>81211.115699999995</v>
      </c>
      <c r="Y730" s="62">
        <v>74653.464599999992</v>
      </c>
      <c r="Z730" s="62">
        <v>34362.042000000001</v>
      </c>
      <c r="AA730" s="62">
        <v>0</v>
      </c>
      <c r="AB730" s="62"/>
      <c r="AC730" s="62">
        <v>11433.229211558706</v>
      </c>
      <c r="AD730" s="62">
        <v>10420.807809567015</v>
      </c>
      <c r="AE730" s="62">
        <v>5611.2436313579501</v>
      </c>
      <c r="AF730" s="62">
        <v>4398.5070399999613</v>
      </c>
      <c r="AG730" s="62">
        <v>0</v>
      </c>
      <c r="AH730" s="62"/>
      <c r="AI730" s="62">
        <v>-7066.6200000000017</v>
      </c>
      <c r="AJ730" s="62">
        <v>0</v>
      </c>
      <c r="AK730" s="62">
        <v>0</v>
      </c>
      <c r="AL730" s="62">
        <v>0</v>
      </c>
      <c r="AM730" s="62">
        <v>0</v>
      </c>
    </row>
    <row r="731" spans="1:39">
      <c r="A731" s="9">
        <v>97957</v>
      </c>
      <c r="B731" s="10" t="s">
        <v>2105</v>
      </c>
      <c r="C731" s="60">
        <v>1.8700000000000001E-5</v>
      </c>
      <c r="E731" s="62">
        <v>2140.538172273622</v>
      </c>
      <c r="F731" s="62">
        <v>9098.6952660495554</v>
      </c>
      <c r="G731" s="62">
        <v>5372.3165158847742</v>
      </c>
      <c r="H731" s="62">
        <v>-1425.3655799999988</v>
      </c>
      <c r="I731" s="62">
        <v>0</v>
      </c>
      <c r="J731" s="62"/>
      <c r="K731" s="62">
        <v>-112.5179</v>
      </c>
      <c r="L731" s="62">
        <v>236.85420000000002</v>
      </c>
      <c r="M731" s="62">
        <v>439.48740000000004</v>
      </c>
      <c r="N731" s="62">
        <v>273.3005</v>
      </c>
      <c r="O731" s="62">
        <v>0</v>
      </c>
      <c r="P731" s="62"/>
      <c r="Q731" s="62">
        <v>411.68049999999999</v>
      </c>
      <c r="R731" s="62">
        <v>6829.9880000000003</v>
      </c>
      <c r="S731" s="62">
        <v>2613.5493999999999</v>
      </c>
      <c r="T731" s="62">
        <v>-2918.7708000000002</v>
      </c>
      <c r="U731" s="62">
        <v>0</v>
      </c>
      <c r="V731" s="62"/>
      <c r="W731" s="62">
        <v>1220.6799000000001</v>
      </c>
      <c r="X731" s="62">
        <v>1220.6799000000001</v>
      </c>
      <c r="Y731" s="62">
        <v>1122.1122</v>
      </c>
      <c r="Z731" s="62">
        <v>516.49400000000003</v>
      </c>
      <c r="AA731" s="62">
        <v>0</v>
      </c>
      <c r="AB731" s="62"/>
      <c r="AC731" s="62">
        <v>1277.5139710288076</v>
      </c>
      <c r="AD731" s="62">
        <v>1277.5139710288076</v>
      </c>
      <c r="AE731" s="62">
        <v>1197.167515884775</v>
      </c>
      <c r="AF731" s="62">
        <v>703.61072000000138</v>
      </c>
      <c r="AG731" s="62">
        <v>0</v>
      </c>
      <c r="AH731" s="62"/>
      <c r="AI731" s="62">
        <v>-656.81829875518611</v>
      </c>
      <c r="AJ731" s="62">
        <v>-466.34080497925277</v>
      </c>
      <c r="AK731" s="62">
        <v>0</v>
      </c>
      <c r="AL731" s="62">
        <v>0</v>
      </c>
      <c r="AM731" s="62">
        <v>0</v>
      </c>
    </row>
    <row r="732" spans="1:39">
      <c r="A732" s="9">
        <v>98001</v>
      </c>
      <c r="B732" s="10" t="s">
        <v>2106</v>
      </c>
      <c r="C732" s="60">
        <v>5.1148000000000001E-3</v>
      </c>
      <c r="E732" s="62">
        <v>496653.68631285307</v>
      </c>
      <c r="F732" s="62">
        <v>2309564.4460147619</v>
      </c>
      <c r="G732" s="62">
        <v>1171430.0115950622</v>
      </c>
      <c r="H732" s="62">
        <v>-553594.81399999955</v>
      </c>
      <c r="I732" s="62">
        <v>0</v>
      </c>
      <c r="J732" s="62"/>
      <c r="K732" s="62">
        <v>-30775.7516</v>
      </c>
      <c r="L732" s="62">
        <v>64784.056799999998</v>
      </c>
      <c r="M732" s="62">
        <v>120208.02960000001</v>
      </c>
      <c r="N732" s="62">
        <v>74752.801999999996</v>
      </c>
      <c r="O732" s="62">
        <v>0</v>
      </c>
      <c r="P732" s="62"/>
      <c r="Q732" s="62">
        <v>112602.322</v>
      </c>
      <c r="R732" s="62">
        <v>1868129.5520000001</v>
      </c>
      <c r="S732" s="62">
        <v>714854.67760000005</v>
      </c>
      <c r="T732" s="62">
        <v>-798338.44319999998</v>
      </c>
      <c r="U732" s="62">
        <v>0</v>
      </c>
      <c r="V732" s="62"/>
      <c r="W732" s="62">
        <v>333878.79960000003</v>
      </c>
      <c r="X732" s="62">
        <v>333878.79960000003</v>
      </c>
      <c r="Y732" s="62">
        <v>306918.6888</v>
      </c>
      <c r="Z732" s="62">
        <v>141270.77600000001</v>
      </c>
      <c r="AA732" s="62">
        <v>0</v>
      </c>
      <c r="AB732" s="62"/>
      <c r="AC732" s="62">
        <v>80948.316312853072</v>
      </c>
      <c r="AD732" s="62">
        <v>42772.037614761808</v>
      </c>
      <c r="AE732" s="62">
        <v>29448.615595062118</v>
      </c>
      <c r="AF732" s="62">
        <v>28720.051200000384</v>
      </c>
      <c r="AG732" s="62">
        <v>0</v>
      </c>
      <c r="AH732" s="62"/>
      <c r="AI732" s="62">
        <v>0</v>
      </c>
      <c r="AJ732" s="62">
        <v>0</v>
      </c>
      <c r="AK732" s="62">
        <v>0</v>
      </c>
      <c r="AL732" s="62">
        <v>0</v>
      </c>
      <c r="AM732" s="62">
        <v>0</v>
      </c>
    </row>
    <row r="733" spans="1:39">
      <c r="A733" s="9">
        <v>98002</v>
      </c>
      <c r="B733" s="10" t="s">
        <v>2107</v>
      </c>
      <c r="C733" s="60">
        <v>6.7000000000000002E-6</v>
      </c>
      <c r="E733" s="62">
        <v>-5609.0183616245768</v>
      </c>
      <c r="F733" s="62">
        <v>3293.226775304885</v>
      </c>
      <c r="G733" s="62">
        <v>1731.1814369547324</v>
      </c>
      <c r="H733" s="62">
        <v>-653.34694000000002</v>
      </c>
      <c r="I733" s="62">
        <v>0</v>
      </c>
      <c r="J733" s="62"/>
      <c r="K733" s="62">
        <v>-40.313900000000004</v>
      </c>
      <c r="L733" s="62">
        <v>84.862200000000001</v>
      </c>
      <c r="M733" s="62">
        <v>157.46340000000001</v>
      </c>
      <c r="N733" s="62">
        <v>97.920500000000004</v>
      </c>
      <c r="O733" s="62">
        <v>0</v>
      </c>
      <c r="P733" s="62"/>
      <c r="Q733" s="62">
        <v>147.50050000000002</v>
      </c>
      <c r="R733" s="62">
        <v>2447.1080000000002</v>
      </c>
      <c r="S733" s="62">
        <v>936.40539999999999</v>
      </c>
      <c r="T733" s="62">
        <v>-1045.7628</v>
      </c>
      <c r="U733" s="62">
        <v>0</v>
      </c>
      <c r="V733" s="62"/>
      <c r="W733" s="62">
        <v>437.35590000000002</v>
      </c>
      <c r="X733" s="62">
        <v>437.35590000000002</v>
      </c>
      <c r="Y733" s="62">
        <v>402.04020000000003</v>
      </c>
      <c r="Z733" s="62">
        <v>185.054</v>
      </c>
      <c r="AA733" s="62">
        <v>0</v>
      </c>
      <c r="AB733" s="62"/>
      <c r="AC733" s="62">
        <v>338.85913837542427</v>
      </c>
      <c r="AD733" s="62">
        <v>323.90067530488489</v>
      </c>
      <c r="AE733" s="62">
        <v>235.27243695473231</v>
      </c>
      <c r="AF733" s="62">
        <v>109.44136</v>
      </c>
      <c r="AG733" s="62">
        <v>0</v>
      </c>
      <c r="AH733" s="62"/>
      <c r="AI733" s="62">
        <v>-6492.420000000001</v>
      </c>
      <c r="AJ733" s="62">
        <v>0</v>
      </c>
      <c r="AK733" s="62">
        <v>0</v>
      </c>
      <c r="AL733" s="62">
        <v>0</v>
      </c>
      <c r="AM733" s="62">
        <v>0</v>
      </c>
    </row>
    <row r="734" spans="1:39">
      <c r="A734" s="9">
        <v>98003</v>
      </c>
      <c r="B734" s="10" t="s">
        <v>2108</v>
      </c>
      <c r="C734" s="60">
        <v>7.9599999999999997E-5</v>
      </c>
      <c r="E734" s="62">
        <v>25095.349916646337</v>
      </c>
      <c r="F734" s="62">
        <v>52392.186153990733</v>
      </c>
      <c r="G734" s="62">
        <v>30606.431303539091</v>
      </c>
      <c r="H734" s="62">
        <v>-2651.4632800000054</v>
      </c>
      <c r="I734" s="62">
        <v>0</v>
      </c>
      <c r="J734" s="62"/>
      <c r="K734" s="62">
        <v>-478.95319999999998</v>
      </c>
      <c r="L734" s="62">
        <v>1008.2135999999999</v>
      </c>
      <c r="M734" s="62">
        <v>1870.7592</v>
      </c>
      <c r="N734" s="62">
        <v>1163.354</v>
      </c>
      <c r="O734" s="62">
        <v>0</v>
      </c>
      <c r="P734" s="62"/>
      <c r="Q734" s="62">
        <v>1752.394</v>
      </c>
      <c r="R734" s="62">
        <v>29073.103999999999</v>
      </c>
      <c r="S734" s="62">
        <v>11125.055199999999</v>
      </c>
      <c r="T734" s="62">
        <v>-12424.286399999999</v>
      </c>
      <c r="U734" s="62">
        <v>0</v>
      </c>
      <c r="V734" s="62"/>
      <c r="W734" s="62">
        <v>5196.0491999999995</v>
      </c>
      <c r="X734" s="62">
        <v>5196.0491999999995</v>
      </c>
      <c r="Y734" s="62">
        <v>4776.4776000000002</v>
      </c>
      <c r="Z734" s="62">
        <v>2198.5520000000001</v>
      </c>
      <c r="AA734" s="62">
        <v>0</v>
      </c>
      <c r="AB734" s="62"/>
      <c r="AC734" s="62">
        <v>18625.859916646339</v>
      </c>
      <c r="AD734" s="62">
        <v>17114.819353990737</v>
      </c>
      <c r="AE734" s="62">
        <v>12834.13930353909</v>
      </c>
      <c r="AF734" s="62">
        <v>6410.9171199999946</v>
      </c>
      <c r="AG734" s="62">
        <v>0</v>
      </c>
      <c r="AH734" s="62"/>
      <c r="AI734" s="62">
        <v>0</v>
      </c>
      <c r="AJ734" s="62">
        <v>0</v>
      </c>
      <c r="AK734" s="62">
        <v>0</v>
      </c>
      <c r="AL734" s="62">
        <v>0</v>
      </c>
      <c r="AM734" s="62">
        <v>0</v>
      </c>
    </row>
    <row r="735" spans="1:39">
      <c r="A735" s="9">
        <v>98004</v>
      </c>
      <c r="B735" s="10" t="s">
        <v>2109</v>
      </c>
      <c r="C735" s="60">
        <v>1.182E-4</v>
      </c>
      <c r="E735" s="62">
        <v>23765.805599020543</v>
      </c>
      <c r="F735" s="62">
        <v>62954.729994041292</v>
      </c>
      <c r="G735" s="62">
        <v>33931.747547901236</v>
      </c>
      <c r="H735" s="62">
        <v>-9152.3509200000008</v>
      </c>
      <c r="I735" s="62">
        <v>0</v>
      </c>
      <c r="J735" s="62"/>
      <c r="K735" s="62">
        <v>-711.20939999999996</v>
      </c>
      <c r="L735" s="62">
        <v>1497.1212</v>
      </c>
      <c r="M735" s="62">
        <v>2777.9364</v>
      </c>
      <c r="N735" s="62">
        <v>1727.4929999999999</v>
      </c>
      <c r="O735" s="62">
        <v>0</v>
      </c>
      <c r="P735" s="62"/>
      <c r="Q735" s="62">
        <v>2602.1729999999998</v>
      </c>
      <c r="R735" s="62">
        <v>43171.368000000002</v>
      </c>
      <c r="S735" s="62">
        <v>16519.868399999999</v>
      </c>
      <c r="T735" s="62">
        <v>-18449.128799999999</v>
      </c>
      <c r="U735" s="62">
        <v>0</v>
      </c>
      <c r="V735" s="62"/>
      <c r="W735" s="62">
        <v>7715.7413999999999</v>
      </c>
      <c r="X735" s="62">
        <v>7715.7413999999999</v>
      </c>
      <c r="Y735" s="62">
        <v>7092.7092000000002</v>
      </c>
      <c r="Z735" s="62">
        <v>3264.6840000000002</v>
      </c>
      <c r="AA735" s="62">
        <v>0</v>
      </c>
      <c r="AB735" s="62"/>
      <c r="AC735" s="62">
        <v>14159.100599020543</v>
      </c>
      <c r="AD735" s="62">
        <v>10570.49939404129</v>
      </c>
      <c r="AE735" s="62">
        <v>7541.2335479012354</v>
      </c>
      <c r="AF735" s="62">
        <v>4304.6008799999981</v>
      </c>
      <c r="AG735" s="62">
        <v>0</v>
      </c>
      <c r="AH735" s="62"/>
      <c r="AI735" s="62">
        <v>0</v>
      </c>
      <c r="AJ735" s="62">
        <v>0</v>
      </c>
      <c r="AK735" s="62">
        <v>0</v>
      </c>
      <c r="AL735" s="62">
        <v>0</v>
      </c>
      <c r="AM735" s="62">
        <v>0</v>
      </c>
    </row>
    <row r="736" spans="1:39">
      <c r="A736" s="9">
        <v>98008</v>
      </c>
      <c r="B736" s="10" t="s">
        <v>2110</v>
      </c>
      <c r="C736" s="60">
        <v>7.9999999999999996E-6</v>
      </c>
      <c r="E736" s="62">
        <v>162.97811878626328</v>
      </c>
      <c r="F736" s="62">
        <v>3335.9011561306615</v>
      </c>
      <c r="G736" s="62">
        <v>1697.8270949794232</v>
      </c>
      <c r="H736" s="62">
        <v>-904.47104000000047</v>
      </c>
      <c r="I736" s="62">
        <v>0</v>
      </c>
      <c r="J736" s="62"/>
      <c r="K736" s="62">
        <v>-48.135999999999996</v>
      </c>
      <c r="L736" s="62">
        <v>101.32799999999999</v>
      </c>
      <c r="M736" s="62">
        <v>188.01599999999999</v>
      </c>
      <c r="N736" s="62">
        <v>116.92</v>
      </c>
      <c r="O736" s="62">
        <v>0</v>
      </c>
      <c r="P736" s="62"/>
      <c r="Q736" s="62">
        <v>176.12</v>
      </c>
      <c r="R736" s="62">
        <v>2921.92</v>
      </c>
      <c r="S736" s="62">
        <v>1118.096</v>
      </c>
      <c r="T736" s="62">
        <v>-1248.672</v>
      </c>
      <c r="U736" s="62">
        <v>0</v>
      </c>
      <c r="V736" s="62"/>
      <c r="W736" s="62">
        <v>522.21600000000001</v>
      </c>
      <c r="X736" s="62">
        <v>522.21600000000001</v>
      </c>
      <c r="Y736" s="62">
        <v>480.048</v>
      </c>
      <c r="Z736" s="62">
        <v>220.95999999999998</v>
      </c>
      <c r="AA736" s="62">
        <v>0</v>
      </c>
      <c r="AB736" s="62"/>
      <c r="AC736" s="62">
        <v>6.3209599999994666</v>
      </c>
      <c r="AD736" s="62">
        <v>6.3209599999994666</v>
      </c>
      <c r="AE736" s="62">
        <v>6.3209599999994666</v>
      </c>
      <c r="AF736" s="62">
        <v>6.3209599999994666</v>
      </c>
      <c r="AG736" s="62">
        <v>0</v>
      </c>
      <c r="AH736" s="62"/>
      <c r="AI736" s="62">
        <v>-493.54284121373621</v>
      </c>
      <c r="AJ736" s="62">
        <v>-215.88380386933778</v>
      </c>
      <c r="AK736" s="62">
        <v>-94.653865020576305</v>
      </c>
      <c r="AL736" s="62">
        <v>0</v>
      </c>
      <c r="AM736" s="62">
        <v>0</v>
      </c>
    </row>
    <row r="737" spans="1:39">
      <c r="A737" s="9">
        <v>98011</v>
      </c>
      <c r="B737" s="10" t="s">
        <v>2111</v>
      </c>
      <c r="C737" s="60">
        <v>3.1578999999999999E-3</v>
      </c>
      <c r="E737" s="62">
        <v>110291.36318830482</v>
      </c>
      <c r="F737" s="62">
        <v>1305797.3235830765</v>
      </c>
      <c r="G737" s="62">
        <v>637689.16066296282</v>
      </c>
      <c r="H737" s="62">
        <v>-367076.18069999991</v>
      </c>
      <c r="I737" s="62">
        <v>0</v>
      </c>
      <c r="J737" s="62"/>
      <c r="K737" s="62">
        <v>-19001.084299999999</v>
      </c>
      <c r="L737" s="62">
        <v>39997.9614</v>
      </c>
      <c r="M737" s="62">
        <v>74216.965800000005</v>
      </c>
      <c r="N737" s="62">
        <v>46152.708500000001</v>
      </c>
      <c r="O737" s="62">
        <v>0</v>
      </c>
      <c r="P737" s="62"/>
      <c r="Q737" s="62">
        <v>69521.1685</v>
      </c>
      <c r="R737" s="62">
        <v>1153391.3959999999</v>
      </c>
      <c r="S737" s="62">
        <v>441354.41979999997</v>
      </c>
      <c r="T737" s="62">
        <v>-492897.66359999997</v>
      </c>
      <c r="U737" s="62">
        <v>0</v>
      </c>
      <c r="V737" s="62"/>
      <c r="W737" s="62">
        <v>206138.2383</v>
      </c>
      <c r="X737" s="62">
        <v>206138.2383</v>
      </c>
      <c r="Y737" s="62">
        <v>189492.9474</v>
      </c>
      <c r="Z737" s="62">
        <v>87221.198000000004</v>
      </c>
      <c r="AA737" s="62">
        <v>0</v>
      </c>
      <c r="AB737" s="62"/>
      <c r="AC737" s="62">
        <v>0</v>
      </c>
      <c r="AD737" s="62">
        <v>0</v>
      </c>
      <c r="AE737" s="62">
        <v>0</v>
      </c>
      <c r="AF737" s="62">
        <v>0</v>
      </c>
      <c r="AG737" s="62">
        <v>0</v>
      </c>
      <c r="AH737" s="62"/>
      <c r="AI737" s="62">
        <v>-146366.95931169519</v>
      </c>
      <c r="AJ737" s="62">
        <v>-93730.272116923414</v>
      </c>
      <c r="AK737" s="62">
        <v>-67375.172337037147</v>
      </c>
      <c r="AL737" s="62">
        <v>-7552.4236000000037</v>
      </c>
      <c r="AM737" s="62">
        <v>0</v>
      </c>
    </row>
    <row r="738" spans="1:39">
      <c r="A738" s="9">
        <v>98013</v>
      </c>
      <c r="B738" s="10" t="s">
        <v>2112</v>
      </c>
      <c r="C738" s="60">
        <v>1.415E-4</v>
      </c>
      <c r="E738" s="62">
        <v>53305.436829801416</v>
      </c>
      <c r="F738" s="62">
        <v>103828.02507544457</v>
      </c>
      <c r="G738" s="62">
        <v>58172.898444279846</v>
      </c>
      <c r="H738" s="62">
        <v>-1581.9511799999982</v>
      </c>
      <c r="I738" s="62">
        <v>0</v>
      </c>
      <c r="J738" s="62"/>
      <c r="K738" s="62">
        <v>-851.40549999999996</v>
      </c>
      <c r="L738" s="62">
        <v>1792.239</v>
      </c>
      <c r="M738" s="62">
        <v>3325.5329999999999</v>
      </c>
      <c r="N738" s="62">
        <v>2068.0225</v>
      </c>
      <c r="O738" s="62">
        <v>0</v>
      </c>
      <c r="P738" s="62"/>
      <c r="Q738" s="62">
        <v>3115.1224999999999</v>
      </c>
      <c r="R738" s="62">
        <v>51681.46</v>
      </c>
      <c r="S738" s="62">
        <v>19776.323</v>
      </c>
      <c r="T738" s="62">
        <v>-22085.885999999999</v>
      </c>
      <c r="U738" s="62">
        <v>0</v>
      </c>
      <c r="V738" s="62"/>
      <c r="W738" s="62">
        <v>9236.6954999999998</v>
      </c>
      <c r="X738" s="62">
        <v>9236.6954999999998</v>
      </c>
      <c r="Y738" s="62">
        <v>8490.8490000000002</v>
      </c>
      <c r="Z738" s="62">
        <v>3908.23</v>
      </c>
      <c r="AA738" s="62">
        <v>0</v>
      </c>
      <c r="AB738" s="62"/>
      <c r="AC738" s="62">
        <v>43878.084329801415</v>
      </c>
      <c r="AD738" s="62">
        <v>41117.630575444571</v>
      </c>
      <c r="AE738" s="62">
        <v>26580.193444279845</v>
      </c>
      <c r="AF738" s="62">
        <v>14527.682320000002</v>
      </c>
      <c r="AG738" s="62">
        <v>0</v>
      </c>
      <c r="AH738" s="62"/>
      <c r="AI738" s="62">
        <v>-2073.0600000000004</v>
      </c>
      <c r="AJ738" s="62">
        <v>0</v>
      </c>
      <c r="AK738" s="62">
        <v>0</v>
      </c>
      <c r="AL738" s="62">
        <v>0</v>
      </c>
      <c r="AM738" s="62">
        <v>0</v>
      </c>
    </row>
    <row r="739" spans="1:39">
      <c r="A739" s="9">
        <v>98021</v>
      </c>
      <c r="B739" s="10" t="s">
        <v>2113</v>
      </c>
      <c r="C739" s="60">
        <v>8.6199999999999995E-5</v>
      </c>
      <c r="E739" s="62">
        <v>13487.086386509578</v>
      </c>
      <c r="F739" s="62">
        <v>43520.868021945258</v>
      </c>
      <c r="G739" s="62">
        <v>18552.829077613176</v>
      </c>
      <c r="H739" s="62">
        <v>-10160.609479999992</v>
      </c>
      <c r="I739" s="62">
        <v>0</v>
      </c>
      <c r="J739" s="62"/>
      <c r="K739" s="62">
        <v>-518.66539999999998</v>
      </c>
      <c r="L739" s="62">
        <v>1091.8091999999999</v>
      </c>
      <c r="M739" s="62">
        <v>2025.8724</v>
      </c>
      <c r="N739" s="62">
        <v>1259.8129999999999</v>
      </c>
      <c r="O739" s="62">
        <v>0</v>
      </c>
      <c r="P739" s="62"/>
      <c r="Q739" s="62">
        <v>1897.693</v>
      </c>
      <c r="R739" s="62">
        <v>31483.687999999998</v>
      </c>
      <c r="S739" s="62">
        <v>12047.484399999999</v>
      </c>
      <c r="T739" s="62">
        <v>-13454.440799999998</v>
      </c>
      <c r="U739" s="62">
        <v>0</v>
      </c>
      <c r="V739" s="62"/>
      <c r="W739" s="62">
        <v>5626.8773999999994</v>
      </c>
      <c r="X739" s="62">
        <v>5626.8773999999994</v>
      </c>
      <c r="Y739" s="62">
        <v>5172.5171999999993</v>
      </c>
      <c r="Z739" s="62">
        <v>2380.8440000000001</v>
      </c>
      <c r="AA739" s="62">
        <v>0</v>
      </c>
      <c r="AB739" s="62"/>
      <c r="AC739" s="62">
        <v>7399.8775809128638</v>
      </c>
      <c r="AD739" s="62">
        <v>6067.8996163485508</v>
      </c>
      <c r="AE739" s="62">
        <v>0</v>
      </c>
      <c r="AF739" s="62">
        <v>0</v>
      </c>
      <c r="AG739" s="62">
        <v>0</v>
      </c>
      <c r="AH739" s="62"/>
      <c r="AI739" s="62">
        <v>-918.6961944032854</v>
      </c>
      <c r="AJ739" s="62">
        <v>-749.40619440328533</v>
      </c>
      <c r="AK739" s="62">
        <v>-693.04492238682474</v>
      </c>
      <c r="AL739" s="62">
        <v>-346.82567999999446</v>
      </c>
      <c r="AM739" s="62">
        <v>0</v>
      </c>
    </row>
    <row r="740" spans="1:39">
      <c r="A740" s="9">
        <v>98023</v>
      </c>
      <c r="B740" s="10" t="s">
        <v>2114</v>
      </c>
      <c r="C740" s="60">
        <v>1.43E-5</v>
      </c>
      <c r="E740" s="62">
        <v>-1442.0760454604447</v>
      </c>
      <c r="F740" s="62">
        <v>4577.4732217594728</v>
      </c>
      <c r="G740" s="62">
        <v>2419.0861880658431</v>
      </c>
      <c r="H740" s="62">
        <v>-1600.6662999999999</v>
      </c>
      <c r="I740" s="62">
        <v>0</v>
      </c>
      <c r="J740" s="62"/>
      <c r="K740" s="62">
        <v>-86.043099999999995</v>
      </c>
      <c r="L740" s="62">
        <v>181.12380000000002</v>
      </c>
      <c r="M740" s="62">
        <v>336.07859999999999</v>
      </c>
      <c r="N740" s="62">
        <v>208.99450000000002</v>
      </c>
      <c r="O740" s="62">
        <v>0</v>
      </c>
      <c r="P740" s="62"/>
      <c r="Q740" s="62">
        <v>314.81450000000001</v>
      </c>
      <c r="R740" s="62">
        <v>5222.9319999999998</v>
      </c>
      <c r="S740" s="62">
        <v>1998.5966000000001</v>
      </c>
      <c r="T740" s="62">
        <v>-2232.0012000000002</v>
      </c>
      <c r="U740" s="62">
        <v>0</v>
      </c>
      <c r="V740" s="62"/>
      <c r="W740" s="62">
        <v>933.46109999999999</v>
      </c>
      <c r="X740" s="62">
        <v>933.46109999999999</v>
      </c>
      <c r="Y740" s="62">
        <v>858.08580000000006</v>
      </c>
      <c r="Z740" s="62">
        <v>394.96600000000001</v>
      </c>
      <c r="AA740" s="62">
        <v>0</v>
      </c>
      <c r="AB740" s="62"/>
      <c r="AC740" s="62">
        <v>27.374400000000243</v>
      </c>
      <c r="AD740" s="62">
        <v>27.374400000000243</v>
      </c>
      <c r="AE740" s="62">
        <v>27.374400000000243</v>
      </c>
      <c r="AF740" s="62">
        <v>27.374400000000243</v>
      </c>
      <c r="AG740" s="62">
        <v>0</v>
      </c>
      <c r="AH740" s="62"/>
      <c r="AI740" s="62">
        <v>-2631.6829454604449</v>
      </c>
      <c r="AJ740" s="62">
        <v>-1787.4180782405281</v>
      </c>
      <c r="AK740" s="62">
        <v>-801.04921193415726</v>
      </c>
      <c r="AL740" s="62">
        <v>0</v>
      </c>
      <c r="AM740" s="62">
        <v>0</v>
      </c>
    </row>
    <row r="741" spans="1:39">
      <c r="A741" s="9">
        <v>98031</v>
      </c>
      <c r="B741" s="10" t="s">
        <v>2115</v>
      </c>
      <c r="C741" s="60">
        <v>1.537E-4</v>
      </c>
      <c r="E741" s="62">
        <v>11107.302300820995</v>
      </c>
      <c r="F741" s="62">
        <v>67904.059742065801</v>
      </c>
      <c r="G741" s="62">
        <v>32214.472935720158</v>
      </c>
      <c r="H741" s="62">
        <v>-18331.002339999999</v>
      </c>
      <c r="I741" s="62">
        <v>0</v>
      </c>
      <c r="J741" s="62"/>
      <c r="K741" s="62">
        <v>-924.81290000000001</v>
      </c>
      <c r="L741" s="62">
        <v>1946.7641999999998</v>
      </c>
      <c r="M741" s="62">
        <v>3612.2574</v>
      </c>
      <c r="N741" s="62">
        <v>2246.3254999999999</v>
      </c>
      <c r="O741" s="62">
        <v>0</v>
      </c>
      <c r="P741" s="62"/>
      <c r="Q741" s="62">
        <v>3383.7055</v>
      </c>
      <c r="R741" s="62">
        <v>56137.387999999999</v>
      </c>
      <c r="S741" s="62">
        <v>21481.419399999999</v>
      </c>
      <c r="T741" s="62">
        <v>-23990.110799999999</v>
      </c>
      <c r="U741" s="62">
        <v>0</v>
      </c>
      <c r="V741" s="62"/>
      <c r="W741" s="62">
        <v>10033.0749</v>
      </c>
      <c r="X741" s="62">
        <v>10033.0749</v>
      </c>
      <c r="Y741" s="62">
        <v>9222.9221999999991</v>
      </c>
      <c r="Z741" s="62">
        <v>4245.1939999999995</v>
      </c>
      <c r="AA741" s="62">
        <v>0</v>
      </c>
      <c r="AB741" s="62"/>
      <c r="AC741" s="62">
        <v>2555.6786597510381</v>
      </c>
      <c r="AD741" s="62">
        <v>2095.6565009958522</v>
      </c>
      <c r="AE741" s="62">
        <v>0</v>
      </c>
      <c r="AF741" s="62">
        <v>0</v>
      </c>
      <c r="AG741" s="62">
        <v>0</v>
      </c>
      <c r="AH741" s="62"/>
      <c r="AI741" s="62">
        <v>-3940.3438589300426</v>
      </c>
      <c r="AJ741" s="62">
        <v>-2308.8238589300422</v>
      </c>
      <c r="AK741" s="62">
        <v>-2102.1260642798366</v>
      </c>
      <c r="AL741" s="62">
        <v>-832.41104000000053</v>
      </c>
      <c r="AM741" s="62">
        <v>0</v>
      </c>
    </row>
    <row r="742" spans="1:39">
      <c r="A742" s="9">
        <v>98041</v>
      </c>
      <c r="B742" s="10" t="s">
        <v>2116</v>
      </c>
      <c r="C742" s="60">
        <v>1.9230000000000001E-4</v>
      </c>
      <c r="E742" s="62">
        <v>16588.069506163622</v>
      </c>
      <c r="F742" s="62">
        <v>88158.70858176527</v>
      </c>
      <c r="G742" s="62">
        <v>47502.070050864204</v>
      </c>
      <c r="H742" s="62">
        <v>-18979.444780000002</v>
      </c>
      <c r="I742" s="62">
        <v>0</v>
      </c>
      <c r="J742" s="62"/>
      <c r="K742" s="62">
        <v>-1157.0691000000002</v>
      </c>
      <c r="L742" s="62">
        <v>2435.6718000000001</v>
      </c>
      <c r="M742" s="62">
        <v>4519.4346000000005</v>
      </c>
      <c r="N742" s="62">
        <v>2810.4645</v>
      </c>
      <c r="O742" s="62">
        <v>0</v>
      </c>
      <c r="P742" s="62"/>
      <c r="Q742" s="62">
        <v>4233.4845000000005</v>
      </c>
      <c r="R742" s="62">
        <v>70235.652000000002</v>
      </c>
      <c r="S742" s="62">
        <v>26876.232600000003</v>
      </c>
      <c r="T742" s="62">
        <v>-30014.953200000004</v>
      </c>
      <c r="U742" s="62">
        <v>0</v>
      </c>
      <c r="V742" s="62"/>
      <c r="W742" s="62">
        <v>12552.767100000001</v>
      </c>
      <c r="X742" s="62">
        <v>12552.767100000001</v>
      </c>
      <c r="Y742" s="62">
        <v>11539.1538</v>
      </c>
      <c r="Z742" s="62">
        <v>5311.326</v>
      </c>
      <c r="AA742" s="62">
        <v>0</v>
      </c>
      <c r="AB742" s="62"/>
      <c r="AC742" s="62">
        <v>4836.4285372839549</v>
      </c>
      <c r="AD742" s="62">
        <v>4836.4285372839549</v>
      </c>
      <c r="AE742" s="62">
        <v>4567.2490508642022</v>
      </c>
      <c r="AF742" s="62">
        <v>2913.7179199999987</v>
      </c>
      <c r="AG742" s="62">
        <v>0</v>
      </c>
      <c r="AH742" s="62"/>
      <c r="AI742" s="62">
        <v>-3877.5415311203333</v>
      </c>
      <c r="AJ742" s="62">
        <v>-1901.8108555186739</v>
      </c>
      <c r="AK742" s="62">
        <v>0</v>
      </c>
      <c r="AL742" s="62">
        <v>0</v>
      </c>
      <c r="AM742" s="62">
        <v>0</v>
      </c>
    </row>
    <row r="743" spans="1:39">
      <c r="A743" s="9">
        <v>98051</v>
      </c>
      <c r="B743" s="10" t="s">
        <v>2117</v>
      </c>
      <c r="C743" s="60">
        <v>2.8019999999999998E-4</v>
      </c>
      <c r="E743" s="62">
        <v>30340.338091274669</v>
      </c>
      <c r="F743" s="62">
        <v>130896.91782189708</v>
      </c>
      <c r="G743" s="62">
        <v>64301.532954403265</v>
      </c>
      <c r="H743" s="62">
        <v>-33750.935160000015</v>
      </c>
      <c r="I743" s="62">
        <v>0</v>
      </c>
      <c r="J743" s="62"/>
      <c r="K743" s="62">
        <v>-1685.9633999999999</v>
      </c>
      <c r="L743" s="62">
        <v>3549.0131999999999</v>
      </c>
      <c r="M743" s="62">
        <v>6585.2603999999992</v>
      </c>
      <c r="N743" s="62">
        <v>4095.1229999999996</v>
      </c>
      <c r="O743" s="62">
        <v>0</v>
      </c>
      <c r="P743" s="62"/>
      <c r="Q743" s="62">
        <v>6168.6029999999992</v>
      </c>
      <c r="R743" s="62">
        <v>102340.24799999999</v>
      </c>
      <c r="S743" s="62">
        <v>39161.312399999995</v>
      </c>
      <c r="T743" s="62">
        <v>-43734.736799999999</v>
      </c>
      <c r="U743" s="62">
        <v>0</v>
      </c>
      <c r="V743" s="62"/>
      <c r="W743" s="62">
        <v>18290.615399999999</v>
      </c>
      <c r="X743" s="62">
        <v>18290.615399999999</v>
      </c>
      <c r="Y743" s="62">
        <v>16813.681199999999</v>
      </c>
      <c r="Z743" s="62">
        <v>7739.1239999999998</v>
      </c>
      <c r="AA743" s="62">
        <v>0</v>
      </c>
      <c r="AB743" s="62"/>
      <c r="AC743" s="62">
        <v>9531.3784512746897</v>
      </c>
      <c r="AD743" s="62">
        <v>8567.4865818971011</v>
      </c>
      <c r="AE743" s="62">
        <v>3591.7243144032959</v>
      </c>
      <c r="AF743" s="62">
        <v>0</v>
      </c>
      <c r="AG743" s="62">
        <v>0</v>
      </c>
      <c r="AH743" s="62"/>
      <c r="AI743" s="62">
        <v>-1964.2953600000183</v>
      </c>
      <c r="AJ743" s="62">
        <v>-1850.4453600000184</v>
      </c>
      <c r="AK743" s="62">
        <v>-1850.4453600000184</v>
      </c>
      <c r="AL743" s="62">
        <v>-1850.4453600000184</v>
      </c>
      <c r="AM743" s="62">
        <v>0</v>
      </c>
    </row>
    <row r="744" spans="1:39">
      <c r="A744" s="9">
        <v>98061</v>
      </c>
      <c r="B744" s="10" t="s">
        <v>2118</v>
      </c>
      <c r="C744" s="60">
        <v>1.0670000000000001E-4</v>
      </c>
      <c r="E744" s="62">
        <v>2417.5765448330867</v>
      </c>
      <c r="F744" s="62">
        <v>41928.314568733505</v>
      </c>
      <c r="G744" s="62">
        <v>20868.766589547326</v>
      </c>
      <c r="H744" s="62">
        <v>-11192.741180000001</v>
      </c>
      <c r="I744" s="62">
        <v>0</v>
      </c>
      <c r="J744" s="62"/>
      <c r="K744" s="62">
        <v>-642.01390000000004</v>
      </c>
      <c r="L744" s="62">
        <v>1351.4622000000002</v>
      </c>
      <c r="M744" s="62">
        <v>2507.6633999999999</v>
      </c>
      <c r="N744" s="62">
        <v>1559.4205000000002</v>
      </c>
      <c r="O744" s="62">
        <v>0</v>
      </c>
      <c r="P744" s="62"/>
      <c r="Q744" s="62">
        <v>2349.0005000000001</v>
      </c>
      <c r="R744" s="62">
        <v>38971.108</v>
      </c>
      <c r="S744" s="62">
        <v>14912.6054</v>
      </c>
      <c r="T744" s="62">
        <v>-16654.162800000002</v>
      </c>
      <c r="U744" s="62">
        <v>0</v>
      </c>
      <c r="V744" s="62"/>
      <c r="W744" s="62">
        <v>6965.0559000000003</v>
      </c>
      <c r="X744" s="62">
        <v>6965.0559000000003</v>
      </c>
      <c r="Y744" s="62">
        <v>6402.6402000000007</v>
      </c>
      <c r="Z744" s="62">
        <v>2947.0540000000001</v>
      </c>
      <c r="AA744" s="62">
        <v>0</v>
      </c>
      <c r="AB744" s="62"/>
      <c r="AC744" s="62">
        <v>954.94712000000152</v>
      </c>
      <c r="AD744" s="62">
        <v>954.94712000000152</v>
      </c>
      <c r="AE744" s="62">
        <v>954.94712000000152</v>
      </c>
      <c r="AF744" s="62">
        <v>954.94712000000152</v>
      </c>
      <c r="AG744" s="62">
        <v>0</v>
      </c>
      <c r="AH744" s="62"/>
      <c r="AI744" s="62">
        <v>-7209.4130751669136</v>
      </c>
      <c r="AJ744" s="62">
        <v>-6314.2586512664993</v>
      </c>
      <c r="AK744" s="62">
        <v>-3909.0895304526784</v>
      </c>
      <c r="AL744" s="62">
        <v>0</v>
      </c>
      <c r="AM744" s="62">
        <v>0</v>
      </c>
    </row>
    <row r="745" spans="1:39">
      <c r="A745" s="9">
        <v>98071</v>
      </c>
      <c r="B745" s="10" t="s">
        <v>2119</v>
      </c>
      <c r="C745" s="60">
        <v>4.0099999999999999E-5</v>
      </c>
      <c r="E745" s="62">
        <v>7912.7873078486427</v>
      </c>
      <c r="F745" s="62">
        <v>22534.045119798848</v>
      </c>
      <c r="G745" s="62">
        <v>13922.450503045267</v>
      </c>
      <c r="H745" s="62">
        <v>-1645.1948200000029</v>
      </c>
      <c r="I745" s="62">
        <v>0</v>
      </c>
      <c r="J745" s="62"/>
      <c r="K745" s="62">
        <v>-241.2817</v>
      </c>
      <c r="L745" s="62">
        <v>507.90659999999997</v>
      </c>
      <c r="M745" s="62">
        <v>942.43020000000001</v>
      </c>
      <c r="N745" s="62">
        <v>586.06150000000002</v>
      </c>
      <c r="O745" s="62">
        <v>0</v>
      </c>
      <c r="P745" s="62"/>
      <c r="Q745" s="62">
        <v>882.80150000000003</v>
      </c>
      <c r="R745" s="62">
        <v>14646.124</v>
      </c>
      <c r="S745" s="62">
        <v>5604.4561999999996</v>
      </c>
      <c r="T745" s="62">
        <v>-6258.9683999999997</v>
      </c>
      <c r="U745" s="62">
        <v>0</v>
      </c>
      <c r="V745" s="62"/>
      <c r="W745" s="62">
        <v>2617.6077</v>
      </c>
      <c r="X745" s="62">
        <v>2617.6077</v>
      </c>
      <c r="Y745" s="62">
        <v>2406.2406000000001</v>
      </c>
      <c r="Z745" s="62">
        <v>1107.5619999999999</v>
      </c>
      <c r="AA745" s="62">
        <v>0</v>
      </c>
      <c r="AB745" s="62"/>
      <c r="AC745" s="62">
        <v>5312.809874238681</v>
      </c>
      <c r="AD745" s="62">
        <v>5302.9098742386814</v>
      </c>
      <c r="AE745" s="62">
        <v>4969.323503045267</v>
      </c>
      <c r="AF745" s="62">
        <v>2920.1500799999972</v>
      </c>
      <c r="AG745" s="62">
        <v>0</v>
      </c>
      <c r="AH745" s="62"/>
      <c r="AI745" s="62">
        <v>-659.15006639003855</v>
      </c>
      <c r="AJ745" s="62">
        <v>-540.50305443983177</v>
      </c>
      <c r="AK745" s="62">
        <v>0</v>
      </c>
      <c r="AL745" s="62">
        <v>0</v>
      </c>
      <c r="AM745" s="62">
        <v>0</v>
      </c>
    </row>
    <row r="746" spans="1:39">
      <c r="A746" s="9">
        <v>98081</v>
      </c>
      <c r="B746" s="10" t="s">
        <v>2120</v>
      </c>
      <c r="C746" s="60">
        <v>1.8300000000000001E-5</v>
      </c>
      <c r="E746" s="62">
        <v>-402.23504556563034</v>
      </c>
      <c r="F746" s="62">
        <v>6900.9676855547023</v>
      </c>
      <c r="G746" s="62">
        <v>3330.5605573662556</v>
      </c>
      <c r="H746" s="62">
        <v>-2436.79862</v>
      </c>
      <c r="I746" s="62">
        <v>0</v>
      </c>
      <c r="J746" s="62"/>
      <c r="K746" s="62">
        <v>-110.11110000000001</v>
      </c>
      <c r="L746" s="62">
        <v>231.7878</v>
      </c>
      <c r="M746" s="62">
        <v>430.08660000000003</v>
      </c>
      <c r="N746" s="62">
        <v>267.4545</v>
      </c>
      <c r="O746" s="62">
        <v>0</v>
      </c>
      <c r="P746" s="62"/>
      <c r="Q746" s="62">
        <v>402.87450000000001</v>
      </c>
      <c r="R746" s="62">
        <v>6683.8920000000007</v>
      </c>
      <c r="S746" s="62">
        <v>2557.6446000000001</v>
      </c>
      <c r="T746" s="62">
        <v>-2856.3371999999999</v>
      </c>
      <c r="U746" s="62">
        <v>0</v>
      </c>
      <c r="V746" s="62"/>
      <c r="W746" s="62">
        <v>1194.5691000000002</v>
      </c>
      <c r="X746" s="62">
        <v>1194.5691000000002</v>
      </c>
      <c r="Y746" s="62">
        <v>1098.1098</v>
      </c>
      <c r="Z746" s="62">
        <v>505.44600000000003</v>
      </c>
      <c r="AA746" s="62">
        <v>0</v>
      </c>
      <c r="AB746" s="62"/>
      <c r="AC746" s="62">
        <v>0</v>
      </c>
      <c r="AD746" s="62">
        <v>0</v>
      </c>
      <c r="AE746" s="62">
        <v>0</v>
      </c>
      <c r="AF746" s="62">
        <v>0</v>
      </c>
      <c r="AG746" s="62">
        <v>0</v>
      </c>
      <c r="AH746" s="62"/>
      <c r="AI746" s="62">
        <v>-1889.5675455656306</v>
      </c>
      <c r="AJ746" s="62">
        <v>-1209.2812144452982</v>
      </c>
      <c r="AK746" s="62">
        <v>-755.28044263374488</v>
      </c>
      <c r="AL746" s="62">
        <v>-353.36191999999994</v>
      </c>
      <c r="AM746" s="62">
        <v>0</v>
      </c>
    </row>
    <row r="747" spans="1:39">
      <c r="A747" s="9">
        <v>98091</v>
      </c>
      <c r="B747" s="10" t="s">
        <v>2121</v>
      </c>
      <c r="C747" s="60">
        <v>4.7500000000000003E-5</v>
      </c>
      <c r="E747" s="62">
        <v>3573.7759092590895</v>
      </c>
      <c r="F747" s="62">
        <v>21508.937604362825</v>
      </c>
      <c r="G747" s="62">
        <v>10771.206282880659</v>
      </c>
      <c r="H747" s="62">
        <v>-5290.9006200000003</v>
      </c>
      <c r="I747" s="62">
        <v>0</v>
      </c>
      <c r="J747" s="62"/>
      <c r="K747" s="62">
        <v>-285.8075</v>
      </c>
      <c r="L747" s="62">
        <v>601.63499999999999</v>
      </c>
      <c r="M747" s="62">
        <v>1116.345</v>
      </c>
      <c r="N747" s="62">
        <v>694.21250000000009</v>
      </c>
      <c r="O747" s="62">
        <v>0</v>
      </c>
      <c r="P747" s="62"/>
      <c r="Q747" s="62">
        <v>1045.7125000000001</v>
      </c>
      <c r="R747" s="62">
        <v>17348.900000000001</v>
      </c>
      <c r="S747" s="62">
        <v>6638.6950000000006</v>
      </c>
      <c r="T747" s="62">
        <v>-7413.9900000000007</v>
      </c>
      <c r="U747" s="62">
        <v>0</v>
      </c>
      <c r="V747" s="62"/>
      <c r="W747" s="62">
        <v>3100.6575000000003</v>
      </c>
      <c r="X747" s="62">
        <v>3100.6575000000003</v>
      </c>
      <c r="Y747" s="62">
        <v>2850.2850000000003</v>
      </c>
      <c r="Z747" s="62">
        <v>1311.95</v>
      </c>
      <c r="AA747" s="62">
        <v>0</v>
      </c>
      <c r="AB747" s="62"/>
      <c r="AC747" s="62">
        <v>520.06340925908921</v>
      </c>
      <c r="AD747" s="62">
        <v>457.74510436282344</v>
      </c>
      <c r="AE747" s="62">
        <v>165.88128288065792</v>
      </c>
      <c r="AF747" s="62">
        <v>116.92687999999987</v>
      </c>
      <c r="AG747" s="62">
        <v>0</v>
      </c>
      <c r="AH747" s="62"/>
      <c r="AI747" s="62">
        <v>-806.85000000000014</v>
      </c>
      <c r="AJ747" s="62">
        <v>0</v>
      </c>
      <c r="AK747" s="62">
        <v>0</v>
      </c>
      <c r="AL747" s="62">
        <v>0</v>
      </c>
      <c r="AM747" s="62">
        <v>0</v>
      </c>
    </row>
    <row r="748" spans="1:39">
      <c r="A748" s="9">
        <v>98101</v>
      </c>
      <c r="B748" s="10" t="s">
        <v>2122</v>
      </c>
      <c r="C748" s="60">
        <v>2.8706999999999999E-3</v>
      </c>
      <c r="E748" s="62">
        <v>247521.70048495423</v>
      </c>
      <c r="F748" s="62">
        <v>1275611.1319652032</v>
      </c>
      <c r="G748" s="62">
        <v>631936.8686879836</v>
      </c>
      <c r="H748" s="62">
        <v>-330523.59053999995</v>
      </c>
      <c r="I748" s="62">
        <v>0</v>
      </c>
      <c r="J748" s="62"/>
      <c r="K748" s="62">
        <v>-17273.001899999999</v>
      </c>
      <c r="L748" s="62">
        <v>36360.286200000002</v>
      </c>
      <c r="M748" s="62">
        <v>67467.191399999996</v>
      </c>
      <c r="N748" s="62">
        <v>41955.280500000001</v>
      </c>
      <c r="O748" s="62">
        <v>0</v>
      </c>
      <c r="P748" s="62"/>
      <c r="Q748" s="62">
        <v>63198.460500000001</v>
      </c>
      <c r="R748" s="62">
        <v>1048494.468</v>
      </c>
      <c r="S748" s="62">
        <v>401214.77340000001</v>
      </c>
      <c r="T748" s="62">
        <v>-448070.33879999997</v>
      </c>
      <c r="U748" s="62">
        <v>0</v>
      </c>
      <c r="V748" s="62"/>
      <c r="W748" s="62">
        <v>187390.6839</v>
      </c>
      <c r="X748" s="62">
        <v>187390.6839</v>
      </c>
      <c r="Y748" s="62">
        <v>172259.2242</v>
      </c>
      <c r="Z748" s="62">
        <v>79288.733999999997</v>
      </c>
      <c r="AA748" s="62">
        <v>0</v>
      </c>
      <c r="AB748" s="62"/>
      <c r="AC748" s="62">
        <v>24073.817331950129</v>
      </c>
      <c r="AD748" s="62">
        <v>13233.953212199109</v>
      </c>
      <c r="AE748" s="62">
        <v>0</v>
      </c>
      <c r="AF748" s="62">
        <v>0</v>
      </c>
      <c r="AG748" s="62">
        <v>0</v>
      </c>
      <c r="AH748" s="62"/>
      <c r="AI748" s="62">
        <v>-9868.2593469958956</v>
      </c>
      <c r="AJ748" s="62">
        <v>-9868.2593469958956</v>
      </c>
      <c r="AK748" s="62">
        <v>-9004.320312016469</v>
      </c>
      <c r="AL748" s="62">
        <v>-3697.266239999979</v>
      </c>
      <c r="AM748" s="62">
        <v>0</v>
      </c>
    </row>
    <row r="749" spans="1:39">
      <c r="A749" s="9">
        <v>98102</v>
      </c>
      <c r="B749" s="10" t="s">
        <v>2123</v>
      </c>
      <c r="C749" s="60">
        <v>1.5809999999999999E-4</v>
      </c>
      <c r="E749" s="62">
        <v>7273.6547229953921</v>
      </c>
      <c r="F749" s="62">
        <v>65671.575453285841</v>
      </c>
      <c r="G749" s="62">
        <v>32843.44282378599</v>
      </c>
      <c r="H749" s="62">
        <v>-19901.196340000002</v>
      </c>
      <c r="I749" s="62">
        <v>0</v>
      </c>
      <c r="J749" s="62"/>
      <c r="K749" s="62">
        <v>-951.28769999999997</v>
      </c>
      <c r="L749" s="62">
        <v>2002.4946</v>
      </c>
      <c r="M749" s="62">
        <v>3715.6661999999997</v>
      </c>
      <c r="N749" s="62">
        <v>2310.6315</v>
      </c>
      <c r="O749" s="62">
        <v>0</v>
      </c>
      <c r="P749" s="62"/>
      <c r="Q749" s="62">
        <v>3480.5715</v>
      </c>
      <c r="R749" s="62">
        <v>57744.443999999996</v>
      </c>
      <c r="S749" s="62">
        <v>22096.372199999998</v>
      </c>
      <c r="T749" s="62">
        <v>-24676.880399999998</v>
      </c>
      <c r="U749" s="62">
        <v>0</v>
      </c>
      <c r="V749" s="62"/>
      <c r="W749" s="62">
        <v>10320.2937</v>
      </c>
      <c r="X749" s="62">
        <v>10320.2937</v>
      </c>
      <c r="Y749" s="62">
        <v>9486.9485999999997</v>
      </c>
      <c r="Z749" s="62">
        <v>4366.7219999999998</v>
      </c>
      <c r="AA749" s="62">
        <v>0</v>
      </c>
      <c r="AB749" s="62"/>
      <c r="AC749" s="62">
        <v>0</v>
      </c>
      <c r="AD749" s="62">
        <v>0</v>
      </c>
      <c r="AE749" s="62">
        <v>0</v>
      </c>
      <c r="AF749" s="62">
        <v>0</v>
      </c>
      <c r="AG749" s="62">
        <v>0</v>
      </c>
      <c r="AH749" s="62"/>
      <c r="AI749" s="62">
        <v>-5575.9227770046073</v>
      </c>
      <c r="AJ749" s="62">
        <v>-4395.6568467141515</v>
      </c>
      <c r="AK749" s="62">
        <v>-2455.5441762140049</v>
      </c>
      <c r="AL749" s="62">
        <v>-1901.6694400000065</v>
      </c>
      <c r="AM749" s="62">
        <v>0</v>
      </c>
    </row>
    <row r="750" spans="1:39">
      <c r="A750" s="9">
        <v>98103</v>
      </c>
      <c r="B750" s="10" t="s">
        <v>2124</v>
      </c>
      <c r="C750" s="60">
        <v>5.4410000000000005E-4</v>
      </c>
      <c r="E750" s="62">
        <v>27302.068286086778</v>
      </c>
      <c r="F750" s="62">
        <v>237898.87153836899</v>
      </c>
      <c r="G750" s="62">
        <v>121880.43749382718</v>
      </c>
      <c r="H750" s="62">
        <v>-59512.789700000008</v>
      </c>
      <c r="I750" s="62">
        <v>0</v>
      </c>
      <c r="J750" s="62"/>
      <c r="K750" s="62">
        <v>-3273.8497000000002</v>
      </c>
      <c r="L750" s="62">
        <v>6891.5706000000009</v>
      </c>
      <c r="M750" s="62">
        <v>12787.438200000001</v>
      </c>
      <c r="N750" s="62">
        <v>7952.0215000000007</v>
      </c>
      <c r="O750" s="62">
        <v>0</v>
      </c>
      <c r="P750" s="62"/>
      <c r="Q750" s="62">
        <v>11978.361500000001</v>
      </c>
      <c r="R750" s="62">
        <v>198727.08400000003</v>
      </c>
      <c r="S750" s="62">
        <v>76044.50420000001</v>
      </c>
      <c r="T750" s="62">
        <v>-84925.304400000008</v>
      </c>
      <c r="U750" s="62">
        <v>0</v>
      </c>
      <c r="V750" s="62"/>
      <c r="W750" s="62">
        <v>35517.215700000001</v>
      </c>
      <c r="X750" s="62">
        <v>35517.215700000001</v>
      </c>
      <c r="Y750" s="62">
        <v>32649.264600000002</v>
      </c>
      <c r="Z750" s="62">
        <v>15028.042000000001</v>
      </c>
      <c r="AA750" s="62">
        <v>0</v>
      </c>
      <c r="AB750" s="62"/>
      <c r="AC750" s="62">
        <v>2432.4511999999986</v>
      </c>
      <c r="AD750" s="62">
        <v>2432.4511999999986</v>
      </c>
      <c r="AE750" s="62">
        <v>2432.4511999999986</v>
      </c>
      <c r="AF750" s="62">
        <v>2432.4511999999986</v>
      </c>
      <c r="AG750" s="62">
        <v>0</v>
      </c>
      <c r="AH750" s="62"/>
      <c r="AI750" s="62">
        <v>-19352.110413913219</v>
      </c>
      <c r="AJ750" s="62">
        <v>-5669.4499616310604</v>
      </c>
      <c r="AK750" s="62">
        <v>-2033.2207061728393</v>
      </c>
      <c r="AL750" s="62">
        <v>0</v>
      </c>
      <c r="AM750" s="62">
        <v>0</v>
      </c>
    </row>
    <row r="751" spans="1:39">
      <c r="A751" s="9">
        <v>98107</v>
      </c>
      <c r="B751" s="10" t="s">
        <v>2125</v>
      </c>
      <c r="C751" s="60">
        <v>1.08E-5</v>
      </c>
      <c r="E751" s="62">
        <v>4335.7676555381386</v>
      </c>
      <c r="F751" s="62">
        <v>7191.0853161190516</v>
      </c>
      <c r="G751" s="62">
        <v>3928.5896093827164</v>
      </c>
      <c r="H751" s="62">
        <v>-372.83663999999987</v>
      </c>
      <c r="I751" s="62">
        <v>0</v>
      </c>
      <c r="J751" s="62"/>
      <c r="K751" s="62">
        <v>-64.983599999999996</v>
      </c>
      <c r="L751" s="62">
        <v>136.7928</v>
      </c>
      <c r="M751" s="62">
        <v>253.82159999999999</v>
      </c>
      <c r="N751" s="62">
        <v>157.84200000000001</v>
      </c>
      <c r="O751" s="62">
        <v>0</v>
      </c>
      <c r="P751" s="62"/>
      <c r="Q751" s="62">
        <v>237.762</v>
      </c>
      <c r="R751" s="62">
        <v>3944.5920000000001</v>
      </c>
      <c r="S751" s="62">
        <v>1509.4295999999999</v>
      </c>
      <c r="T751" s="62">
        <v>-1685.7072000000001</v>
      </c>
      <c r="U751" s="62">
        <v>0</v>
      </c>
      <c r="V751" s="62"/>
      <c r="W751" s="62">
        <v>704.99159999999995</v>
      </c>
      <c r="X751" s="62">
        <v>704.99159999999995</v>
      </c>
      <c r="Y751" s="62">
        <v>648.06479999999999</v>
      </c>
      <c r="Z751" s="62">
        <v>298.29599999999999</v>
      </c>
      <c r="AA751" s="62">
        <v>0</v>
      </c>
      <c r="AB751" s="62"/>
      <c r="AC751" s="62">
        <v>3457.9976555381381</v>
      </c>
      <c r="AD751" s="62">
        <v>2404.7089161190515</v>
      </c>
      <c r="AE751" s="62">
        <v>1517.2736093827166</v>
      </c>
      <c r="AF751" s="62">
        <v>856.73256000000003</v>
      </c>
      <c r="AG751" s="62">
        <v>0</v>
      </c>
      <c r="AH751" s="62"/>
      <c r="AI751" s="62">
        <v>0</v>
      </c>
      <c r="AJ751" s="62">
        <v>0</v>
      </c>
      <c r="AK751" s="62">
        <v>0</v>
      </c>
      <c r="AL751" s="62">
        <v>0</v>
      </c>
      <c r="AM751" s="62">
        <v>0</v>
      </c>
    </row>
    <row r="752" spans="1:39">
      <c r="A752" s="9">
        <v>98109</v>
      </c>
      <c r="B752" s="10" t="s">
        <v>2126</v>
      </c>
      <c r="C752" s="60">
        <v>1.573E-4</v>
      </c>
      <c r="E752" s="62">
        <v>5234.862646945352</v>
      </c>
      <c r="F752" s="62">
        <v>65952.137877650748</v>
      </c>
      <c r="G752" s="62">
        <v>31489.147707654327</v>
      </c>
      <c r="H752" s="62">
        <v>-15354.576579999986</v>
      </c>
      <c r="I752" s="62">
        <v>0</v>
      </c>
      <c r="J752" s="62"/>
      <c r="K752" s="62">
        <v>-946.47410000000002</v>
      </c>
      <c r="L752" s="62">
        <v>1992.3618000000001</v>
      </c>
      <c r="M752" s="62">
        <v>3696.8645999999999</v>
      </c>
      <c r="N752" s="62">
        <v>2298.9395</v>
      </c>
      <c r="O752" s="62">
        <v>0</v>
      </c>
      <c r="P752" s="62"/>
      <c r="Q752" s="62">
        <v>3462.9594999999999</v>
      </c>
      <c r="R752" s="62">
        <v>57452.252</v>
      </c>
      <c r="S752" s="62">
        <v>21984.562600000001</v>
      </c>
      <c r="T752" s="62">
        <v>-24552.013200000001</v>
      </c>
      <c r="U752" s="62">
        <v>0</v>
      </c>
      <c r="V752" s="62"/>
      <c r="W752" s="62">
        <v>10268.072099999999</v>
      </c>
      <c r="X752" s="62">
        <v>10268.072099999999</v>
      </c>
      <c r="Y752" s="62">
        <v>9438.9438000000009</v>
      </c>
      <c r="Z752" s="62">
        <v>4344.6260000000002</v>
      </c>
      <c r="AA752" s="62">
        <v>0</v>
      </c>
      <c r="AB752" s="62"/>
      <c r="AC752" s="62">
        <v>3624.0553938589364</v>
      </c>
      <c r="AD752" s="62">
        <v>3431.4222245643309</v>
      </c>
      <c r="AE752" s="62">
        <v>2553.8711200000134</v>
      </c>
      <c r="AF752" s="62">
        <v>2553.8711200000134</v>
      </c>
      <c r="AG752" s="62">
        <v>0</v>
      </c>
      <c r="AH752" s="62"/>
      <c r="AI752" s="62">
        <v>-11173.750246913583</v>
      </c>
      <c r="AJ752" s="62">
        <v>-7191.9702469135827</v>
      </c>
      <c r="AK752" s="62">
        <v>-6185.0944123456838</v>
      </c>
      <c r="AL752" s="62">
        <v>0</v>
      </c>
      <c r="AM752" s="62">
        <v>0</v>
      </c>
    </row>
    <row r="753" spans="1:39">
      <c r="A753" s="9">
        <v>98111</v>
      </c>
      <c r="B753" s="10" t="s">
        <v>2127</v>
      </c>
      <c r="C753" s="60">
        <v>1.0143000000000001E-3</v>
      </c>
      <c r="E753" s="62">
        <v>60939.935580282101</v>
      </c>
      <c r="F753" s="62">
        <v>429183.35396891285</v>
      </c>
      <c r="G753" s="62">
        <v>209115.23607596717</v>
      </c>
      <c r="H753" s="62">
        <v>-122905.36757999998</v>
      </c>
      <c r="I753" s="62">
        <v>0</v>
      </c>
      <c r="J753" s="62"/>
      <c r="K753" s="62">
        <v>-6103.0431000000008</v>
      </c>
      <c r="L753" s="62">
        <v>12847.123800000001</v>
      </c>
      <c r="M753" s="62">
        <v>23838.078600000001</v>
      </c>
      <c r="N753" s="62">
        <v>14823.994500000001</v>
      </c>
      <c r="O753" s="62">
        <v>0</v>
      </c>
      <c r="P753" s="62"/>
      <c r="Q753" s="62">
        <v>22329.8145</v>
      </c>
      <c r="R753" s="62">
        <v>370462.93200000003</v>
      </c>
      <c r="S753" s="62">
        <v>141760.59660000002</v>
      </c>
      <c r="T753" s="62">
        <v>-158316.00120000003</v>
      </c>
      <c r="U753" s="62">
        <v>0</v>
      </c>
      <c r="V753" s="62"/>
      <c r="W753" s="62">
        <v>66210.4611</v>
      </c>
      <c r="X753" s="62">
        <v>66210.4611</v>
      </c>
      <c r="Y753" s="62">
        <v>60864.085800000008</v>
      </c>
      <c r="Z753" s="62">
        <v>28014.966000000004</v>
      </c>
      <c r="AA753" s="62">
        <v>0</v>
      </c>
      <c r="AB753" s="62"/>
      <c r="AC753" s="62">
        <v>0</v>
      </c>
      <c r="AD753" s="62">
        <v>0</v>
      </c>
      <c r="AE753" s="62">
        <v>0</v>
      </c>
      <c r="AF753" s="62">
        <v>0</v>
      </c>
      <c r="AG753" s="62">
        <v>0</v>
      </c>
      <c r="AH753" s="62"/>
      <c r="AI753" s="62">
        <v>-21497.296919717897</v>
      </c>
      <c r="AJ753" s="62">
        <v>-20337.162931087179</v>
      </c>
      <c r="AK753" s="62">
        <v>-17347.524924032856</v>
      </c>
      <c r="AL753" s="62">
        <v>-7428.3268799999496</v>
      </c>
      <c r="AM753" s="62">
        <v>0</v>
      </c>
    </row>
    <row r="754" spans="1:39">
      <c r="A754" s="9">
        <v>98113</v>
      </c>
      <c r="B754" s="10" t="s">
        <v>2128</v>
      </c>
      <c r="C754" s="60">
        <v>4.6199999999999998E-5</v>
      </c>
      <c r="E754" s="62">
        <v>8391.1672436418849</v>
      </c>
      <c r="F754" s="62">
        <v>23827.090031193751</v>
      </c>
      <c r="G754" s="62">
        <v>12402.076435390944</v>
      </c>
      <c r="H754" s="62">
        <v>-3596.595000000003</v>
      </c>
      <c r="I754" s="62">
        <v>0</v>
      </c>
      <c r="J754" s="62"/>
      <c r="K754" s="62">
        <v>-277.98539999999997</v>
      </c>
      <c r="L754" s="62">
        <v>585.16919999999993</v>
      </c>
      <c r="M754" s="62">
        <v>1085.7924</v>
      </c>
      <c r="N754" s="62">
        <v>675.21299999999997</v>
      </c>
      <c r="O754" s="62">
        <v>0</v>
      </c>
      <c r="P754" s="62"/>
      <c r="Q754" s="62">
        <v>1017.093</v>
      </c>
      <c r="R754" s="62">
        <v>16874.088</v>
      </c>
      <c r="S754" s="62">
        <v>6457.0043999999998</v>
      </c>
      <c r="T754" s="62">
        <v>-7211.0807999999997</v>
      </c>
      <c r="U754" s="62">
        <v>0</v>
      </c>
      <c r="V754" s="62"/>
      <c r="W754" s="62">
        <v>3015.7973999999999</v>
      </c>
      <c r="X754" s="62">
        <v>3015.7973999999999</v>
      </c>
      <c r="Y754" s="62">
        <v>2772.2772</v>
      </c>
      <c r="Z754" s="62">
        <v>1276.0439999999999</v>
      </c>
      <c r="AA754" s="62">
        <v>0</v>
      </c>
      <c r="AB754" s="62"/>
      <c r="AC754" s="62">
        <v>4636.262243641886</v>
      </c>
      <c r="AD754" s="62">
        <v>3352.0354311937535</v>
      </c>
      <c r="AE754" s="62">
        <v>2087.0024353909425</v>
      </c>
      <c r="AF754" s="62">
        <v>1663.2287999999971</v>
      </c>
      <c r="AG754" s="62">
        <v>0</v>
      </c>
      <c r="AH754" s="62"/>
      <c r="AI754" s="62">
        <v>0</v>
      </c>
      <c r="AJ754" s="62">
        <v>0</v>
      </c>
      <c r="AK754" s="62">
        <v>0</v>
      </c>
      <c r="AL754" s="62">
        <v>0</v>
      </c>
      <c r="AM754" s="62">
        <v>0</v>
      </c>
    </row>
    <row r="755" spans="1:39">
      <c r="A755" s="9">
        <v>98121</v>
      </c>
      <c r="B755" s="10" t="s">
        <v>2129</v>
      </c>
      <c r="C755" s="60">
        <v>2.0100000000000001E-4</v>
      </c>
      <c r="E755" s="62">
        <v>10607.720739196411</v>
      </c>
      <c r="F755" s="62">
        <v>82131.573717370688</v>
      </c>
      <c r="G755" s="62">
        <v>39739.733872674886</v>
      </c>
      <c r="H755" s="62">
        <v>-28174.821880000003</v>
      </c>
      <c r="I755" s="62">
        <v>0</v>
      </c>
      <c r="J755" s="62"/>
      <c r="K755" s="62">
        <v>-1209.4170000000001</v>
      </c>
      <c r="L755" s="62">
        <v>2545.866</v>
      </c>
      <c r="M755" s="62">
        <v>4723.902</v>
      </c>
      <c r="N755" s="62">
        <v>2937.6150000000002</v>
      </c>
      <c r="O755" s="62">
        <v>0</v>
      </c>
      <c r="P755" s="62"/>
      <c r="Q755" s="62">
        <v>4425.0150000000003</v>
      </c>
      <c r="R755" s="62">
        <v>73413.240000000005</v>
      </c>
      <c r="S755" s="62">
        <v>28092.162</v>
      </c>
      <c r="T755" s="62">
        <v>-31372.884000000002</v>
      </c>
      <c r="U755" s="62">
        <v>0</v>
      </c>
      <c r="V755" s="62"/>
      <c r="W755" s="62">
        <v>13120.677</v>
      </c>
      <c r="X755" s="62">
        <v>13120.677</v>
      </c>
      <c r="Y755" s="62">
        <v>12061.206</v>
      </c>
      <c r="Z755" s="62">
        <v>5551.62</v>
      </c>
      <c r="AA755" s="62">
        <v>0</v>
      </c>
      <c r="AB755" s="62"/>
      <c r="AC755" s="62">
        <v>1801.257386831275</v>
      </c>
      <c r="AD755" s="62">
        <v>178.64738683127462</v>
      </c>
      <c r="AE755" s="62">
        <v>153.63675267489623</v>
      </c>
      <c r="AF755" s="62">
        <v>0</v>
      </c>
      <c r="AG755" s="62">
        <v>0</v>
      </c>
      <c r="AH755" s="62"/>
      <c r="AI755" s="62">
        <v>-7529.8116476348623</v>
      </c>
      <c r="AJ755" s="62">
        <v>-7126.8566694605879</v>
      </c>
      <c r="AK755" s="62">
        <v>-5291.1728800000019</v>
      </c>
      <c r="AL755" s="62">
        <v>-5291.1728800000019</v>
      </c>
      <c r="AM755" s="62">
        <v>0</v>
      </c>
    </row>
    <row r="756" spans="1:39">
      <c r="A756" s="9">
        <v>98131</v>
      </c>
      <c r="B756" s="10" t="s">
        <v>2130</v>
      </c>
      <c r="C756" s="60">
        <v>2.5230000000000001E-4</v>
      </c>
      <c r="E756" s="62">
        <v>-3062.8295215303478</v>
      </c>
      <c r="F756" s="62">
        <v>97580.790938137696</v>
      </c>
      <c r="G756" s="62">
        <v>46885.522882386824</v>
      </c>
      <c r="H756" s="62">
        <v>-35224.720460000004</v>
      </c>
      <c r="I756" s="62">
        <v>0</v>
      </c>
      <c r="J756" s="62"/>
      <c r="K756" s="62">
        <v>-1518.0891000000001</v>
      </c>
      <c r="L756" s="62">
        <v>3195.6318000000001</v>
      </c>
      <c r="M756" s="62">
        <v>5929.5546000000004</v>
      </c>
      <c r="N756" s="62">
        <v>3687.3645000000001</v>
      </c>
      <c r="O756" s="62">
        <v>0</v>
      </c>
      <c r="P756" s="62"/>
      <c r="Q756" s="62">
        <v>5554.3845000000001</v>
      </c>
      <c r="R756" s="62">
        <v>92150.051999999996</v>
      </c>
      <c r="S756" s="62">
        <v>35261.952600000004</v>
      </c>
      <c r="T756" s="62">
        <v>-39379.993200000004</v>
      </c>
      <c r="U756" s="62">
        <v>0</v>
      </c>
      <c r="V756" s="62"/>
      <c r="W756" s="62">
        <v>16469.3871</v>
      </c>
      <c r="X756" s="62">
        <v>16469.3871</v>
      </c>
      <c r="Y756" s="62">
        <v>15139.513800000001</v>
      </c>
      <c r="Z756" s="62">
        <v>6968.5259999999998</v>
      </c>
      <c r="AA756" s="62">
        <v>0</v>
      </c>
      <c r="AB756" s="62"/>
      <c r="AC756" s="62">
        <v>0</v>
      </c>
      <c r="AD756" s="62">
        <v>0</v>
      </c>
      <c r="AE756" s="62">
        <v>0</v>
      </c>
      <c r="AF756" s="62">
        <v>0</v>
      </c>
      <c r="AG756" s="62">
        <v>0</v>
      </c>
      <c r="AH756" s="62"/>
      <c r="AI756" s="62">
        <v>-23568.512021530347</v>
      </c>
      <c r="AJ756" s="62">
        <v>-14234.279961862292</v>
      </c>
      <c r="AK756" s="62">
        <v>-9445.4981176131841</v>
      </c>
      <c r="AL756" s="62">
        <v>-6500.6177600000028</v>
      </c>
      <c r="AM756" s="62">
        <v>0</v>
      </c>
    </row>
    <row r="757" spans="1:39">
      <c r="A757" s="9">
        <v>98141</v>
      </c>
      <c r="B757" s="10" t="s">
        <v>2131</v>
      </c>
      <c r="C757" s="60">
        <v>3.0360000000000001E-4</v>
      </c>
      <c r="E757" s="62">
        <v>13127.674952947764</v>
      </c>
      <c r="F757" s="62">
        <v>131086.90149718014</v>
      </c>
      <c r="G757" s="62">
        <v>64581.50466082307</v>
      </c>
      <c r="H757" s="62">
        <v>-33499.205439999976</v>
      </c>
      <c r="I757" s="62">
        <v>0</v>
      </c>
      <c r="J757" s="62"/>
      <c r="K757" s="62">
        <v>-1826.7612000000001</v>
      </c>
      <c r="L757" s="62">
        <v>3845.3976000000002</v>
      </c>
      <c r="M757" s="62">
        <v>7135.2071999999998</v>
      </c>
      <c r="N757" s="62">
        <v>4437.1140000000005</v>
      </c>
      <c r="O757" s="62">
        <v>0</v>
      </c>
      <c r="P757" s="62"/>
      <c r="Q757" s="62">
        <v>6683.7539999999999</v>
      </c>
      <c r="R757" s="62">
        <v>110886.864</v>
      </c>
      <c r="S757" s="62">
        <v>42431.743200000004</v>
      </c>
      <c r="T757" s="62">
        <v>-47387.102400000003</v>
      </c>
      <c r="U757" s="62">
        <v>0</v>
      </c>
      <c r="V757" s="62"/>
      <c r="W757" s="62">
        <v>19818.0972</v>
      </c>
      <c r="X757" s="62">
        <v>19818.0972</v>
      </c>
      <c r="Y757" s="62">
        <v>18217.821599999999</v>
      </c>
      <c r="Z757" s="62">
        <v>8385.4320000000007</v>
      </c>
      <c r="AA757" s="62">
        <v>0</v>
      </c>
      <c r="AB757" s="62"/>
      <c r="AC757" s="62">
        <v>1595.4746031535244</v>
      </c>
      <c r="AD757" s="62">
        <v>1500.0523473858941</v>
      </c>
      <c r="AE757" s="62">
        <v>1065.3509600000223</v>
      </c>
      <c r="AF757" s="62">
        <v>1065.3509600000223</v>
      </c>
      <c r="AG757" s="62">
        <v>0</v>
      </c>
      <c r="AH757" s="62"/>
      <c r="AI757" s="62">
        <v>-13142.889650205761</v>
      </c>
      <c r="AJ757" s="62">
        <v>-4963.5096502057586</v>
      </c>
      <c r="AK757" s="62">
        <v>-4268.6182991769538</v>
      </c>
      <c r="AL757" s="62">
        <v>0</v>
      </c>
      <c r="AM757" s="62">
        <v>0</v>
      </c>
    </row>
    <row r="758" spans="1:39">
      <c r="A758" s="9">
        <v>98147</v>
      </c>
      <c r="B758" s="10" t="s">
        <v>2132</v>
      </c>
      <c r="C758" s="60">
        <v>1.29E-5</v>
      </c>
      <c r="E758" s="62">
        <v>4336.3152187924115</v>
      </c>
      <c r="F758" s="62">
        <v>8135.1855524023713</v>
      </c>
      <c r="G758" s="62">
        <v>4611.2338779423872</v>
      </c>
      <c r="H758" s="62">
        <v>-674.46082000000024</v>
      </c>
      <c r="I758" s="62">
        <v>0</v>
      </c>
      <c r="J758" s="62"/>
      <c r="K758" s="62">
        <v>-77.619299999999996</v>
      </c>
      <c r="L758" s="62">
        <v>163.3914</v>
      </c>
      <c r="M758" s="62">
        <v>303.17579999999998</v>
      </c>
      <c r="N758" s="62">
        <v>188.5335</v>
      </c>
      <c r="O758" s="62">
        <v>0</v>
      </c>
      <c r="P758" s="62"/>
      <c r="Q758" s="62">
        <v>283.99349999999998</v>
      </c>
      <c r="R758" s="62">
        <v>4711.5960000000005</v>
      </c>
      <c r="S758" s="62">
        <v>1802.9298000000001</v>
      </c>
      <c r="T758" s="62">
        <v>-2013.4836</v>
      </c>
      <c r="U758" s="62">
        <v>0</v>
      </c>
      <c r="V758" s="62"/>
      <c r="W758" s="62">
        <v>842.07330000000002</v>
      </c>
      <c r="X758" s="62">
        <v>842.07330000000002</v>
      </c>
      <c r="Y758" s="62">
        <v>774.07740000000001</v>
      </c>
      <c r="Z758" s="62">
        <v>356.298</v>
      </c>
      <c r="AA758" s="62">
        <v>0</v>
      </c>
      <c r="AB758" s="62"/>
      <c r="AC758" s="62">
        <v>3287.8677187924118</v>
      </c>
      <c r="AD758" s="62">
        <v>2418.1248524023704</v>
      </c>
      <c r="AE758" s="62">
        <v>1731.0508779423872</v>
      </c>
      <c r="AF758" s="62">
        <v>794.19127999999978</v>
      </c>
      <c r="AG758" s="62">
        <v>0</v>
      </c>
      <c r="AH758" s="62"/>
      <c r="AI758" s="62">
        <v>0</v>
      </c>
      <c r="AJ758" s="62">
        <v>0</v>
      </c>
      <c r="AK758" s="62">
        <v>0</v>
      </c>
      <c r="AL758" s="62">
        <v>0</v>
      </c>
      <c r="AM758" s="62">
        <v>0</v>
      </c>
    </row>
    <row r="759" spans="1:39">
      <c r="A759" s="9">
        <v>98161</v>
      </c>
      <c r="B759" s="10" t="s">
        <v>2133</v>
      </c>
      <c r="C759" s="60">
        <v>7.3000000000000004E-6</v>
      </c>
      <c r="E759" s="62">
        <v>1665.014564218704</v>
      </c>
      <c r="F759" s="62">
        <v>3987.6236513556337</v>
      </c>
      <c r="G759" s="62">
        <v>2172.5360734156375</v>
      </c>
      <c r="H759" s="62">
        <v>-508.87402000000026</v>
      </c>
      <c r="I759" s="62">
        <v>0</v>
      </c>
      <c r="J759" s="62"/>
      <c r="K759" s="62">
        <v>-43.924100000000003</v>
      </c>
      <c r="L759" s="62">
        <v>92.461800000000011</v>
      </c>
      <c r="M759" s="62">
        <v>171.56460000000001</v>
      </c>
      <c r="N759" s="62">
        <v>106.68950000000001</v>
      </c>
      <c r="O759" s="62">
        <v>0</v>
      </c>
      <c r="P759" s="62"/>
      <c r="Q759" s="62">
        <v>160.70950000000002</v>
      </c>
      <c r="R759" s="62">
        <v>2666.252</v>
      </c>
      <c r="S759" s="62">
        <v>1020.2626</v>
      </c>
      <c r="T759" s="62">
        <v>-1139.4132</v>
      </c>
      <c r="U759" s="62">
        <v>0</v>
      </c>
      <c r="V759" s="62"/>
      <c r="W759" s="62">
        <v>476.52210000000002</v>
      </c>
      <c r="X759" s="62">
        <v>476.52210000000002</v>
      </c>
      <c r="Y759" s="62">
        <v>438.04380000000003</v>
      </c>
      <c r="Z759" s="62">
        <v>201.626</v>
      </c>
      <c r="AA759" s="62">
        <v>0</v>
      </c>
      <c r="AB759" s="62"/>
      <c r="AC759" s="62">
        <v>1071.7070642187041</v>
      </c>
      <c r="AD759" s="62">
        <v>752.38775135563367</v>
      </c>
      <c r="AE759" s="62">
        <v>542.66507341563738</v>
      </c>
      <c r="AF759" s="62">
        <v>322.22367999999977</v>
      </c>
      <c r="AG759" s="62">
        <v>0</v>
      </c>
      <c r="AH759" s="62"/>
      <c r="AI759" s="62">
        <v>0</v>
      </c>
      <c r="AJ759" s="62">
        <v>0</v>
      </c>
      <c r="AK759" s="62">
        <v>0</v>
      </c>
      <c r="AL759" s="62">
        <v>0</v>
      </c>
      <c r="AM759" s="62">
        <v>0</v>
      </c>
    </row>
    <row r="760" spans="1:39">
      <c r="A760" s="9">
        <v>98201</v>
      </c>
      <c r="B760" s="10" t="s">
        <v>2134</v>
      </c>
      <c r="C760" s="60">
        <v>3.1664000000000002E-3</v>
      </c>
      <c r="E760" s="62">
        <v>252026.81929815837</v>
      </c>
      <c r="F760" s="62">
        <v>1404791.9009270379</v>
      </c>
      <c r="G760" s="62">
        <v>718874.55473226344</v>
      </c>
      <c r="H760" s="62">
        <v>-344593.04552000004</v>
      </c>
      <c r="I760" s="62">
        <v>0</v>
      </c>
      <c r="J760" s="62"/>
      <c r="K760" s="62">
        <v>-19052.228800000001</v>
      </c>
      <c r="L760" s="62">
        <v>40105.6224</v>
      </c>
      <c r="M760" s="62">
        <v>74416.732799999998</v>
      </c>
      <c r="N760" s="62">
        <v>46276.936000000002</v>
      </c>
      <c r="O760" s="62">
        <v>0</v>
      </c>
      <c r="P760" s="62"/>
      <c r="Q760" s="62">
        <v>69708.296000000002</v>
      </c>
      <c r="R760" s="62">
        <v>1156495.936</v>
      </c>
      <c r="S760" s="62">
        <v>442542.39680000005</v>
      </c>
      <c r="T760" s="62">
        <v>-494224.37760000001</v>
      </c>
      <c r="U760" s="62">
        <v>0</v>
      </c>
      <c r="V760" s="62"/>
      <c r="W760" s="62">
        <v>206693.09280000001</v>
      </c>
      <c r="X760" s="62">
        <v>206693.09280000001</v>
      </c>
      <c r="Y760" s="62">
        <v>190002.99840000001</v>
      </c>
      <c r="Z760" s="62">
        <v>87455.968000000008</v>
      </c>
      <c r="AA760" s="62">
        <v>0</v>
      </c>
      <c r="AB760" s="62"/>
      <c r="AC760" s="62">
        <v>15898.428079999985</v>
      </c>
      <c r="AD760" s="62">
        <v>15898.428079999985</v>
      </c>
      <c r="AE760" s="62">
        <v>15898.428079999985</v>
      </c>
      <c r="AF760" s="62">
        <v>15898.428079999985</v>
      </c>
      <c r="AG760" s="62">
        <v>0</v>
      </c>
      <c r="AH760" s="62"/>
      <c r="AI760" s="62">
        <v>-21220.768781841638</v>
      </c>
      <c r="AJ760" s="62">
        <v>-14401.178352961986</v>
      </c>
      <c r="AK760" s="62">
        <v>-3986.0013477365819</v>
      </c>
      <c r="AL760" s="62">
        <v>0</v>
      </c>
      <c r="AM760" s="62">
        <v>0</v>
      </c>
    </row>
    <row r="761" spans="1:39">
      <c r="A761" s="9">
        <v>98205</v>
      </c>
      <c r="B761" s="10" t="s">
        <v>2135</v>
      </c>
      <c r="C761" s="60">
        <v>4.6799999999999999E-5</v>
      </c>
      <c r="E761" s="62">
        <v>3660.4962796830723</v>
      </c>
      <c r="F761" s="62">
        <v>20519.339472214197</v>
      </c>
      <c r="G761" s="62">
        <v>10638.969747242794</v>
      </c>
      <c r="H761" s="62">
        <v>-5678.4790400000029</v>
      </c>
      <c r="I761" s="62">
        <v>0</v>
      </c>
      <c r="J761" s="62"/>
      <c r="K761" s="62">
        <v>-281.59559999999999</v>
      </c>
      <c r="L761" s="62">
        <v>592.76879999999994</v>
      </c>
      <c r="M761" s="62">
        <v>1099.8935999999999</v>
      </c>
      <c r="N761" s="62">
        <v>683.98199999999997</v>
      </c>
      <c r="O761" s="62">
        <v>0</v>
      </c>
      <c r="P761" s="62"/>
      <c r="Q761" s="62">
        <v>1030.3019999999999</v>
      </c>
      <c r="R761" s="62">
        <v>17093.232</v>
      </c>
      <c r="S761" s="62">
        <v>6540.8616000000002</v>
      </c>
      <c r="T761" s="62">
        <v>-7304.7312000000002</v>
      </c>
      <c r="U761" s="62">
        <v>0</v>
      </c>
      <c r="V761" s="62"/>
      <c r="W761" s="62">
        <v>3054.9636</v>
      </c>
      <c r="X761" s="62">
        <v>3054.9636</v>
      </c>
      <c r="Y761" s="62">
        <v>2808.2808</v>
      </c>
      <c r="Z761" s="62">
        <v>1292.616</v>
      </c>
      <c r="AA761" s="62">
        <v>0</v>
      </c>
      <c r="AB761" s="62"/>
      <c r="AC761" s="62">
        <v>816.33207818929839</v>
      </c>
      <c r="AD761" s="62">
        <v>628.23207818929836</v>
      </c>
      <c r="AE761" s="62">
        <v>540.27958724279677</v>
      </c>
      <c r="AF761" s="62">
        <v>0</v>
      </c>
      <c r="AG761" s="62">
        <v>0</v>
      </c>
      <c r="AH761" s="62"/>
      <c r="AI761" s="62">
        <v>-959.50579850622557</v>
      </c>
      <c r="AJ761" s="62">
        <v>-849.85700597510549</v>
      </c>
      <c r="AK761" s="62">
        <v>-350.34584000000251</v>
      </c>
      <c r="AL761" s="62">
        <v>-350.34584000000251</v>
      </c>
      <c r="AM761" s="62">
        <v>0</v>
      </c>
    </row>
    <row r="762" spans="1:39">
      <c r="A762" s="9">
        <v>98211</v>
      </c>
      <c r="B762" s="10" t="s">
        <v>2136</v>
      </c>
      <c r="C762" s="60">
        <v>8.6689999999999998E-4</v>
      </c>
      <c r="E762" s="62">
        <v>20371.689297683864</v>
      </c>
      <c r="F762" s="62">
        <v>341515.93930473778</v>
      </c>
      <c r="G762" s="62">
        <v>164286.98246362136</v>
      </c>
      <c r="H762" s="62">
        <v>-113494.83258000003</v>
      </c>
      <c r="I762" s="62">
        <v>0</v>
      </c>
      <c r="J762" s="62"/>
      <c r="K762" s="62">
        <v>-5216.1373000000003</v>
      </c>
      <c r="L762" s="62">
        <v>10980.1554</v>
      </c>
      <c r="M762" s="62">
        <v>20373.8838</v>
      </c>
      <c r="N762" s="62">
        <v>12669.7435</v>
      </c>
      <c r="O762" s="62">
        <v>0</v>
      </c>
      <c r="P762" s="62"/>
      <c r="Q762" s="62">
        <v>19084.803499999998</v>
      </c>
      <c r="R762" s="62">
        <v>316626.55599999998</v>
      </c>
      <c r="S762" s="62">
        <v>121159.6778</v>
      </c>
      <c r="T762" s="62">
        <v>-135309.21960000001</v>
      </c>
      <c r="U762" s="62">
        <v>0</v>
      </c>
      <c r="V762" s="62"/>
      <c r="W762" s="62">
        <v>56588.631300000001</v>
      </c>
      <c r="X762" s="62">
        <v>56588.631300000001</v>
      </c>
      <c r="Y762" s="62">
        <v>52019.201399999998</v>
      </c>
      <c r="Z762" s="62">
        <v>23943.777999999998</v>
      </c>
      <c r="AA762" s="62">
        <v>0</v>
      </c>
      <c r="AB762" s="62"/>
      <c r="AC762" s="62">
        <v>0</v>
      </c>
      <c r="AD762" s="62">
        <v>0</v>
      </c>
      <c r="AE762" s="62">
        <v>0</v>
      </c>
      <c r="AF762" s="62">
        <v>0</v>
      </c>
      <c r="AG762" s="62">
        <v>0</v>
      </c>
      <c r="AH762" s="62"/>
      <c r="AI762" s="62">
        <v>-50085.608202316136</v>
      </c>
      <c r="AJ762" s="62">
        <v>-42679.403395262205</v>
      </c>
      <c r="AK762" s="62">
        <v>-29265.780536378639</v>
      </c>
      <c r="AL762" s="62">
        <v>-14799.134480000019</v>
      </c>
      <c r="AM762" s="62">
        <v>0</v>
      </c>
    </row>
    <row r="763" spans="1:39">
      <c r="A763" s="9">
        <v>98218</v>
      </c>
      <c r="B763" s="10" t="s">
        <v>2137</v>
      </c>
      <c r="C763" s="60">
        <v>1.3200000000000001E-5</v>
      </c>
      <c r="E763" s="62">
        <v>742.09763834366345</v>
      </c>
      <c r="F763" s="62">
        <v>6057.2225445677304</v>
      </c>
      <c r="G763" s="62">
        <v>3369.1664416460908</v>
      </c>
      <c r="H763" s="62">
        <v>-1046.0781600000005</v>
      </c>
      <c r="I763" s="62">
        <v>0</v>
      </c>
      <c r="J763" s="62"/>
      <c r="K763" s="62">
        <v>-79.424400000000006</v>
      </c>
      <c r="L763" s="62">
        <v>167.19120000000001</v>
      </c>
      <c r="M763" s="62">
        <v>310.22640000000001</v>
      </c>
      <c r="N763" s="62">
        <v>192.91800000000001</v>
      </c>
      <c r="O763" s="62">
        <v>0</v>
      </c>
      <c r="P763" s="62"/>
      <c r="Q763" s="62">
        <v>290.59800000000001</v>
      </c>
      <c r="R763" s="62">
        <v>4821.1680000000006</v>
      </c>
      <c r="S763" s="62">
        <v>1844.8584000000001</v>
      </c>
      <c r="T763" s="62">
        <v>-2060.3088000000002</v>
      </c>
      <c r="U763" s="62">
        <v>0</v>
      </c>
      <c r="V763" s="62"/>
      <c r="W763" s="62">
        <v>861.65640000000008</v>
      </c>
      <c r="X763" s="62">
        <v>861.65640000000008</v>
      </c>
      <c r="Y763" s="62">
        <v>792.07920000000001</v>
      </c>
      <c r="Z763" s="62">
        <v>364.584</v>
      </c>
      <c r="AA763" s="62">
        <v>0</v>
      </c>
      <c r="AB763" s="62"/>
      <c r="AC763" s="62">
        <v>456.7286399999997</v>
      </c>
      <c r="AD763" s="62">
        <v>456.7286399999997</v>
      </c>
      <c r="AE763" s="62">
        <v>456.7286399999997</v>
      </c>
      <c r="AF763" s="62">
        <v>456.7286399999997</v>
      </c>
      <c r="AG763" s="62">
        <v>0</v>
      </c>
      <c r="AH763" s="62"/>
      <c r="AI763" s="62">
        <v>-787.46100165633629</v>
      </c>
      <c r="AJ763" s="62">
        <v>-249.52169543226984</v>
      </c>
      <c r="AK763" s="62">
        <v>-34.726198353909204</v>
      </c>
      <c r="AL763" s="62">
        <v>0</v>
      </c>
      <c r="AM763" s="62">
        <v>0</v>
      </c>
    </row>
    <row r="764" spans="1:39">
      <c r="A764" s="9">
        <v>98221</v>
      </c>
      <c r="B764" s="10" t="s">
        <v>2138</v>
      </c>
      <c r="C764" s="60">
        <v>1.8899999999999999E-5</v>
      </c>
      <c r="E764" s="62">
        <v>3005.3724674176515</v>
      </c>
      <c r="F764" s="62">
        <v>9801.0543611935827</v>
      </c>
      <c r="G764" s="62">
        <v>5354.2527353086416</v>
      </c>
      <c r="H764" s="62">
        <v>-1587.2523400000005</v>
      </c>
      <c r="I764" s="62">
        <v>0</v>
      </c>
      <c r="J764" s="62"/>
      <c r="K764" s="62">
        <v>-113.72129999999999</v>
      </c>
      <c r="L764" s="62">
        <v>239.38739999999999</v>
      </c>
      <c r="M764" s="62">
        <v>444.18779999999998</v>
      </c>
      <c r="N764" s="62">
        <v>276.2235</v>
      </c>
      <c r="O764" s="62">
        <v>0</v>
      </c>
      <c r="P764" s="62"/>
      <c r="Q764" s="62">
        <v>416.08349999999996</v>
      </c>
      <c r="R764" s="62">
        <v>6903.0359999999991</v>
      </c>
      <c r="S764" s="62">
        <v>2641.5018</v>
      </c>
      <c r="T764" s="62">
        <v>-2949.9875999999999</v>
      </c>
      <c r="U764" s="62">
        <v>0</v>
      </c>
      <c r="V764" s="62"/>
      <c r="W764" s="62">
        <v>1233.7352999999998</v>
      </c>
      <c r="X764" s="62">
        <v>1233.7352999999998</v>
      </c>
      <c r="Y764" s="62">
        <v>1134.1134</v>
      </c>
      <c r="Z764" s="62">
        <v>522.01799999999992</v>
      </c>
      <c r="AA764" s="62">
        <v>0</v>
      </c>
      <c r="AB764" s="62"/>
      <c r="AC764" s="62">
        <v>1469.2749674176516</v>
      </c>
      <c r="AD764" s="62">
        <v>1424.8956611935855</v>
      </c>
      <c r="AE764" s="62">
        <v>1134.4497353086415</v>
      </c>
      <c r="AF764" s="62">
        <v>564.49375999999938</v>
      </c>
      <c r="AG764" s="62">
        <v>0</v>
      </c>
      <c r="AH764" s="62"/>
      <c r="AI764" s="62">
        <v>0</v>
      </c>
      <c r="AJ764" s="62">
        <v>0</v>
      </c>
      <c r="AK764" s="62">
        <v>0</v>
      </c>
      <c r="AL764" s="62">
        <v>0</v>
      </c>
      <c r="AM764" s="62">
        <v>0</v>
      </c>
    </row>
    <row r="765" spans="1:39">
      <c r="A765" s="9">
        <v>98231</v>
      </c>
      <c r="B765" s="10" t="s">
        <v>2139</v>
      </c>
      <c r="C765" s="60">
        <v>2.2799999999999999E-5</v>
      </c>
      <c r="E765" s="62">
        <v>-1713.4774528251637</v>
      </c>
      <c r="F765" s="62">
        <v>8935.5037384611423</v>
      </c>
      <c r="G765" s="62">
        <v>3237.2921382716027</v>
      </c>
      <c r="H765" s="62">
        <v>-3933.7768000000005</v>
      </c>
      <c r="I765" s="62">
        <v>0</v>
      </c>
      <c r="J765" s="62"/>
      <c r="K765" s="62">
        <v>-137.1876</v>
      </c>
      <c r="L765" s="62">
        <v>288.78479999999996</v>
      </c>
      <c r="M765" s="62">
        <v>535.84559999999999</v>
      </c>
      <c r="N765" s="62">
        <v>333.22199999999998</v>
      </c>
      <c r="O765" s="62">
        <v>0</v>
      </c>
      <c r="P765" s="62"/>
      <c r="Q765" s="62">
        <v>501.94199999999995</v>
      </c>
      <c r="R765" s="62">
        <v>8327.4719999999998</v>
      </c>
      <c r="S765" s="62">
        <v>3186.5735999999997</v>
      </c>
      <c r="T765" s="62">
        <v>-3558.7151999999996</v>
      </c>
      <c r="U765" s="62">
        <v>0</v>
      </c>
      <c r="V765" s="62"/>
      <c r="W765" s="62">
        <v>1488.3155999999999</v>
      </c>
      <c r="X765" s="62">
        <v>1488.3155999999999</v>
      </c>
      <c r="Y765" s="62">
        <v>1368.1368</v>
      </c>
      <c r="Z765" s="62">
        <v>629.73599999999999</v>
      </c>
      <c r="AA765" s="62">
        <v>0</v>
      </c>
      <c r="AB765" s="62"/>
      <c r="AC765" s="62">
        <v>936.67338174273925</v>
      </c>
      <c r="AD765" s="62">
        <v>768.07217302904644</v>
      </c>
      <c r="AE765" s="62">
        <v>0</v>
      </c>
      <c r="AF765" s="62">
        <v>0</v>
      </c>
      <c r="AG765" s="62">
        <v>0</v>
      </c>
      <c r="AH765" s="62"/>
      <c r="AI765" s="62">
        <v>-4503.2208345679028</v>
      </c>
      <c r="AJ765" s="62">
        <v>-1937.1408345679029</v>
      </c>
      <c r="AK765" s="62">
        <v>-1853.2638617283969</v>
      </c>
      <c r="AL765" s="62">
        <v>-1338.0196000000003</v>
      </c>
      <c r="AM765" s="62">
        <v>0</v>
      </c>
    </row>
    <row r="766" spans="1:39">
      <c r="A766" s="9">
        <v>98237</v>
      </c>
      <c r="B766" s="10" t="s">
        <v>2140</v>
      </c>
      <c r="C766" s="60">
        <v>5.9000000000000003E-6</v>
      </c>
      <c r="E766" s="62">
        <v>2143.1285008080195</v>
      </c>
      <c r="F766" s="62">
        <v>3972.9223099366504</v>
      </c>
      <c r="G766" s="62">
        <v>2457.799849465021</v>
      </c>
      <c r="H766" s="62">
        <v>199.86154000000045</v>
      </c>
      <c r="I766" s="62">
        <v>0</v>
      </c>
      <c r="J766" s="62"/>
      <c r="K766" s="62">
        <v>-35.500300000000003</v>
      </c>
      <c r="L766" s="62">
        <v>74.729399999999998</v>
      </c>
      <c r="M766" s="62">
        <v>138.6618</v>
      </c>
      <c r="N766" s="62">
        <v>86.228499999999997</v>
      </c>
      <c r="O766" s="62">
        <v>0</v>
      </c>
      <c r="P766" s="62"/>
      <c r="Q766" s="62">
        <v>129.88849999999999</v>
      </c>
      <c r="R766" s="62">
        <v>2154.9160000000002</v>
      </c>
      <c r="S766" s="62">
        <v>824.59580000000005</v>
      </c>
      <c r="T766" s="62">
        <v>-920.89560000000006</v>
      </c>
      <c r="U766" s="62">
        <v>0</v>
      </c>
      <c r="V766" s="62"/>
      <c r="W766" s="62">
        <v>385.1343</v>
      </c>
      <c r="X766" s="62">
        <v>385.1343</v>
      </c>
      <c r="Y766" s="62">
        <v>354.03540000000004</v>
      </c>
      <c r="Z766" s="62">
        <v>162.958</v>
      </c>
      <c r="AA766" s="62">
        <v>0</v>
      </c>
      <c r="AB766" s="62"/>
      <c r="AC766" s="62">
        <v>1663.6060008080194</v>
      </c>
      <c r="AD766" s="62">
        <v>1358.1426099366499</v>
      </c>
      <c r="AE766" s="62">
        <v>1140.5068494650211</v>
      </c>
      <c r="AF766" s="62">
        <v>871.57064000000059</v>
      </c>
      <c r="AG766" s="62">
        <v>0</v>
      </c>
      <c r="AH766" s="62"/>
      <c r="AI766" s="62">
        <v>0</v>
      </c>
      <c r="AJ766" s="62">
        <v>0</v>
      </c>
      <c r="AK766" s="62">
        <v>0</v>
      </c>
      <c r="AL766" s="62">
        <v>0</v>
      </c>
      <c r="AM766" s="62">
        <v>0</v>
      </c>
    </row>
    <row r="767" spans="1:39">
      <c r="A767" s="9">
        <v>98241</v>
      </c>
      <c r="B767" s="10" t="s">
        <v>2141</v>
      </c>
      <c r="C767" s="60">
        <v>1.5099999999999999E-5</v>
      </c>
      <c r="E767" s="62">
        <v>3772.5728051701576</v>
      </c>
      <c r="F767" s="62">
        <v>7363.672014298787</v>
      </c>
      <c r="G767" s="62">
        <v>3962.2833320164596</v>
      </c>
      <c r="H767" s="62">
        <v>-2215.7765400000008</v>
      </c>
      <c r="I767" s="62">
        <v>0</v>
      </c>
      <c r="J767" s="62"/>
      <c r="K767" s="62">
        <v>-90.856700000000004</v>
      </c>
      <c r="L767" s="62">
        <v>191.25659999999999</v>
      </c>
      <c r="M767" s="62">
        <v>354.8802</v>
      </c>
      <c r="N767" s="62">
        <v>220.6865</v>
      </c>
      <c r="O767" s="62">
        <v>0</v>
      </c>
      <c r="P767" s="62"/>
      <c r="Q767" s="62">
        <v>332.42649999999998</v>
      </c>
      <c r="R767" s="62">
        <v>5515.1239999999998</v>
      </c>
      <c r="S767" s="62">
        <v>2110.4061999999999</v>
      </c>
      <c r="T767" s="62">
        <v>-2356.8683999999998</v>
      </c>
      <c r="U767" s="62">
        <v>0</v>
      </c>
      <c r="V767" s="62"/>
      <c r="W767" s="62">
        <v>985.68269999999995</v>
      </c>
      <c r="X767" s="62">
        <v>985.68269999999995</v>
      </c>
      <c r="Y767" s="62">
        <v>906.09059999999999</v>
      </c>
      <c r="Z767" s="62">
        <v>417.06200000000001</v>
      </c>
      <c r="AA767" s="62">
        <v>0</v>
      </c>
      <c r="AB767" s="62"/>
      <c r="AC767" s="62">
        <v>3159.4681069958842</v>
      </c>
      <c r="AD767" s="62">
        <v>1264.6081069958841</v>
      </c>
      <c r="AE767" s="62">
        <v>1087.5629720164607</v>
      </c>
      <c r="AF767" s="62">
        <v>0</v>
      </c>
      <c r="AG767" s="62">
        <v>0</v>
      </c>
      <c r="AH767" s="62"/>
      <c r="AI767" s="62">
        <v>-614.14780182572713</v>
      </c>
      <c r="AJ767" s="62">
        <v>-592.99939269709637</v>
      </c>
      <c r="AK767" s="62">
        <v>-496.65664000000049</v>
      </c>
      <c r="AL767" s="62">
        <v>-496.65664000000049</v>
      </c>
      <c r="AM767" s="62">
        <v>0</v>
      </c>
    </row>
    <row r="768" spans="1:39">
      <c r="A768" s="9">
        <v>98251</v>
      </c>
      <c r="B768" s="10" t="s">
        <v>2142</v>
      </c>
      <c r="C768" s="60">
        <v>3.0000000000000001E-6</v>
      </c>
      <c r="E768" s="62">
        <v>804.02259144784261</v>
      </c>
      <c r="F768" s="62">
        <v>1741.1870868835272</v>
      </c>
      <c r="G768" s="62">
        <v>924.2182578600823</v>
      </c>
      <c r="H768" s="62">
        <v>-192.48108000000011</v>
      </c>
      <c r="I768" s="62">
        <v>0</v>
      </c>
      <c r="J768" s="62"/>
      <c r="K768" s="62">
        <v>-18.051000000000002</v>
      </c>
      <c r="L768" s="62">
        <v>37.997999999999998</v>
      </c>
      <c r="M768" s="62">
        <v>70.506</v>
      </c>
      <c r="N768" s="62">
        <v>43.844999999999999</v>
      </c>
      <c r="O768" s="62">
        <v>0</v>
      </c>
      <c r="P768" s="62"/>
      <c r="Q768" s="62">
        <v>66.045000000000002</v>
      </c>
      <c r="R768" s="62">
        <v>1095.72</v>
      </c>
      <c r="S768" s="62">
        <v>419.286</v>
      </c>
      <c r="T768" s="62">
        <v>-468.25200000000001</v>
      </c>
      <c r="U768" s="62">
        <v>0</v>
      </c>
      <c r="V768" s="62"/>
      <c r="W768" s="62">
        <v>195.83100000000002</v>
      </c>
      <c r="X768" s="62">
        <v>195.83100000000002</v>
      </c>
      <c r="Y768" s="62">
        <v>180.018</v>
      </c>
      <c r="Z768" s="62">
        <v>82.86</v>
      </c>
      <c r="AA768" s="62">
        <v>0</v>
      </c>
      <c r="AB768" s="62"/>
      <c r="AC768" s="62">
        <v>560.19759144784257</v>
      </c>
      <c r="AD768" s="62">
        <v>411.63808688352719</v>
      </c>
      <c r="AE768" s="62">
        <v>254.4082578600823</v>
      </c>
      <c r="AF768" s="62">
        <v>149.06591999999992</v>
      </c>
      <c r="AG768" s="62">
        <v>0</v>
      </c>
      <c r="AH768" s="62"/>
      <c r="AI768" s="62">
        <v>0</v>
      </c>
      <c r="AJ768" s="62">
        <v>0</v>
      </c>
      <c r="AK768" s="62">
        <v>0</v>
      </c>
      <c r="AL768" s="62">
        <v>0</v>
      </c>
      <c r="AM768" s="62">
        <v>0</v>
      </c>
    </row>
    <row r="769" spans="1:39">
      <c r="A769" s="9">
        <v>98261</v>
      </c>
      <c r="B769" s="10" t="s">
        <v>2143</v>
      </c>
      <c r="C769" s="60">
        <v>3.3200000000000001E-5</v>
      </c>
      <c r="E769" s="62">
        <v>3491.1108784816356</v>
      </c>
      <c r="F769" s="62">
        <v>15202.567900888276</v>
      </c>
      <c r="G769" s="62">
        <v>6843.7108881481472</v>
      </c>
      <c r="H769" s="62">
        <v>-2868.5437600000005</v>
      </c>
      <c r="I769" s="62">
        <v>0</v>
      </c>
      <c r="J769" s="62"/>
      <c r="K769" s="62">
        <v>-199.76439999999999</v>
      </c>
      <c r="L769" s="62">
        <v>420.51120000000003</v>
      </c>
      <c r="M769" s="62">
        <v>780.26639999999998</v>
      </c>
      <c r="N769" s="62">
        <v>485.21800000000002</v>
      </c>
      <c r="O769" s="62">
        <v>0</v>
      </c>
      <c r="P769" s="62"/>
      <c r="Q769" s="62">
        <v>730.89800000000002</v>
      </c>
      <c r="R769" s="62">
        <v>12125.968000000001</v>
      </c>
      <c r="S769" s="62">
        <v>4640.0983999999999</v>
      </c>
      <c r="T769" s="62">
        <v>-5181.9888000000001</v>
      </c>
      <c r="U769" s="62">
        <v>0</v>
      </c>
      <c r="V769" s="62"/>
      <c r="W769" s="62">
        <v>2167.1964000000003</v>
      </c>
      <c r="X769" s="62">
        <v>2167.1964000000003</v>
      </c>
      <c r="Y769" s="62">
        <v>1992.1992</v>
      </c>
      <c r="Z769" s="62">
        <v>916.98400000000004</v>
      </c>
      <c r="AA769" s="62">
        <v>0</v>
      </c>
      <c r="AB769" s="62"/>
      <c r="AC769" s="62">
        <v>2513.8229155186723</v>
      </c>
      <c r="AD769" s="62">
        <v>2209.9343379253114</v>
      </c>
      <c r="AE769" s="62">
        <v>911.24304000000006</v>
      </c>
      <c r="AF769" s="62">
        <v>911.24304000000006</v>
      </c>
      <c r="AG769" s="62">
        <v>0</v>
      </c>
      <c r="AH769" s="62"/>
      <c r="AI769" s="62">
        <v>-1721.0420370370371</v>
      </c>
      <c r="AJ769" s="62">
        <v>-1721.0420370370371</v>
      </c>
      <c r="AK769" s="62">
        <v>-1480.0961518518525</v>
      </c>
      <c r="AL769" s="62">
        <v>0</v>
      </c>
      <c r="AM769" s="62">
        <v>0</v>
      </c>
    </row>
    <row r="770" spans="1:39">
      <c r="A770" s="9">
        <v>98271</v>
      </c>
      <c r="B770" s="10" t="s">
        <v>2144</v>
      </c>
      <c r="C770" s="60">
        <v>5.1000000000000003E-6</v>
      </c>
      <c r="E770" s="62">
        <v>1969.3699246230562</v>
      </c>
      <c r="F770" s="62">
        <v>3252.9909661168322</v>
      </c>
      <c r="G770" s="62">
        <v>1652.1375683127576</v>
      </c>
      <c r="H770" s="62">
        <v>-413.10349999999971</v>
      </c>
      <c r="I770" s="62">
        <v>0</v>
      </c>
      <c r="J770" s="62"/>
      <c r="K770" s="62">
        <v>-30.686700000000002</v>
      </c>
      <c r="L770" s="62">
        <v>64.596600000000009</v>
      </c>
      <c r="M770" s="62">
        <v>119.86020000000001</v>
      </c>
      <c r="N770" s="62">
        <v>74.536500000000004</v>
      </c>
      <c r="O770" s="62">
        <v>0</v>
      </c>
      <c r="P770" s="62"/>
      <c r="Q770" s="62">
        <v>112.27650000000001</v>
      </c>
      <c r="R770" s="62">
        <v>1862.7240000000002</v>
      </c>
      <c r="S770" s="62">
        <v>712.78620000000001</v>
      </c>
      <c r="T770" s="62">
        <v>-796.02840000000003</v>
      </c>
      <c r="U770" s="62">
        <v>0</v>
      </c>
      <c r="V770" s="62"/>
      <c r="W770" s="62">
        <v>332.91270000000003</v>
      </c>
      <c r="X770" s="62">
        <v>332.91270000000003</v>
      </c>
      <c r="Y770" s="62">
        <v>306.03059999999999</v>
      </c>
      <c r="Z770" s="62">
        <v>140.86199999999999</v>
      </c>
      <c r="AA770" s="62">
        <v>0</v>
      </c>
      <c r="AB770" s="62"/>
      <c r="AC770" s="62">
        <v>1554.8674246230562</v>
      </c>
      <c r="AD770" s="62">
        <v>992.75766611683207</v>
      </c>
      <c r="AE770" s="62">
        <v>513.46056831275769</v>
      </c>
      <c r="AF770" s="62">
        <v>167.52640000000031</v>
      </c>
      <c r="AG770" s="62">
        <v>0</v>
      </c>
      <c r="AH770" s="62"/>
      <c r="AI770" s="62">
        <v>0</v>
      </c>
      <c r="AJ770" s="62">
        <v>0</v>
      </c>
      <c r="AK770" s="62">
        <v>0</v>
      </c>
      <c r="AL770" s="62">
        <v>0</v>
      </c>
      <c r="AM770" s="62">
        <v>0</v>
      </c>
    </row>
    <row r="771" spans="1:39">
      <c r="A771" s="9">
        <v>98301</v>
      </c>
      <c r="B771" s="10" t="s">
        <v>2145</v>
      </c>
      <c r="C771" s="60">
        <v>1.7542E-3</v>
      </c>
      <c r="E771" s="62">
        <v>159995.42051848987</v>
      </c>
      <c r="F771" s="62">
        <v>799092.16993591725</v>
      </c>
      <c r="G771" s="62">
        <v>396293.27537209884</v>
      </c>
      <c r="H771" s="62">
        <v>-199542.43716000003</v>
      </c>
      <c r="I771" s="62">
        <v>0</v>
      </c>
      <c r="J771" s="62"/>
      <c r="K771" s="62">
        <v>-10555.0214</v>
      </c>
      <c r="L771" s="62">
        <v>22218.697199999999</v>
      </c>
      <c r="M771" s="62">
        <v>41227.208400000003</v>
      </c>
      <c r="N771" s="62">
        <v>25637.633000000002</v>
      </c>
      <c r="O771" s="62">
        <v>0</v>
      </c>
      <c r="P771" s="62"/>
      <c r="Q771" s="62">
        <v>38618.713000000003</v>
      </c>
      <c r="R771" s="62">
        <v>640704.00800000003</v>
      </c>
      <c r="S771" s="62">
        <v>245170.50039999999</v>
      </c>
      <c r="T771" s="62">
        <v>-273802.5528</v>
      </c>
      <c r="U771" s="62">
        <v>0</v>
      </c>
      <c r="V771" s="62"/>
      <c r="W771" s="62">
        <v>114508.9134</v>
      </c>
      <c r="X771" s="62">
        <v>114508.9134</v>
      </c>
      <c r="Y771" s="62">
        <v>105262.5252</v>
      </c>
      <c r="Z771" s="62">
        <v>48451.004000000001</v>
      </c>
      <c r="AA771" s="62">
        <v>0</v>
      </c>
      <c r="AB771" s="62"/>
      <c r="AC771" s="62">
        <v>25238.86551848986</v>
      </c>
      <c r="AD771" s="62">
        <v>21660.551335917251</v>
      </c>
      <c r="AE771" s="62">
        <v>4633.0413720987854</v>
      </c>
      <c r="AF771" s="62">
        <v>171.47863999998663</v>
      </c>
      <c r="AG771" s="62">
        <v>0</v>
      </c>
      <c r="AH771" s="62"/>
      <c r="AI771" s="62">
        <v>-7816.050000000002</v>
      </c>
      <c r="AJ771" s="62">
        <v>0</v>
      </c>
      <c r="AK771" s="62">
        <v>0</v>
      </c>
      <c r="AL771" s="62">
        <v>0</v>
      </c>
      <c r="AM771" s="62">
        <v>0</v>
      </c>
    </row>
    <row r="772" spans="1:39">
      <c r="A772" s="9">
        <v>98304</v>
      </c>
      <c r="B772" s="10" t="s">
        <v>2146</v>
      </c>
      <c r="C772" s="60">
        <v>2.0999999999999999E-5</v>
      </c>
      <c r="E772" s="62">
        <v>2523.8177066174858</v>
      </c>
      <c r="F772" s="62">
        <v>10017.678536493006</v>
      </c>
      <c r="G772" s="62">
        <v>5147.477409629626</v>
      </c>
      <c r="H772" s="62">
        <v>-2087.2237200000022</v>
      </c>
      <c r="I772" s="62">
        <v>0</v>
      </c>
      <c r="J772" s="62"/>
      <c r="K772" s="62">
        <v>-126.357</v>
      </c>
      <c r="L772" s="62">
        <v>265.98599999999999</v>
      </c>
      <c r="M772" s="62">
        <v>493.54199999999997</v>
      </c>
      <c r="N772" s="62">
        <v>306.91499999999996</v>
      </c>
      <c r="O772" s="62">
        <v>0</v>
      </c>
      <c r="P772" s="62"/>
      <c r="Q772" s="62">
        <v>462.315</v>
      </c>
      <c r="R772" s="62">
        <v>7670.04</v>
      </c>
      <c r="S772" s="62">
        <v>2935.002</v>
      </c>
      <c r="T772" s="62">
        <v>-3277.7639999999997</v>
      </c>
      <c r="U772" s="62">
        <v>0</v>
      </c>
      <c r="V772" s="62"/>
      <c r="W772" s="62">
        <v>1370.817</v>
      </c>
      <c r="X772" s="62">
        <v>1370.817</v>
      </c>
      <c r="Y772" s="62">
        <v>1260.126</v>
      </c>
      <c r="Z772" s="62">
        <v>580.02</v>
      </c>
      <c r="AA772" s="62">
        <v>0</v>
      </c>
      <c r="AB772" s="62"/>
      <c r="AC772" s="62">
        <v>817.04270661748592</v>
      </c>
      <c r="AD772" s="62">
        <v>710.8355364930045</v>
      </c>
      <c r="AE772" s="62">
        <v>458.80740962962636</v>
      </c>
      <c r="AF772" s="62">
        <v>303.60527999999761</v>
      </c>
      <c r="AG772" s="62">
        <v>0</v>
      </c>
      <c r="AH772" s="62"/>
      <c r="AI772" s="62">
        <v>0</v>
      </c>
      <c r="AJ772" s="62">
        <v>0</v>
      </c>
      <c r="AK772" s="62">
        <v>0</v>
      </c>
      <c r="AL772" s="62">
        <v>0</v>
      </c>
      <c r="AM772" s="62">
        <v>0</v>
      </c>
    </row>
    <row r="773" spans="1:39">
      <c r="A773" s="9">
        <v>98308</v>
      </c>
      <c r="B773" s="10" t="s">
        <v>2147</v>
      </c>
      <c r="C773" s="60">
        <v>2.37E-5</v>
      </c>
      <c r="E773" s="62">
        <v>5304.6669197667479</v>
      </c>
      <c r="F773" s="62">
        <v>12551.345311467992</v>
      </c>
      <c r="G773" s="62">
        <v>6542.6142275720167</v>
      </c>
      <c r="H773" s="62">
        <v>-2103.4616999999998</v>
      </c>
      <c r="I773" s="62">
        <v>0</v>
      </c>
      <c r="J773" s="62"/>
      <c r="K773" s="62">
        <v>-142.60290000000001</v>
      </c>
      <c r="L773" s="62">
        <v>300.18419999999998</v>
      </c>
      <c r="M773" s="62">
        <v>556.99739999999997</v>
      </c>
      <c r="N773" s="62">
        <v>346.37549999999999</v>
      </c>
      <c r="O773" s="62">
        <v>0</v>
      </c>
      <c r="P773" s="62"/>
      <c r="Q773" s="62">
        <v>521.75549999999998</v>
      </c>
      <c r="R773" s="62">
        <v>8656.1880000000001</v>
      </c>
      <c r="S773" s="62">
        <v>3312.3593999999998</v>
      </c>
      <c r="T773" s="62">
        <v>-3699.1907999999999</v>
      </c>
      <c r="U773" s="62">
        <v>0</v>
      </c>
      <c r="V773" s="62"/>
      <c r="W773" s="62">
        <v>1547.0649000000001</v>
      </c>
      <c r="X773" s="62">
        <v>1547.0649000000001</v>
      </c>
      <c r="Y773" s="62">
        <v>1422.1422</v>
      </c>
      <c r="Z773" s="62">
        <v>654.59400000000005</v>
      </c>
      <c r="AA773" s="62">
        <v>0</v>
      </c>
      <c r="AB773" s="62"/>
      <c r="AC773" s="62">
        <v>3378.4494197667477</v>
      </c>
      <c r="AD773" s="62">
        <v>2047.9082114679925</v>
      </c>
      <c r="AE773" s="62">
        <v>1251.1152275720167</v>
      </c>
      <c r="AF773" s="62">
        <v>594.75959999999986</v>
      </c>
      <c r="AG773" s="62">
        <v>0</v>
      </c>
      <c r="AH773" s="62"/>
      <c r="AI773" s="62">
        <v>0</v>
      </c>
      <c r="AJ773" s="62">
        <v>0</v>
      </c>
      <c r="AK773" s="62">
        <v>0</v>
      </c>
      <c r="AL773" s="62">
        <v>0</v>
      </c>
      <c r="AM773" s="62">
        <v>0</v>
      </c>
    </row>
    <row r="774" spans="1:39">
      <c r="A774" s="9">
        <v>98311</v>
      </c>
      <c r="B774" s="10" t="s">
        <v>2148</v>
      </c>
      <c r="C774" s="60">
        <v>1.1536000000000001E-3</v>
      </c>
      <c r="E774" s="62">
        <v>75207.52669992522</v>
      </c>
      <c r="F774" s="62">
        <v>480769.76469536091</v>
      </c>
      <c r="G774" s="62">
        <v>232494.43452395062</v>
      </c>
      <c r="H774" s="62">
        <v>-143237.10096000001</v>
      </c>
      <c r="I774" s="62">
        <v>0</v>
      </c>
      <c r="J774" s="62"/>
      <c r="K774" s="62">
        <v>-6941.2112000000006</v>
      </c>
      <c r="L774" s="62">
        <v>14611.497600000001</v>
      </c>
      <c r="M774" s="62">
        <v>27111.907200000001</v>
      </c>
      <c r="N774" s="62">
        <v>16859.864000000001</v>
      </c>
      <c r="O774" s="62">
        <v>0</v>
      </c>
      <c r="P774" s="62"/>
      <c r="Q774" s="62">
        <v>25396.504000000001</v>
      </c>
      <c r="R774" s="62">
        <v>421340.864</v>
      </c>
      <c r="S774" s="62">
        <v>161229.44320000001</v>
      </c>
      <c r="T774" s="62">
        <v>-180058.5024</v>
      </c>
      <c r="U774" s="62">
        <v>0</v>
      </c>
      <c r="V774" s="62"/>
      <c r="W774" s="62">
        <v>75303.547200000001</v>
      </c>
      <c r="X774" s="62">
        <v>75303.547200000001</v>
      </c>
      <c r="Y774" s="62">
        <v>69222.921600000001</v>
      </c>
      <c r="Z774" s="62">
        <v>31862.432000000001</v>
      </c>
      <c r="AA774" s="62">
        <v>0</v>
      </c>
      <c r="AB774" s="62"/>
      <c r="AC774" s="62">
        <v>12653.190000000002</v>
      </c>
      <c r="AD774" s="62">
        <v>0</v>
      </c>
      <c r="AE774" s="62">
        <v>0</v>
      </c>
      <c r="AF774" s="62">
        <v>0</v>
      </c>
      <c r="AG774" s="62">
        <v>0</v>
      </c>
      <c r="AH774" s="62"/>
      <c r="AI774" s="62">
        <v>-31204.503300074786</v>
      </c>
      <c r="AJ774" s="62">
        <v>-30486.144104639097</v>
      </c>
      <c r="AK774" s="62">
        <v>-25069.837476049361</v>
      </c>
      <c r="AL774" s="62">
        <v>-11900.89456000001</v>
      </c>
      <c r="AM774" s="62">
        <v>0</v>
      </c>
    </row>
    <row r="775" spans="1:39">
      <c r="A775" s="9">
        <v>98313</v>
      </c>
      <c r="B775" s="10" t="s">
        <v>2149</v>
      </c>
      <c r="C775" s="60">
        <v>2.3560000000000001E-4</v>
      </c>
      <c r="E775" s="62">
        <v>97115.091776067464</v>
      </c>
      <c r="F775" s="62">
        <v>178509.17861507164</v>
      </c>
      <c r="G775" s="62">
        <v>104992.56178452674</v>
      </c>
      <c r="H775" s="62">
        <v>2236.9792799999814</v>
      </c>
      <c r="I775" s="62">
        <v>0</v>
      </c>
      <c r="J775" s="62"/>
      <c r="K775" s="62">
        <v>-1417.6052</v>
      </c>
      <c r="L775" s="62">
        <v>2984.1096000000002</v>
      </c>
      <c r="M775" s="62">
        <v>5537.0712000000003</v>
      </c>
      <c r="N775" s="62">
        <v>3443.2940000000003</v>
      </c>
      <c r="O775" s="62">
        <v>0</v>
      </c>
      <c r="P775" s="62"/>
      <c r="Q775" s="62">
        <v>5186.7340000000004</v>
      </c>
      <c r="R775" s="62">
        <v>86050.544000000009</v>
      </c>
      <c r="S775" s="62">
        <v>32927.927199999998</v>
      </c>
      <c r="T775" s="62">
        <v>-36773.390400000004</v>
      </c>
      <c r="U775" s="62">
        <v>0</v>
      </c>
      <c r="V775" s="62"/>
      <c r="W775" s="62">
        <v>15379.261200000001</v>
      </c>
      <c r="X775" s="62">
        <v>15379.261200000001</v>
      </c>
      <c r="Y775" s="62">
        <v>14137.4136</v>
      </c>
      <c r="Z775" s="62">
        <v>6507.2719999999999</v>
      </c>
      <c r="AA775" s="62">
        <v>0</v>
      </c>
      <c r="AB775" s="62"/>
      <c r="AC775" s="62">
        <v>78026.101776067459</v>
      </c>
      <c r="AD775" s="62">
        <v>74095.263815071623</v>
      </c>
      <c r="AE775" s="62">
        <v>52390.149784526737</v>
      </c>
      <c r="AF775" s="62">
        <v>29059.803679999983</v>
      </c>
      <c r="AG775" s="62">
        <v>0</v>
      </c>
      <c r="AH775" s="62"/>
      <c r="AI775" s="62">
        <v>-59.400000000000013</v>
      </c>
      <c r="AJ775" s="62">
        <v>0</v>
      </c>
      <c r="AK775" s="62">
        <v>0</v>
      </c>
      <c r="AL775" s="62">
        <v>0</v>
      </c>
      <c r="AM775" s="62">
        <v>0</v>
      </c>
    </row>
    <row r="776" spans="1:39">
      <c r="A776" s="9">
        <v>98321</v>
      </c>
      <c r="B776" s="10" t="s">
        <v>2150</v>
      </c>
      <c r="C776" s="60">
        <v>2.05E-5</v>
      </c>
      <c r="E776" s="62">
        <v>2122.4187519037623</v>
      </c>
      <c r="F776" s="62">
        <v>8009.9026203684934</v>
      </c>
      <c r="G776" s="62">
        <v>3747.8565376131678</v>
      </c>
      <c r="H776" s="62">
        <v>-2312.9940200000005</v>
      </c>
      <c r="I776" s="62">
        <v>0</v>
      </c>
      <c r="J776" s="62"/>
      <c r="K776" s="62">
        <v>-123.3485</v>
      </c>
      <c r="L776" s="62">
        <v>259.65300000000002</v>
      </c>
      <c r="M776" s="62">
        <v>481.791</v>
      </c>
      <c r="N776" s="62">
        <v>299.60750000000002</v>
      </c>
      <c r="O776" s="62">
        <v>0</v>
      </c>
      <c r="P776" s="62"/>
      <c r="Q776" s="62">
        <v>451.3075</v>
      </c>
      <c r="R776" s="62">
        <v>7487.42</v>
      </c>
      <c r="S776" s="62">
        <v>2865.1210000000001</v>
      </c>
      <c r="T776" s="62">
        <v>-3199.7220000000002</v>
      </c>
      <c r="U776" s="62">
        <v>0</v>
      </c>
      <c r="V776" s="62"/>
      <c r="W776" s="62">
        <v>1338.1785</v>
      </c>
      <c r="X776" s="62">
        <v>1338.1785</v>
      </c>
      <c r="Y776" s="62">
        <v>1230.123</v>
      </c>
      <c r="Z776" s="62">
        <v>566.21</v>
      </c>
      <c r="AA776" s="62">
        <v>0</v>
      </c>
      <c r="AB776" s="62"/>
      <c r="AC776" s="62">
        <v>1576.2004800000002</v>
      </c>
      <c r="AD776" s="62">
        <v>20.910479999999723</v>
      </c>
      <c r="AE776" s="62">
        <v>20.910479999999723</v>
      </c>
      <c r="AF776" s="62">
        <v>20.910479999999723</v>
      </c>
      <c r="AG776" s="62">
        <v>0</v>
      </c>
      <c r="AH776" s="62"/>
      <c r="AI776" s="62">
        <v>-1119.9192280962379</v>
      </c>
      <c r="AJ776" s="62">
        <v>-1096.2593596315078</v>
      </c>
      <c r="AK776" s="62">
        <v>-850.08894238683149</v>
      </c>
      <c r="AL776" s="62">
        <v>0</v>
      </c>
      <c r="AM776" s="62">
        <v>0</v>
      </c>
    </row>
    <row r="777" spans="1:39">
      <c r="A777" s="9">
        <v>98331</v>
      </c>
      <c r="B777" s="10" t="s">
        <v>2151</v>
      </c>
      <c r="C777" s="60">
        <v>9.7999999999999993E-6</v>
      </c>
      <c r="E777" s="62">
        <v>1769.9411051086865</v>
      </c>
      <c r="F777" s="62">
        <v>5372.8303515817161</v>
      </c>
      <c r="G777" s="62">
        <v>2815.9770023868314</v>
      </c>
      <c r="H777" s="62">
        <v>-843.19323999999983</v>
      </c>
      <c r="I777" s="62">
        <v>0</v>
      </c>
      <c r="J777" s="62"/>
      <c r="K777" s="62">
        <v>-58.966599999999993</v>
      </c>
      <c r="L777" s="62">
        <v>124.12679999999999</v>
      </c>
      <c r="M777" s="62">
        <v>230.31959999999998</v>
      </c>
      <c r="N777" s="62">
        <v>143.227</v>
      </c>
      <c r="O777" s="62">
        <v>0</v>
      </c>
      <c r="P777" s="62"/>
      <c r="Q777" s="62">
        <v>215.74699999999999</v>
      </c>
      <c r="R777" s="62">
        <v>3579.3519999999999</v>
      </c>
      <c r="S777" s="62">
        <v>1369.6676</v>
      </c>
      <c r="T777" s="62">
        <v>-1529.6232</v>
      </c>
      <c r="U777" s="62">
        <v>0</v>
      </c>
      <c r="V777" s="62"/>
      <c r="W777" s="62">
        <v>639.7145999999999</v>
      </c>
      <c r="X777" s="62">
        <v>639.7145999999999</v>
      </c>
      <c r="Y777" s="62">
        <v>588.05879999999991</v>
      </c>
      <c r="Z777" s="62">
        <v>270.67599999999999</v>
      </c>
      <c r="AA777" s="62">
        <v>0</v>
      </c>
      <c r="AB777" s="62"/>
      <c r="AC777" s="62">
        <v>1105.1161051086867</v>
      </c>
      <c r="AD777" s="62">
        <v>1029.6369515817159</v>
      </c>
      <c r="AE777" s="62">
        <v>627.93100238683178</v>
      </c>
      <c r="AF777" s="62">
        <v>272.52696000000014</v>
      </c>
      <c r="AG777" s="62">
        <v>0</v>
      </c>
      <c r="AH777" s="62"/>
      <c r="AI777" s="62">
        <v>-131.67000000000002</v>
      </c>
      <c r="AJ777" s="62">
        <v>0</v>
      </c>
      <c r="AK777" s="62">
        <v>0</v>
      </c>
      <c r="AL777" s="62">
        <v>0</v>
      </c>
      <c r="AM777" s="62">
        <v>0</v>
      </c>
    </row>
    <row r="778" spans="1:39">
      <c r="A778" s="9">
        <v>98401</v>
      </c>
      <c r="B778" s="10" t="s">
        <v>2152</v>
      </c>
      <c r="C778" s="60">
        <v>2.7655000000000002E-3</v>
      </c>
      <c r="E778" s="62">
        <v>283494.37082740595</v>
      </c>
      <c r="F778" s="62">
        <v>1275821.4040882359</v>
      </c>
      <c r="G778" s="62">
        <v>642962.41584971198</v>
      </c>
      <c r="H778" s="62">
        <v>-287448.30174000008</v>
      </c>
      <c r="I778" s="62">
        <v>0</v>
      </c>
      <c r="J778" s="62"/>
      <c r="K778" s="62">
        <v>-16640.013500000001</v>
      </c>
      <c r="L778" s="62">
        <v>35027.823000000004</v>
      </c>
      <c r="M778" s="62">
        <v>64994.781000000003</v>
      </c>
      <c r="N778" s="62">
        <v>40417.782500000001</v>
      </c>
      <c r="O778" s="62">
        <v>0</v>
      </c>
      <c r="P778" s="62"/>
      <c r="Q778" s="62">
        <v>60882.482500000006</v>
      </c>
      <c r="R778" s="62">
        <v>1010071.2200000001</v>
      </c>
      <c r="S778" s="62">
        <v>386511.81100000005</v>
      </c>
      <c r="T778" s="62">
        <v>-431650.30200000003</v>
      </c>
      <c r="U778" s="62">
        <v>0</v>
      </c>
      <c r="V778" s="62"/>
      <c r="W778" s="62">
        <v>180523.5435</v>
      </c>
      <c r="X778" s="62">
        <v>180523.5435</v>
      </c>
      <c r="Y778" s="62">
        <v>165946.59300000002</v>
      </c>
      <c r="Z778" s="62">
        <v>76383.11</v>
      </c>
      <c r="AA778" s="62">
        <v>0</v>
      </c>
      <c r="AB778" s="62"/>
      <c r="AC778" s="62">
        <v>60928.215199833925</v>
      </c>
      <c r="AD778" s="62">
        <v>52398.674460663824</v>
      </c>
      <c r="AE778" s="62">
        <v>27401.107759999995</v>
      </c>
      <c r="AF778" s="62">
        <v>27401.107759999995</v>
      </c>
      <c r="AG778" s="62">
        <v>0</v>
      </c>
      <c r="AH778" s="62"/>
      <c r="AI778" s="62">
        <v>-2199.8568724279885</v>
      </c>
      <c r="AJ778" s="62">
        <v>-2199.8568724279885</v>
      </c>
      <c r="AK778" s="62">
        <v>-1891.8769102880708</v>
      </c>
      <c r="AL778" s="62">
        <v>0</v>
      </c>
      <c r="AM778" s="62">
        <v>0</v>
      </c>
    </row>
    <row r="779" spans="1:39">
      <c r="A779" s="9">
        <v>98404</v>
      </c>
      <c r="B779" s="10" t="s">
        <v>2153</v>
      </c>
      <c r="C779" s="60">
        <v>1.52E-5</v>
      </c>
      <c r="E779" s="62">
        <v>3557.9020000000019</v>
      </c>
      <c r="F779" s="62">
        <v>9058.9036000000015</v>
      </c>
      <c r="G779" s="62">
        <v>5716.2260000000015</v>
      </c>
      <c r="H779" s="62">
        <v>592.01720000000205</v>
      </c>
      <c r="I779" s="62">
        <v>0</v>
      </c>
      <c r="J779" s="62"/>
      <c r="K779" s="62">
        <v>-91.458399999999997</v>
      </c>
      <c r="L779" s="62">
        <v>192.5232</v>
      </c>
      <c r="M779" s="62">
        <v>357.23040000000003</v>
      </c>
      <c r="N779" s="62">
        <v>222.148</v>
      </c>
      <c r="O779" s="62">
        <v>0</v>
      </c>
      <c r="P779" s="62"/>
      <c r="Q779" s="62">
        <v>334.62799999999999</v>
      </c>
      <c r="R779" s="62">
        <v>5551.6480000000001</v>
      </c>
      <c r="S779" s="62">
        <v>2124.3824</v>
      </c>
      <c r="T779" s="62">
        <v>-2372.4767999999999</v>
      </c>
      <c r="U779" s="62">
        <v>0</v>
      </c>
      <c r="V779" s="62"/>
      <c r="W779" s="62">
        <v>992.21040000000005</v>
      </c>
      <c r="X779" s="62">
        <v>992.21040000000005</v>
      </c>
      <c r="Y779" s="62">
        <v>912.09119999999996</v>
      </c>
      <c r="Z779" s="62">
        <v>419.82400000000001</v>
      </c>
      <c r="AA779" s="62">
        <v>0</v>
      </c>
      <c r="AB779" s="62"/>
      <c r="AC779" s="62">
        <v>2322.5220000000018</v>
      </c>
      <c r="AD779" s="62">
        <v>2322.5220000000018</v>
      </c>
      <c r="AE779" s="62">
        <v>2322.5220000000018</v>
      </c>
      <c r="AF779" s="62">
        <v>2322.5220000000018</v>
      </c>
      <c r="AG779" s="62">
        <v>0</v>
      </c>
      <c r="AH779" s="62"/>
      <c r="AI779" s="62">
        <v>0</v>
      </c>
      <c r="AJ779" s="62">
        <v>0</v>
      </c>
      <c r="AK779" s="62">
        <v>0</v>
      </c>
      <c r="AL779" s="62">
        <v>0</v>
      </c>
      <c r="AM779" s="62">
        <v>0</v>
      </c>
    </row>
    <row r="780" spans="1:39">
      <c r="A780" s="9">
        <v>98411</v>
      </c>
      <c r="B780" s="10" t="s">
        <v>2154</v>
      </c>
      <c r="C780" s="60">
        <v>1.9816E-3</v>
      </c>
      <c r="E780" s="62">
        <v>141898.12621333107</v>
      </c>
      <c r="F780" s="62">
        <v>856201.01719457598</v>
      </c>
      <c r="G780" s="62">
        <v>426211.10788567882</v>
      </c>
      <c r="H780" s="62">
        <v>-237929.3597600002</v>
      </c>
      <c r="I780" s="62">
        <v>0</v>
      </c>
      <c r="J780" s="62"/>
      <c r="K780" s="62">
        <v>-11923.287200000001</v>
      </c>
      <c r="L780" s="62">
        <v>25098.945599999999</v>
      </c>
      <c r="M780" s="62">
        <v>46571.563200000004</v>
      </c>
      <c r="N780" s="62">
        <v>28961.083999999999</v>
      </c>
      <c r="O780" s="62">
        <v>0</v>
      </c>
      <c r="P780" s="62"/>
      <c r="Q780" s="62">
        <v>43624.923999999999</v>
      </c>
      <c r="R780" s="62">
        <v>723759.58400000003</v>
      </c>
      <c r="S780" s="62">
        <v>276952.37920000002</v>
      </c>
      <c r="T780" s="62">
        <v>-309296.05440000002</v>
      </c>
      <c r="U780" s="62">
        <v>0</v>
      </c>
      <c r="V780" s="62"/>
      <c r="W780" s="62">
        <v>129352.9032</v>
      </c>
      <c r="X780" s="62">
        <v>129352.9032</v>
      </c>
      <c r="Y780" s="62">
        <v>118907.88959999999</v>
      </c>
      <c r="Z780" s="62">
        <v>54731.792000000001</v>
      </c>
      <c r="AA780" s="62">
        <v>0</v>
      </c>
      <c r="AB780" s="62"/>
      <c r="AC780" s="62">
        <v>3985.7400000000007</v>
      </c>
      <c r="AD780" s="62">
        <v>0</v>
      </c>
      <c r="AE780" s="62">
        <v>0</v>
      </c>
      <c r="AF780" s="62">
        <v>0</v>
      </c>
      <c r="AG780" s="62">
        <v>0</v>
      </c>
      <c r="AH780" s="62"/>
      <c r="AI780" s="62">
        <v>-23142.153786668943</v>
      </c>
      <c r="AJ780" s="62">
        <v>-22010.415605424132</v>
      </c>
      <c r="AK780" s="62">
        <v>-16220.724114321216</v>
      </c>
      <c r="AL780" s="62">
        <v>-12326.181360000162</v>
      </c>
      <c r="AM780" s="62">
        <v>0</v>
      </c>
    </row>
    <row r="781" spans="1:39">
      <c r="A781" s="9">
        <v>98414</v>
      </c>
      <c r="B781" s="10" t="s">
        <v>2155</v>
      </c>
      <c r="C781" s="60">
        <v>2.83E-5</v>
      </c>
      <c r="E781" s="62">
        <v>5918.6645000000062</v>
      </c>
      <c r="F781" s="62">
        <v>16160.660900000004</v>
      </c>
      <c r="G781" s="62">
        <v>9937.123000000005</v>
      </c>
      <c r="H781" s="62">
        <v>396.65530000000581</v>
      </c>
      <c r="I781" s="62">
        <v>0</v>
      </c>
      <c r="J781" s="62"/>
      <c r="K781" s="62">
        <v>-170.28110000000001</v>
      </c>
      <c r="L781" s="62">
        <v>358.44780000000003</v>
      </c>
      <c r="M781" s="62">
        <v>665.10659999999996</v>
      </c>
      <c r="N781" s="62">
        <v>413.60449999999997</v>
      </c>
      <c r="O781" s="62">
        <v>0</v>
      </c>
      <c r="P781" s="62"/>
      <c r="Q781" s="62">
        <v>623.02449999999999</v>
      </c>
      <c r="R781" s="62">
        <v>10336.291999999999</v>
      </c>
      <c r="S781" s="62">
        <v>3955.2646</v>
      </c>
      <c r="T781" s="62">
        <v>-4417.1772000000001</v>
      </c>
      <c r="U781" s="62">
        <v>0</v>
      </c>
      <c r="V781" s="62"/>
      <c r="W781" s="62">
        <v>1847.3390999999999</v>
      </c>
      <c r="X781" s="62">
        <v>1847.3390999999999</v>
      </c>
      <c r="Y781" s="62">
        <v>1698.1697999999999</v>
      </c>
      <c r="Z781" s="62">
        <v>781.64599999999996</v>
      </c>
      <c r="AA781" s="62">
        <v>0</v>
      </c>
      <c r="AB781" s="62"/>
      <c r="AC781" s="62">
        <v>3618.5820000000058</v>
      </c>
      <c r="AD781" s="62">
        <v>3618.5820000000058</v>
      </c>
      <c r="AE781" s="62">
        <v>3618.5820000000058</v>
      </c>
      <c r="AF781" s="62">
        <v>3618.5820000000058</v>
      </c>
      <c r="AG781" s="62">
        <v>0</v>
      </c>
      <c r="AH781" s="62"/>
      <c r="AI781" s="62">
        <v>0</v>
      </c>
      <c r="AJ781" s="62">
        <v>0</v>
      </c>
      <c r="AK781" s="62">
        <v>0</v>
      </c>
      <c r="AL781" s="62">
        <v>0</v>
      </c>
      <c r="AM781" s="62">
        <v>0</v>
      </c>
    </row>
    <row r="782" spans="1:39">
      <c r="A782" s="9">
        <v>98417</v>
      </c>
      <c r="B782" s="10" t="s">
        <v>2156</v>
      </c>
      <c r="C782" s="60">
        <v>2.2900000000000001E-5</v>
      </c>
      <c r="E782" s="62">
        <v>2180.4173245793422</v>
      </c>
      <c r="F782" s="62">
        <v>10882.305992629137</v>
      </c>
      <c r="G782" s="62">
        <v>5760.5206672427994</v>
      </c>
      <c r="H782" s="62">
        <v>-2219.8884199999993</v>
      </c>
      <c r="I782" s="62">
        <v>0</v>
      </c>
      <c r="J782" s="62"/>
      <c r="K782" s="62">
        <v>-137.7893</v>
      </c>
      <c r="L782" s="62">
        <v>290.0514</v>
      </c>
      <c r="M782" s="62">
        <v>538.19580000000008</v>
      </c>
      <c r="N782" s="62">
        <v>334.68350000000004</v>
      </c>
      <c r="O782" s="62">
        <v>0</v>
      </c>
      <c r="P782" s="62"/>
      <c r="Q782" s="62">
        <v>504.14350000000002</v>
      </c>
      <c r="R782" s="62">
        <v>8363.996000000001</v>
      </c>
      <c r="S782" s="62">
        <v>3200.5498000000002</v>
      </c>
      <c r="T782" s="62">
        <v>-3574.3236000000002</v>
      </c>
      <c r="U782" s="62">
        <v>0</v>
      </c>
      <c r="V782" s="62"/>
      <c r="W782" s="62">
        <v>1494.8433</v>
      </c>
      <c r="X782" s="62">
        <v>1494.8433</v>
      </c>
      <c r="Y782" s="62">
        <v>1374.1374000000001</v>
      </c>
      <c r="Z782" s="62">
        <v>632.49800000000005</v>
      </c>
      <c r="AA782" s="62">
        <v>0</v>
      </c>
      <c r="AB782" s="62"/>
      <c r="AC782" s="62">
        <v>742.9398245793426</v>
      </c>
      <c r="AD782" s="62">
        <v>733.41529262913525</v>
      </c>
      <c r="AE782" s="62">
        <v>647.63766724279958</v>
      </c>
      <c r="AF782" s="62">
        <v>387.25368000000088</v>
      </c>
      <c r="AG782" s="62">
        <v>0</v>
      </c>
      <c r="AH782" s="62"/>
      <c r="AI782" s="62">
        <v>-423.72000000000008</v>
      </c>
      <c r="AJ782" s="62">
        <v>0</v>
      </c>
      <c r="AK782" s="62">
        <v>0</v>
      </c>
      <c r="AL782" s="62">
        <v>0</v>
      </c>
      <c r="AM782" s="62">
        <v>0</v>
      </c>
    </row>
    <row r="783" spans="1:39">
      <c r="A783" s="9">
        <v>98421</v>
      </c>
      <c r="B783" s="10" t="s">
        <v>2157</v>
      </c>
      <c r="C783" s="60">
        <v>8.2700000000000004E-5</v>
      </c>
      <c r="E783" s="62">
        <v>5816.851619024641</v>
      </c>
      <c r="F783" s="62">
        <v>35908.822851555757</v>
      </c>
      <c r="G783" s="62">
        <v>15540.459289876544</v>
      </c>
      <c r="H783" s="62">
        <v>-12437.17942</v>
      </c>
      <c r="I783" s="62">
        <v>0</v>
      </c>
      <c r="J783" s="62"/>
      <c r="K783" s="62">
        <v>-497.60590000000002</v>
      </c>
      <c r="L783" s="62">
        <v>1047.4782</v>
      </c>
      <c r="M783" s="62">
        <v>1943.6154000000001</v>
      </c>
      <c r="N783" s="62">
        <v>1208.6605</v>
      </c>
      <c r="O783" s="62">
        <v>0</v>
      </c>
      <c r="P783" s="62"/>
      <c r="Q783" s="62">
        <v>1820.6405000000002</v>
      </c>
      <c r="R783" s="62">
        <v>30205.348000000002</v>
      </c>
      <c r="S783" s="62">
        <v>11558.3174</v>
      </c>
      <c r="T783" s="62">
        <v>-12908.1468</v>
      </c>
      <c r="U783" s="62">
        <v>0</v>
      </c>
      <c r="V783" s="62"/>
      <c r="W783" s="62">
        <v>5398.4079000000002</v>
      </c>
      <c r="X783" s="62">
        <v>5398.4079000000002</v>
      </c>
      <c r="Y783" s="62">
        <v>4962.4962000000005</v>
      </c>
      <c r="Z783" s="62">
        <v>2284.174</v>
      </c>
      <c r="AA783" s="62">
        <v>0</v>
      </c>
      <c r="AB783" s="62"/>
      <c r="AC783" s="62">
        <v>2754.8362390246402</v>
      </c>
      <c r="AD783" s="62">
        <v>2279.455871555761</v>
      </c>
      <c r="AE783" s="62">
        <v>97.897409876541815</v>
      </c>
      <c r="AF783" s="62">
        <v>0</v>
      </c>
      <c r="AG783" s="62">
        <v>0</v>
      </c>
      <c r="AH783" s="62"/>
      <c r="AI783" s="62">
        <v>-3659.4271200000003</v>
      </c>
      <c r="AJ783" s="62">
        <v>-3021.8671199999999</v>
      </c>
      <c r="AK783" s="62">
        <v>-3021.8671199999999</v>
      </c>
      <c r="AL783" s="62">
        <v>-3021.8671199999999</v>
      </c>
      <c r="AM783" s="62">
        <v>0</v>
      </c>
    </row>
    <row r="784" spans="1:39">
      <c r="A784" s="9">
        <v>98427</v>
      </c>
      <c r="B784" s="10" t="s">
        <v>2158</v>
      </c>
      <c r="C784" s="60">
        <v>3.9999999999999998E-6</v>
      </c>
      <c r="E784" s="62">
        <v>811.64044972696047</v>
      </c>
      <c r="F784" s="62">
        <v>2169.3550405983297</v>
      </c>
      <c r="G784" s="62">
        <v>1182.2538483950616</v>
      </c>
      <c r="H784" s="62">
        <v>-277.01128000000028</v>
      </c>
      <c r="I784" s="62">
        <v>0</v>
      </c>
      <c r="J784" s="62"/>
      <c r="K784" s="62">
        <v>-24.067999999999998</v>
      </c>
      <c r="L784" s="62">
        <v>50.663999999999994</v>
      </c>
      <c r="M784" s="62">
        <v>94.007999999999996</v>
      </c>
      <c r="N784" s="62">
        <v>58.46</v>
      </c>
      <c r="O784" s="62">
        <v>0</v>
      </c>
      <c r="P784" s="62"/>
      <c r="Q784" s="62">
        <v>88.06</v>
      </c>
      <c r="R784" s="62">
        <v>1460.96</v>
      </c>
      <c r="S784" s="62">
        <v>559.048</v>
      </c>
      <c r="T784" s="62">
        <v>-624.33600000000001</v>
      </c>
      <c r="U784" s="62">
        <v>0</v>
      </c>
      <c r="V784" s="62"/>
      <c r="W784" s="62">
        <v>261.108</v>
      </c>
      <c r="X784" s="62">
        <v>261.108</v>
      </c>
      <c r="Y784" s="62">
        <v>240.024</v>
      </c>
      <c r="Z784" s="62">
        <v>110.47999999999999</v>
      </c>
      <c r="AA784" s="62">
        <v>0</v>
      </c>
      <c r="AB784" s="62"/>
      <c r="AC784" s="62">
        <v>486.5404497269605</v>
      </c>
      <c r="AD784" s="62">
        <v>396.62304059832979</v>
      </c>
      <c r="AE784" s="62">
        <v>289.17384839506144</v>
      </c>
      <c r="AF784" s="62">
        <v>178.3847199999997</v>
      </c>
      <c r="AG784" s="62">
        <v>0</v>
      </c>
      <c r="AH784" s="62"/>
      <c r="AI784" s="62">
        <v>0</v>
      </c>
      <c r="AJ784" s="62">
        <v>0</v>
      </c>
      <c r="AK784" s="62">
        <v>0</v>
      </c>
      <c r="AL784" s="62">
        <v>0</v>
      </c>
      <c r="AM784" s="62">
        <v>0</v>
      </c>
    </row>
    <row r="785" spans="1:39">
      <c r="A785" s="9">
        <v>98431</v>
      </c>
      <c r="B785" s="10" t="s">
        <v>2159</v>
      </c>
      <c r="C785" s="60">
        <v>2.0589999999999999E-4</v>
      </c>
      <c r="E785" s="62">
        <v>9087.3122551552951</v>
      </c>
      <c r="F785" s="62">
        <v>82901.484578308809</v>
      </c>
      <c r="G785" s="62">
        <v>40607.451764855963</v>
      </c>
      <c r="H785" s="62">
        <v>-25678.120780000005</v>
      </c>
      <c r="I785" s="62">
        <v>0</v>
      </c>
      <c r="J785" s="62"/>
      <c r="K785" s="62">
        <v>-1238.9003</v>
      </c>
      <c r="L785" s="62">
        <v>2607.9294</v>
      </c>
      <c r="M785" s="62">
        <v>4839.0617999999995</v>
      </c>
      <c r="N785" s="62">
        <v>3009.2284999999997</v>
      </c>
      <c r="O785" s="62">
        <v>0</v>
      </c>
      <c r="P785" s="62"/>
      <c r="Q785" s="62">
        <v>4532.8885</v>
      </c>
      <c r="R785" s="62">
        <v>75202.915999999997</v>
      </c>
      <c r="S785" s="62">
        <v>28776.995799999997</v>
      </c>
      <c r="T785" s="62">
        <v>-32137.695599999999</v>
      </c>
      <c r="U785" s="62">
        <v>0</v>
      </c>
      <c r="V785" s="62"/>
      <c r="W785" s="62">
        <v>13440.534299999999</v>
      </c>
      <c r="X785" s="62">
        <v>13440.534299999999</v>
      </c>
      <c r="Y785" s="62">
        <v>12355.2354</v>
      </c>
      <c r="Z785" s="62">
        <v>5686.9579999999996</v>
      </c>
      <c r="AA785" s="62">
        <v>0</v>
      </c>
      <c r="AB785" s="62"/>
      <c r="AC785" s="62">
        <v>1246.4100000000003</v>
      </c>
      <c r="AD785" s="62">
        <v>0</v>
      </c>
      <c r="AE785" s="62">
        <v>0</v>
      </c>
      <c r="AF785" s="62">
        <v>0</v>
      </c>
      <c r="AG785" s="62">
        <v>0</v>
      </c>
      <c r="AH785" s="62"/>
      <c r="AI785" s="62">
        <v>-8893.6202448447038</v>
      </c>
      <c r="AJ785" s="62">
        <v>-8349.8951216911755</v>
      </c>
      <c r="AK785" s="62">
        <v>-5363.8412351440347</v>
      </c>
      <c r="AL785" s="62">
        <v>-2236.611680000005</v>
      </c>
      <c r="AM785" s="62">
        <v>0</v>
      </c>
    </row>
    <row r="786" spans="1:39">
      <c r="A786" s="9">
        <v>98441</v>
      </c>
      <c r="B786" s="10" t="s">
        <v>2160</v>
      </c>
      <c r="C786" s="60">
        <v>8.2700000000000004E-5</v>
      </c>
      <c r="E786" s="62">
        <v>-1309.9335847360917</v>
      </c>
      <c r="F786" s="62">
        <v>28798.425052442333</v>
      </c>
      <c r="G786" s="62">
        <v>14382.861757201643</v>
      </c>
      <c r="H786" s="62">
        <v>-11285.391100000003</v>
      </c>
      <c r="I786" s="62">
        <v>0</v>
      </c>
      <c r="J786" s="62"/>
      <c r="K786" s="62">
        <v>-497.60590000000002</v>
      </c>
      <c r="L786" s="62">
        <v>1047.4782</v>
      </c>
      <c r="M786" s="62">
        <v>1943.6154000000001</v>
      </c>
      <c r="N786" s="62">
        <v>1208.6605</v>
      </c>
      <c r="O786" s="62">
        <v>0</v>
      </c>
      <c r="P786" s="62"/>
      <c r="Q786" s="62">
        <v>1820.6405000000002</v>
      </c>
      <c r="R786" s="62">
        <v>30205.348000000002</v>
      </c>
      <c r="S786" s="62">
        <v>11558.3174</v>
      </c>
      <c r="T786" s="62">
        <v>-12908.1468</v>
      </c>
      <c r="U786" s="62">
        <v>0</v>
      </c>
      <c r="V786" s="62"/>
      <c r="W786" s="62">
        <v>5398.4079000000002</v>
      </c>
      <c r="X786" s="62">
        <v>5398.4079000000002</v>
      </c>
      <c r="Y786" s="62">
        <v>4962.4962000000005</v>
      </c>
      <c r="Z786" s="62">
        <v>2284.174</v>
      </c>
      <c r="AA786" s="62">
        <v>0</v>
      </c>
      <c r="AB786" s="62"/>
      <c r="AC786" s="62">
        <v>570.24000000000012</v>
      </c>
      <c r="AD786" s="62">
        <v>0</v>
      </c>
      <c r="AE786" s="62">
        <v>0</v>
      </c>
      <c r="AF786" s="62">
        <v>0</v>
      </c>
      <c r="AG786" s="62">
        <v>0</v>
      </c>
      <c r="AH786" s="62"/>
      <c r="AI786" s="62">
        <v>-8601.6160847360916</v>
      </c>
      <c r="AJ786" s="62">
        <v>-7852.8090475576701</v>
      </c>
      <c r="AK786" s="62">
        <v>-4081.5672427983568</v>
      </c>
      <c r="AL786" s="62">
        <v>-1870.0788000000016</v>
      </c>
      <c r="AM786" s="62">
        <v>0</v>
      </c>
    </row>
    <row r="787" spans="1:39">
      <c r="A787" s="9">
        <v>98451</v>
      </c>
      <c r="B787" s="10" t="s">
        <v>2161</v>
      </c>
      <c r="C787" s="60">
        <v>5.7000000000000003E-5</v>
      </c>
      <c r="E787" s="62">
        <v>4103.5695043614587</v>
      </c>
      <c r="F787" s="62">
        <v>24873.807984776398</v>
      </c>
      <c r="G787" s="62">
        <v>12546.211662222224</v>
      </c>
      <c r="H787" s="62">
        <v>-6362.4691599999987</v>
      </c>
      <c r="I787" s="62">
        <v>0</v>
      </c>
      <c r="J787" s="62"/>
      <c r="K787" s="62">
        <v>-342.96899999999999</v>
      </c>
      <c r="L787" s="62">
        <v>721.96199999999999</v>
      </c>
      <c r="M787" s="62">
        <v>1339.614</v>
      </c>
      <c r="N787" s="62">
        <v>833.05500000000006</v>
      </c>
      <c r="O787" s="62">
        <v>0</v>
      </c>
      <c r="P787" s="62"/>
      <c r="Q787" s="62">
        <v>1254.855</v>
      </c>
      <c r="R787" s="62">
        <v>20818.68</v>
      </c>
      <c r="S787" s="62">
        <v>7966.4340000000002</v>
      </c>
      <c r="T787" s="62">
        <v>-8896.7880000000005</v>
      </c>
      <c r="U787" s="62">
        <v>0</v>
      </c>
      <c r="V787" s="62"/>
      <c r="W787" s="62">
        <v>3720.7890000000002</v>
      </c>
      <c r="X787" s="62">
        <v>3720.7890000000002</v>
      </c>
      <c r="Y787" s="62">
        <v>3420.3420000000001</v>
      </c>
      <c r="Z787" s="62">
        <v>1574.3400000000001</v>
      </c>
      <c r="AA787" s="62">
        <v>0</v>
      </c>
      <c r="AB787" s="62"/>
      <c r="AC787" s="62">
        <v>126.92384000000166</v>
      </c>
      <c r="AD787" s="62">
        <v>126.92384000000166</v>
      </c>
      <c r="AE787" s="62">
        <v>126.92384000000166</v>
      </c>
      <c r="AF787" s="62">
        <v>126.92384000000166</v>
      </c>
      <c r="AG787" s="62">
        <v>0</v>
      </c>
      <c r="AH787" s="62"/>
      <c r="AI787" s="62">
        <v>-656.02933563854276</v>
      </c>
      <c r="AJ787" s="62">
        <v>-514.54685522360546</v>
      </c>
      <c r="AK787" s="62">
        <v>-307.10217777777933</v>
      </c>
      <c r="AL787" s="62">
        <v>0</v>
      </c>
      <c r="AM787" s="62">
        <v>0</v>
      </c>
    </row>
    <row r="788" spans="1:39">
      <c r="A788" s="9">
        <v>98481</v>
      </c>
      <c r="B788" s="10" t="s">
        <v>2162</v>
      </c>
      <c r="C788" s="60">
        <v>6.3899999999999995E-5</v>
      </c>
      <c r="E788" s="62">
        <v>5142.7918068032641</v>
      </c>
      <c r="F788" s="62">
        <v>26724.457903815714</v>
      </c>
      <c r="G788" s="62">
        <v>12750.719539176946</v>
      </c>
      <c r="H788" s="62">
        <v>-8339.4864600000055</v>
      </c>
      <c r="I788" s="62">
        <v>0</v>
      </c>
      <c r="J788" s="62"/>
      <c r="K788" s="62">
        <v>-384.48629999999997</v>
      </c>
      <c r="L788" s="62">
        <v>809.35739999999998</v>
      </c>
      <c r="M788" s="62">
        <v>1501.7777999999998</v>
      </c>
      <c r="N788" s="62">
        <v>933.8984999999999</v>
      </c>
      <c r="O788" s="62">
        <v>0</v>
      </c>
      <c r="P788" s="62"/>
      <c r="Q788" s="62">
        <v>1406.7584999999999</v>
      </c>
      <c r="R788" s="62">
        <v>23338.835999999999</v>
      </c>
      <c r="S788" s="62">
        <v>8930.7917999999991</v>
      </c>
      <c r="T788" s="62">
        <v>-9973.7675999999992</v>
      </c>
      <c r="U788" s="62">
        <v>0</v>
      </c>
      <c r="V788" s="62"/>
      <c r="W788" s="62">
        <v>4171.2002999999995</v>
      </c>
      <c r="X788" s="62">
        <v>4171.2002999999995</v>
      </c>
      <c r="Y788" s="62">
        <v>3834.3833999999997</v>
      </c>
      <c r="Z788" s="62">
        <v>1764.9179999999999</v>
      </c>
      <c r="AA788" s="62">
        <v>0</v>
      </c>
      <c r="AB788" s="62"/>
      <c r="AC788" s="62">
        <v>1545.3900000000003</v>
      </c>
      <c r="AD788" s="62">
        <v>0</v>
      </c>
      <c r="AE788" s="62">
        <v>0</v>
      </c>
      <c r="AF788" s="62">
        <v>0</v>
      </c>
      <c r="AG788" s="62">
        <v>0</v>
      </c>
      <c r="AH788" s="62"/>
      <c r="AI788" s="62">
        <v>-1596.0706931967363</v>
      </c>
      <c r="AJ788" s="62">
        <v>-1594.9357961842879</v>
      </c>
      <c r="AK788" s="62">
        <v>-1516.2334608230512</v>
      </c>
      <c r="AL788" s="62">
        <v>-1064.5353600000046</v>
      </c>
      <c r="AM788" s="62">
        <v>0</v>
      </c>
    </row>
    <row r="789" spans="1:39">
      <c r="A789" s="9">
        <v>98501</v>
      </c>
      <c r="B789" s="10" t="s">
        <v>2163</v>
      </c>
      <c r="C789" s="60">
        <v>1.6022E-3</v>
      </c>
      <c r="E789" s="62">
        <v>149430.07029502522</v>
      </c>
      <c r="F789" s="62">
        <v>732155.42050722451</v>
      </c>
      <c r="G789" s="62">
        <v>377983.86618213996</v>
      </c>
      <c r="H789" s="62">
        <v>-171802.98467999991</v>
      </c>
      <c r="I789" s="62">
        <v>0</v>
      </c>
      <c r="J789" s="62"/>
      <c r="K789" s="62">
        <v>-9640.4374000000007</v>
      </c>
      <c r="L789" s="62">
        <v>20293.465199999999</v>
      </c>
      <c r="M789" s="62">
        <v>37654.904399999999</v>
      </c>
      <c r="N789" s="62">
        <v>23416.153000000002</v>
      </c>
      <c r="O789" s="62">
        <v>0</v>
      </c>
      <c r="P789" s="62"/>
      <c r="Q789" s="62">
        <v>35272.432999999997</v>
      </c>
      <c r="R789" s="62">
        <v>585187.52800000005</v>
      </c>
      <c r="S789" s="62">
        <v>223926.6764</v>
      </c>
      <c r="T789" s="62">
        <v>-250077.78479999999</v>
      </c>
      <c r="U789" s="62">
        <v>0</v>
      </c>
      <c r="V789" s="62"/>
      <c r="W789" s="62">
        <v>104586.8094</v>
      </c>
      <c r="X789" s="62">
        <v>104586.8094</v>
      </c>
      <c r="Y789" s="62">
        <v>96141.613200000007</v>
      </c>
      <c r="Z789" s="62">
        <v>44252.764000000003</v>
      </c>
      <c r="AA789" s="62">
        <v>0</v>
      </c>
      <c r="AB789" s="62"/>
      <c r="AC789" s="62">
        <v>22143.645295025235</v>
      </c>
      <c r="AD789" s="62">
        <v>22087.617907224398</v>
      </c>
      <c r="AE789" s="62">
        <v>20260.672182139955</v>
      </c>
      <c r="AF789" s="62">
        <v>10605.883120000106</v>
      </c>
      <c r="AG789" s="62">
        <v>0</v>
      </c>
      <c r="AH789" s="62"/>
      <c r="AI789" s="62">
        <v>-2932.3800000000006</v>
      </c>
      <c r="AJ789" s="62">
        <v>0</v>
      </c>
      <c r="AK789" s="62">
        <v>0</v>
      </c>
      <c r="AL789" s="62">
        <v>0</v>
      </c>
      <c r="AM789" s="62">
        <v>0</v>
      </c>
    </row>
    <row r="790" spans="1:39">
      <c r="A790" s="9">
        <v>98511</v>
      </c>
      <c r="B790" s="10" t="s">
        <v>2164</v>
      </c>
      <c r="C790" s="60">
        <v>4.8000000000000001E-5</v>
      </c>
      <c r="E790" s="62">
        <v>-5375.2109819975121</v>
      </c>
      <c r="F790" s="62">
        <v>22251.278181487967</v>
      </c>
      <c r="G790" s="62">
        <v>12364.825517201645</v>
      </c>
      <c r="H790" s="62">
        <v>-4816.1994400000021</v>
      </c>
      <c r="I790" s="62">
        <v>0</v>
      </c>
      <c r="J790" s="62"/>
      <c r="K790" s="62">
        <v>-288.81600000000003</v>
      </c>
      <c r="L790" s="62">
        <v>607.96799999999996</v>
      </c>
      <c r="M790" s="62">
        <v>1128.096</v>
      </c>
      <c r="N790" s="62">
        <v>701.52</v>
      </c>
      <c r="O790" s="62">
        <v>0</v>
      </c>
      <c r="P790" s="62"/>
      <c r="Q790" s="62">
        <v>1056.72</v>
      </c>
      <c r="R790" s="62">
        <v>17531.52</v>
      </c>
      <c r="S790" s="62">
        <v>6708.576</v>
      </c>
      <c r="T790" s="62">
        <v>-7492.0320000000002</v>
      </c>
      <c r="U790" s="62">
        <v>0</v>
      </c>
      <c r="V790" s="62"/>
      <c r="W790" s="62">
        <v>3133.2960000000003</v>
      </c>
      <c r="X790" s="62">
        <v>3133.2960000000003</v>
      </c>
      <c r="Y790" s="62">
        <v>2880.288</v>
      </c>
      <c r="Z790" s="62">
        <v>1325.76</v>
      </c>
      <c r="AA790" s="62">
        <v>0</v>
      </c>
      <c r="AB790" s="62"/>
      <c r="AC790" s="62">
        <v>1810.5443706995857</v>
      </c>
      <c r="AD790" s="62">
        <v>1810.5443706995857</v>
      </c>
      <c r="AE790" s="62">
        <v>1647.8655172016438</v>
      </c>
      <c r="AF790" s="62">
        <v>648.55255999999781</v>
      </c>
      <c r="AG790" s="62">
        <v>0</v>
      </c>
      <c r="AH790" s="62"/>
      <c r="AI790" s="62">
        <v>-11086.955352697098</v>
      </c>
      <c r="AJ790" s="62">
        <v>-832.050189211619</v>
      </c>
      <c r="AK790" s="62">
        <v>0</v>
      </c>
      <c r="AL790" s="62">
        <v>0</v>
      </c>
      <c r="AM790" s="62">
        <v>0</v>
      </c>
    </row>
    <row r="791" spans="1:39">
      <c r="A791" s="9">
        <v>98517</v>
      </c>
      <c r="B791" s="10" t="s">
        <v>2165</v>
      </c>
      <c r="C791" s="60">
        <v>2.3E-6</v>
      </c>
      <c r="E791" s="62">
        <v>774.8936149729351</v>
      </c>
      <c r="F791" s="62">
        <v>1472.9194689148439</v>
      </c>
      <c r="G791" s="62">
        <v>860.08009695473254</v>
      </c>
      <c r="H791" s="62">
        <v>-26.500380000000064</v>
      </c>
      <c r="I791" s="62">
        <v>0</v>
      </c>
      <c r="J791" s="62"/>
      <c r="K791" s="62">
        <v>-13.8391</v>
      </c>
      <c r="L791" s="62">
        <v>29.131799999999998</v>
      </c>
      <c r="M791" s="62">
        <v>54.054600000000001</v>
      </c>
      <c r="N791" s="62">
        <v>33.6145</v>
      </c>
      <c r="O791" s="62">
        <v>0</v>
      </c>
      <c r="P791" s="62"/>
      <c r="Q791" s="62">
        <v>50.634500000000003</v>
      </c>
      <c r="R791" s="62">
        <v>840.05200000000002</v>
      </c>
      <c r="S791" s="62">
        <v>321.45260000000002</v>
      </c>
      <c r="T791" s="62">
        <v>-358.9932</v>
      </c>
      <c r="U791" s="62">
        <v>0</v>
      </c>
      <c r="V791" s="62"/>
      <c r="W791" s="62">
        <v>150.1371</v>
      </c>
      <c r="X791" s="62">
        <v>150.1371</v>
      </c>
      <c r="Y791" s="62">
        <v>138.0138</v>
      </c>
      <c r="Z791" s="62">
        <v>63.526000000000003</v>
      </c>
      <c r="AA791" s="62">
        <v>0</v>
      </c>
      <c r="AB791" s="62"/>
      <c r="AC791" s="62">
        <v>587.96111497293509</v>
      </c>
      <c r="AD791" s="62">
        <v>453.5985689148439</v>
      </c>
      <c r="AE791" s="62">
        <v>346.55909695473258</v>
      </c>
      <c r="AF791" s="62">
        <v>235.35231999999991</v>
      </c>
      <c r="AG791" s="62">
        <v>0</v>
      </c>
      <c r="AH791" s="62"/>
      <c r="AI791" s="62">
        <v>0</v>
      </c>
      <c r="AJ791" s="62">
        <v>0</v>
      </c>
      <c r="AK791" s="62">
        <v>0</v>
      </c>
      <c r="AL791" s="62">
        <v>0</v>
      </c>
      <c r="AM791" s="62">
        <v>0</v>
      </c>
    </row>
    <row r="792" spans="1:39">
      <c r="A792" s="9">
        <v>98521</v>
      </c>
      <c r="B792" s="10" t="s">
        <v>2166</v>
      </c>
      <c r="C792" s="60">
        <v>6.6180000000000004E-4</v>
      </c>
      <c r="E792" s="62">
        <v>43623.192671054429</v>
      </c>
      <c r="F792" s="62">
        <v>287300.3565854943</v>
      </c>
      <c r="G792" s="62">
        <v>146051.76852823046</v>
      </c>
      <c r="H792" s="62">
        <v>-66646.522280000005</v>
      </c>
      <c r="I792" s="62">
        <v>0</v>
      </c>
      <c r="J792" s="62"/>
      <c r="K792" s="62">
        <v>-3982.0506</v>
      </c>
      <c r="L792" s="62">
        <v>8382.3588</v>
      </c>
      <c r="M792" s="62">
        <v>15553.623600000001</v>
      </c>
      <c r="N792" s="62">
        <v>9672.2070000000003</v>
      </c>
      <c r="O792" s="62">
        <v>0</v>
      </c>
      <c r="P792" s="62"/>
      <c r="Q792" s="62">
        <v>14569.527</v>
      </c>
      <c r="R792" s="62">
        <v>241715.83200000002</v>
      </c>
      <c r="S792" s="62">
        <v>92494.491600000008</v>
      </c>
      <c r="T792" s="62">
        <v>-103296.39120000001</v>
      </c>
      <c r="U792" s="62">
        <v>0</v>
      </c>
      <c r="V792" s="62"/>
      <c r="W792" s="62">
        <v>43200.318600000006</v>
      </c>
      <c r="X792" s="62">
        <v>43200.318600000006</v>
      </c>
      <c r="Y792" s="62">
        <v>39711.970800000003</v>
      </c>
      <c r="Z792" s="62">
        <v>18278.916000000001</v>
      </c>
      <c r="AA792" s="62">
        <v>0</v>
      </c>
      <c r="AB792" s="62"/>
      <c r="AC792" s="62">
        <v>8698.7459200000158</v>
      </c>
      <c r="AD792" s="62">
        <v>8698.7459200000158</v>
      </c>
      <c r="AE792" s="62">
        <v>8698.7459200000158</v>
      </c>
      <c r="AF792" s="62">
        <v>8698.7459200000158</v>
      </c>
      <c r="AG792" s="62">
        <v>0</v>
      </c>
      <c r="AH792" s="62"/>
      <c r="AI792" s="62">
        <v>-18863.348248945593</v>
      </c>
      <c r="AJ792" s="62">
        <v>-14696.898734505759</v>
      </c>
      <c r="AK792" s="62">
        <v>-10407.063391769569</v>
      </c>
      <c r="AL792" s="62">
        <v>0</v>
      </c>
      <c r="AM792" s="62">
        <v>0</v>
      </c>
    </row>
    <row r="793" spans="1:39">
      <c r="A793" s="9">
        <v>98601</v>
      </c>
      <c r="B793" s="10" t="s">
        <v>2167</v>
      </c>
      <c r="C793" s="60">
        <v>3.4148E-3</v>
      </c>
      <c r="E793" s="62">
        <v>184294.42672085739</v>
      </c>
      <c r="F793" s="62">
        <v>1455233.4511601105</v>
      </c>
      <c r="G793" s="62">
        <v>727126.73193316883</v>
      </c>
      <c r="H793" s="62">
        <v>-418777.97607999999</v>
      </c>
      <c r="I793" s="62">
        <v>0</v>
      </c>
      <c r="J793" s="62"/>
      <c r="K793" s="62">
        <v>-20546.851599999998</v>
      </c>
      <c r="L793" s="62">
        <v>43251.856800000001</v>
      </c>
      <c r="M793" s="62">
        <v>80254.6296</v>
      </c>
      <c r="N793" s="62">
        <v>49907.301999999996</v>
      </c>
      <c r="O793" s="62">
        <v>0</v>
      </c>
      <c r="P793" s="62"/>
      <c r="Q793" s="62">
        <v>75176.822</v>
      </c>
      <c r="R793" s="62">
        <v>1247221.5519999999</v>
      </c>
      <c r="S793" s="62">
        <v>477259.27759999997</v>
      </c>
      <c r="T793" s="62">
        <v>-532995.64320000005</v>
      </c>
      <c r="U793" s="62">
        <v>0</v>
      </c>
      <c r="V793" s="62"/>
      <c r="W793" s="62">
        <v>222907.8996</v>
      </c>
      <c r="X793" s="62">
        <v>222907.8996</v>
      </c>
      <c r="Y793" s="62">
        <v>204908.48879999999</v>
      </c>
      <c r="Z793" s="62">
        <v>94316.775999999998</v>
      </c>
      <c r="AA793" s="62">
        <v>0</v>
      </c>
      <c r="AB793" s="62"/>
      <c r="AC793" s="62">
        <v>0</v>
      </c>
      <c r="AD793" s="62">
        <v>0</v>
      </c>
      <c r="AE793" s="62">
        <v>0</v>
      </c>
      <c r="AF793" s="62">
        <v>0</v>
      </c>
      <c r="AG793" s="62">
        <v>0</v>
      </c>
      <c r="AH793" s="62"/>
      <c r="AI793" s="62">
        <v>-93243.443279142622</v>
      </c>
      <c r="AJ793" s="62">
        <v>-58147.857239889519</v>
      </c>
      <c r="AK793" s="62">
        <v>-35295.664066831152</v>
      </c>
      <c r="AL793" s="62">
        <v>-30006.410879999959</v>
      </c>
      <c r="AM793" s="62">
        <v>0</v>
      </c>
    </row>
    <row r="794" spans="1:39">
      <c r="A794" s="9">
        <v>98604</v>
      </c>
      <c r="B794" s="10" t="s">
        <v>2168</v>
      </c>
      <c r="C794" s="60">
        <v>1.34E-5</v>
      </c>
      <c r="E794" s="62">
        <v>3047.6496701234555</v>
      </c>
      <c r="F794" s="62">
        <v>7897.2168701234559</v>
      </c>
      <c r="G794" s="62">
        <v>4657.7222195061722</v>
      </c>
      <c r="H794" s="62">
        <v>-1657.4437200000007</v>
      </c>
      <c r="I794" s="62">
        <v>0</v>
      </c>
      <c r="J794" s="62"/>
      <c r="K794" s="62">
        <v>-80.627800000000008</v>
      </c>
      <c r="L794" s="62">
        <v>169.7244</v>
      </c>
      <c r="M794" s="62">
        <v>314.92680000000001</v>
      </c>
      <c r="N794" s="62">
        <v>195.84100000000001</v>
      </c>
      <c r="O794" s="62">
        <v>0</v>
      </c>
      <c r="P794" s="62"/>
      <c r="Q794" s="62">
        <v>295.00100000000003</v>
      </c>
      <c r="R794" s="62">
        <v>4894.2160000000003</v>
      </c>
      <c r="S794" s="62">
        <v>1872.8108</v>
      </c>
      <c r="T794" s="62">
        <v>-2091.5255999999999</v>
      </c>
      <c r="U794" s="62">
        <v>0</v>
      </c>
      <c r="V794" s="62"/>
      <c r="W794" s="62">
        <v>874.71180000000004</v>
      </c>
      <c r="X794" s="62">
        <v>874.71180000000004</v>
      </c>
      <c r="Y794" s="62">
        <v>804.08040000000005</v>
      </c>
      <c r="Z794" s="62">
        <v>370.108</v>
      </c>
      <c r="AA794" s="62">
        <v>0</v>
      </c>
      <c r="AB794" s="62"/>
      <c r="AC794" s="62">
        <v>2090.4317901234563</v>
      </c>
      <c r="AD794" s="62">
        <v>2090.4317901234563</v>
      </c>
      <c r="AE794" s="62">
        <v>1797.771339506173</v>
      </c>
      <c r="AF794" s="62">
        <v>0</v>
      </c>
      <c r="AG794" s="62">
        <v>0</v>
      </c>
      <c r="AH794" s="62"/>
      <c r="AI794" s="62">
        <v>-131.86712000000063</v>
      </c>
      <c r="AJ794" s="62">
        <v>-131.86712000000063</v>
      </c>
      <c r="AK794" s="62">
        <v>-131.86712000000063</v>
      </c>
      <c r="AL794" s="62">
        <v>-131.86712000000063</v>
      </c>
      <c r="AM794" s="62">
        <v>0</v>
      </c>
    </row>
    <row r="795" spans="1:39">
      <c r="A795" s="9">
        <v>98607</v>
      </c>
      <c r="B795" s="10" t="s">
        <v>2169</v>
      </c>
      <c r="C795" s="60">
        <v>5.9000000000000003E-6</v>
      </c>
      <c r="E795" s="62">
        <v>-379.79260618581696</v>
      </c>
      <c r="F795" s="62">
        <v>2042.9323016980006</v>
      </c>
      <c r="G795" s="62">
        <v>1313.607038436214</v>
      </c>
      <c r="H795" s="62">
        <v>-658.58622000000025</v>
      </c>
      <c r="I795" s="62">
        <v>0</v>
      </c>
      <c r="J795" s="62"/>
      <c r="K795" s="62">
        <v>-35.500300000000003</v>
      </c>
      <c r="L795" s="62">
        <v>74.729399999999998</v>
      </c>
      <c r="M795" s="62">
        <v>138.6618</v>
      </c>
      <c r="N795" s="62">
        <v>86.228499999999997</v>
      </c>
      <c r="O795" s="62">
        <v>0</v>
      </c>
      <c r="P795" s="62"/>
      <c r="Q795" s="62">
        <v>129.88849999999999</v>
      </c>
      <c r="R795" s="62">
        <v>2154.9160000000002</v>
      </c>
      <c r="S795" s="62">
        <v>824.59580000000005</v>
      </c>
      <c r="T795" s="62">
        <v>-920.89560000000006</v>
      </c>
      <c r="U795" s="62">
        <v>0</v>
      </c>
      <c r="V795" s="62"/>
      <c r="W795" s="62">
        <v>385.1343</v>
      </c>
      <c r="X795" s="62">
        <v>385.1343</v>
      </c>
      <c r="Y795" s="62">
        <v>354.03540000000004</v>
      </c>
      <c r="Z795" s="62">
        <v>162.958</v>
      </c>
      <c r="AA795" s="62">
        <v>0</v>
      </c>
      <c r="AB795" s="62"/>
      <c r="AC795" s="62">
        <v>13.122879999999896</v>
      </c>
      <c r="AD795" s="62">
        <v>13.122879999999896</v>
      </c>
      <c r="AE795" s="62">
        <v>13.122879999999896</v>
      </c>
      <c r="AF795" s="62">
        <v>13.122879999999896</v>
      </c>
      <c r="AG795" s="62">
        <v>0</v>
      </c>
      <c r="AH795" s="62"/>
      <c r="AI795" s="62">
        <v>-872.43798618581684</v>
      </c>
      <c r="AJ795" s="62">
        <v>-584.97027830199966</v>
      </c>
      <c r="AK795" s="62">
        <v>-16.808841563786039</v>
      </c>
      <c r="AL795" s="62">
        <v>0</v>
      </c>
      <c r="AM795" s="62">
        <v>0</v>
      </c>
    </row>
    <row r="796" spans="1:39">
      <c r="A796" s="9">
        <v>98608</v>
      </c>
      <c r="B796" s="10" t="s">
        <v>2170</v>
      </c>
      <c r="C796" s="60">
        <v>4.9200000000000003E-5</v>
      </c>
      <c r="E796" s="62">
        <v>5209.5824327421742</v>
      </c>
      <c r="F796" s="62">
        <v>22066.134441870807</v>
      </c>
      <c r="G796" s="62">
        <v>10021.349921728397</v>
      </c>
      <c r="H796" s="62">
        <v>-4950.3634400000001</v>
      </c>
      <c r="I796" s="62">
        <v>0</v>
      </c>
      <c r="J796" s="62"/>
      <c r="K796" s="62">
        <v>-296.03640000000001</v>
      </c>
      <c r="L796" s="62">
        <v>623.16720000000009</v>
      </c>
      <c r="M796" s="62">
        <v>1156.2984000000001</v>
      </c>
      <c r="N796" s="62">
        <v>719.05799999999999</v>
      </c>
      <c r="O796" s="62">
        <v>0</v>
      </c>
      <c r="P796" s="62"/>
      <c r="Q796" s="62">
        <v>1083.1380000000001</v>
      </c>
      <c r="R796" s="62">
        <v>17969.808000000001</v>
      </c>
      <c r="S796" s="62">
        <v>6876.2904000000008</v>
      </c>
      <c r="T796" s="62">
        <v>-7679.3328000000001</v>
      </c>
      <c r="U796" s="62">
        <v>0</v>
      </c>
      <c r="V796" s="62"/>
      <c r="W796" s="62">
        <v>3211.6284000000001</v>
      </c>
      <c r="X796" s="62">
        <v>3211.6284000000001</v>
      </c>
      <c r="Y796" s="62">
        <v>2952.2952</v>
      </c>
      <c r="Z796" s="62">
        <v>1358.904</v>
      </c>
      <c r="AA796" s="62">
        <v>0</v>
      </c>
      <c r="AB796" s="62"/>
      <c r="AC796" s="62">
        <v>3088.2261981742713</v>
      </c>
      <c r="AD796" s="62">
        <v>2138.9046073029031</v>
      </c>
      <c r="AE796" s="62">
        <v>651.0073600000004</v>
      </c>
      <c r="AF796" s="62">
        <v>651.0073600000004</v>
      </c>
      <c r="AG796" s="62">
        <v>0</v>
      </c>
      <c r="AH796" s="62"/>
      <c r="AI796" s="62">
        <v>-1877.3737654320976</v>
      </c>
      <c r="AJ796" s="62">
        <v>-1877.3737654320976</v>
      </c>
      <c r="AK796" s="62">
        <v>-1614.5414382716044</v>
      </c>
      <c r="AL796" s="62">
        <v>0</v>
      </c>
      <c r="AM796" s="62">
        <v>0</v>
      </c>
    </row>
    <row r="797" spans="1:39">
      <c r="A797" s="9">
        <v>98611</v>
      </c>
      <c r="B797" s="10" t="s">
        <v>2171</v>
      </c>
      <c r="C797" s="60">
        <v>8.6899999999999998E-5</v>
      </c>
      <c r="E797" s="62">
        <v>7954.5626338510547</v>
      </c>
      <c r="F797" s="62">
        <v>37571.956439328242</v>
      </c>
      <c r="G797" s="62">
        <v>18580.577976213986</v>
      </c>
      <c r="H797" s="62">
        <v>-7852.6566600000051</v>
      </c>
      <c r="I797" s="62">
        <v>0</v>
      </c>
      <c r="J797" s="62"/>
      <c r="K797" s="62">
        <v>-522.87729999999999</v>
      </c>
      <c r="L797" s="62">
        <v>1100.6754000000001</v>
      </c>
      <c r="M797" s="62">
        <v>2042.3237999999999</v>
      </c>
      <c r="N797" s="62">
        <v>1270.0435</v>
      </c>
      <c r="O797" s="62">
        <v>0</v>
      </c>
      <c r="P797" s="62"/>
      <c r="Q797" s="62">
        <v>1913.1034999999999</v>
      </c>
      <c r="R797" s="62">
        <v>31739.356</v>
      </c>
      <c r="S797" s="62">
        <v>12145.317799999999</v>
      </c>
      <c r="T797" s="62">
        <v>-13563.6996</v>
      </c>
      <c r="U797" s="62">
        <v>0</v>
      </c>
      <c r="V797" s="62"/>
      <c r="W797" s="62">
        <v>5672.5712999999996</v>
      </c>
      <c r="X797" s="62">
        <v>5672.5712999999996</v>
      </c>
      <c r="Y797" s="62">
        <v>5214.5213999999996</v>
      </c>
      <c r="Z797" s="62">
        <v>2400.1779999999999</v>
      </c>
      <c r="AA797" s="62">
        <v>0</v>
      </c>
      <c r="AB797" s="62"/>
      <c r="AC797" s="62">
        <v>4220.1447429045538</v>
      </c>
      <c r="AD797" s="62">
        <v>2387.7333483817329</v>
      </c>
      <c r="AE797" s="62">
        <v>2040.8214399999954</v>
      </c>
      <c r="AF797" s="62">
        <v>2040.8214399999954</v>
      </c>
      <c r="AG797" s="62">
        <v>0</v>
      </c>
      <c r="AH797" s="62"/>
      <c r="AI797" s="62">
        <v>-3328.3796090534988</v>
      </c>
      <c r="AJ797" s="62">
        <v>-3328.3796090534988</v>
      </c>
      <c r="AK797" s="62">
        <v>-2862.4064637860101</v>
      </c>
      <c r="AL797" s="62">
        <v>0</v>
      </c>
      <c r="AM797" s="62">
        <v>0</v>
      </c>
    </row>
    <row r="798" spans="1:39">
      <c r="A798" s="9">
        <v>98621</v>
      </c>
      <c r="B798" s="10" t="s">
        <v>2172</v>
      </c>
      <c r="C798" s="60">
        <v>1.314E-4</v>
      </c>
      <c r="E798" s="62">
        <v>7139.6871629158313</v>
      </c>
      <c r="F798" s="62">
        <v>54559.008991546543</v>
      </c>
      <c r="G798" s="62">
        <v>27352.947245432104</v>
      </c>
      <c r="H798" s="62">
        <v>-16013.844919999996</v>
      </c>
      <c r="I798" s="62">
        <v>0</v>
      </c>
      <c r="J798" s="62"/>
      <c r="K798" s="62">
        <v>-790.63379999999995</v>
      </c>
      <c r="L798" s="62">
        <v>1664.3124</v>
      </c>
      <c r="M798" s="62">
        <v>3088.1628000000001</v>
      </c>
      <c r="N798" s="62">
        <v>1920.4109999999998</v>
      </c>
      <c r="O798" s="62">
        <v>0</v>
      </c>
      <c r="P798" s="62"/>
      <c r="Q798" s="62">
        <v>2892.7709999999997</v>
      </c>
      <c r="R798" s="62">
        <v>47992.536</v>
      </c>
      <c r="S798" s="62">
        <v>18364.7268</v>
      </c>
      <c r="T798" s="62">
        <v>-20509.437600000001</v>
      </c>
      <c r="U798" s="62">
        <v>0</v>
      </c>
      <c r="V798" s="62"/>
      <c r="W798" s="62">
        <v>8577.3977999999988</v>
      </c>
      <c r="X798" s="62">
        <v>8577.3977999999988</v>
      </c>
      <c r="Y798" s="62">
        <v>7884.7883999999995</v>
      </c>
      <c r="Z798" s="62">
        <v>3629.268</v>
      </c>
      <c r="AA798" s="62">
        <v>0</v>
      </c>
      <c r="AB798" s="62"/>
      <c r="AC798" s="62">
        <v>473.22000000000008</v>
      </c>
      <c r="AD798" s="62">
        <v>0</v>
      </c>
      <c r="AE798" s="62">
        <v>0</v>
      </c>
      <c r="AF798" s="62">
        <v>0</v>
      </c>
      <c r="AG798" s="62">
        <v>0</v>
      </c>
      <c r="AH798" s="62"/>
      <c r="AI798" s="62">
        <v>-4013.0678370841661</v>
      </c>
      <c r="AJ798" s="62">
        <v>-3675.23720845346</v>
      </c>
      <c r="AK798" s="62">
        <v>-1984.7307545678952</v>
      </c>
      <c r="AL798" s="62">
        <v>-1054.0863199999949</v>
      </c>
      <c r="AM798" s="62">
        <v>0</v>
      </c>
    </row>
    <row r="799" spans="1:39">
      <c r="A799" s="9">
        <v>98627</v>
      </c>
      <c r="B799" s="10" t="s">
        <v>2173</v>
      </c>
      <c r="C799" s="60">
        <v>8.6999999999999997E-6</v>
      </c>
      <c r="E799" s="62">
        <v>487.36606622850496</v>
      </c>
      <c r="F799" s="62">
        <v>3689.3947824110774</v>
      </c>
      <c r="G799" s="62">
        <v>1792.113242139917</v>
      </c>
      <c r="H799" s="62">
        <v>-1235.838220000001</v>
      </c>
      <c r="I799" s="62">
        <v>0</v>
      </c>
      <c r="J799" s="62"/>
      <c r="K799" s="62">
        <v>-52.347899999999996</v>
      </c>
      <c r="L799" s="62">
        <v>110.1942</v>
      </c>
      <c r="M799" s="62">
        <v>204.4674</v>
      </c>
      <c r="N799" s="62">
        <v>127.15049999999999</v>
      </c>
      <c r="O799" s="62">
        <v>0</v>
      </c>
      <c r="P799" s="62"/>
      <c r="Q799" s="62">
        <v>191.53049999999999</v>
      </c>
      <c r="R799" s="62">
        <v>3177.5879999999997</v>
      </c>
      <c r="S799" s="62">
        <v>1215.9294</v>
      </c>
      <c r="T799" s="62">
        <v>-1357.9307999999999</v>
      </c>
      <c r="U799" s="62">
        <v>0</v>
      </c>
      <c r="V799" s="62"/>
      <c r="W799" s="62">
        <v>567.90989999999999</v>
      </c>
      <c r="X799" s="62">
        <v>567.90989999999999</v>
      </c>
      <c r="Y799" s="62">
        <v>522.05219999999997</v>
      </c>
      <c r="Z799" s="62">
        <v>240.29399999999998</v>
      </c>
      <c r="AA799" s="62">
        <v>0</v>
      </c>
      <c r="AB799" s="62"/>
      <c r="AC799" s="62">
        <v>110.48390946502073</v>
      </c>
      <c r="AD799" s="62">
        <v>110.48390946502073</v>
      </c>
      <c r="AE799" s="62">
        <v>95.016162139917867</v>
      </c>
      <c r="AF799" s="62">
        <v>0</v>
      </c>
      <c r="AG799" s="62">
        <v>0</v>
      </c>
      <c r="AH799" s="62"/>
      <c r="AI799" s="62">
        <v>-330.21034323651571</v>
      </c>
      <c r="AJ799" s="62">
        <v>-276.78122705394304</v>
      </c>
      <c r="AK799" s="62">
        <v>-245.35192000000106</v>
      </c>
      <c r="AL799" s="62">
        <v>-245.35192000000106</v>
      </c>
      <c r="AM799" s="62">
        <v>0</v>
      </c>
    </row>
    <row r="800" spans="1:39">
      <c r="A800" s="9">
        <v>98631</v>
      </c>
      <c r="B800" s="10" t="s">
        <v>2174</v>
      </c>
      <c r="C800" s="60">
        <v>1.0051999999999999E-3</v>
      </c>
      <c r="E800" s="62">
        <v>39980.956468357217</v>
      </c>
      <c r="F800" s="62">
        <v>409585.76948138629</v>
      </c>
      <c r="G800" s="62">
        <v>204990.33044814816</v>
      </c>
      <c r="H800" s="62">
        <v>-119495.254</v>
      </c>
      <c r="I800" s="62">
        <v>0</v>
      </c>
      <c r="J800" s="62"/>
      <c r="K800" s="62">
        <v>-6048.2883999999995</v>
      </c>
      <c r="L800" s="62">
        <v>12731.8632</v>
      </c>
      <c r="M800" s="62">
        <v>23624.2104</v>
      </c>
      <c r="N800" s="62">
        <v>14690.998</v>
      </c>
      <c r="O800" s="62">
        <v>0</v>
      </c>
      <c r="P800" s="62"/>
      <c r="Q800" s="62">
        <v>22129.477999999999</v>
      </c>
      <c r="R800" s="62">
        <v>367139.24799999996</v>
      </c>
      <c r="S800" s="62">
        <v>140488.76239999998</v>
      </c>
      <c r="T800" s="62">
        <v>-156895.63679999998</v>
      </c>
      <c r="U800" s="62">
        <v>0</v>
      </c>
      <c r="V800" s="62"/>
      <c r="W800" s="62">
        <v>65616.440399999992</v>
      </c>
      <c r="X800" s="62">
        <v>65616.440399999992</v>
      </c>
      <c r="Y800" s="62">
        <v>60318.031199999998</v>
      </c>
      <c r="Z800" s="62">
        <v>27763.624</v>
      </c>
      <c r="AA800" s="62">
        <v>0</v>
      </c>
      <c r="AB800" s="62"/>
      <c r="AC800" s="62">
        <v>0</v>
      </c>
      <c r="AD800" s="62">
        <v>0</v>
      </c>
      <c r="AE800" s="62">
        <v>0</v>
      </c>
      <c r="AF800" s="62">
        <v>0</v>
      </c>
      <c r="AG800" s="62">
        <v>0</v>
      </c>
      <c r="AH800" s="62"/>
      <c r="AI800" s="62">
        <v>-41716.673531642773</v>
      </c>
      <c r="AJ800" s="62">
        <v>-35901.782118613737</v>
      </c>
      <c r="AK800" s="62">
        <v>-19440.673551851818</v>
      </c>
      <c r="AL800" s="62">
        <v>-5054.2392000000109</v>
      </c>
      <c r="AM800" s="62">
        <v>0</v>
      </c>
    </row>
    <row r="801" spans="1:39">
      <c r="A801" s="9">
        <v>98637</v>
      </c>
      <c r="B801" s="10" t="s">
        <v>2175</v>
      </c>
      <c r="C801" s="60">
        <v>2.0800000000000001E-5</v>
      </c>
      <c r="E801" s="62">
        <v>4890.1856739839131</v>
      </c>
      <c r="F801" s="62">
        <v>11691.859528755698</v>
      </c>
      <c r="G801" s="62">
        <v>6355.5706202469128</v>
      </c>
      <c r="H801" s="62">
        <v>-1366.6681600000018</v>
      </c>
      <c r="I801" s="62">
        <v>0</v>
      </c>
      <c r="J801" s="62"/>
      <c r="K801" s="62">
        <v>-125.15360000000001</v>
      </c>
      <c r="L801" s="62">
        <v>263.45280000000002</v>
      </c>
      <c r="M801" s="62">
        <v>488.84160000000003</v>
      </c>
      <c r="N801" s="62">
        <v>303.99200000000002</v>
      </c>
      <c r="O801" s="62">
        <v>0</v>
      </c>
      <c r="P801" s="62"/>
      <c r="Q801" s="62">
        <v>457.91200000000003</v>
      </c>
      <c r="R801" s="62">
        <v>7596.9920000000002</v>
      </c>
      <c r="S801" s="62">
        <v>2907.0496000000003</v>
      </c>
      <c r="T801" s="62">
        <v>-3246.5472</v>
      </c>
      <c r="U801" s="62">
        <v>0</v>
      </c>
      <c r="V801" s="62"/>
      <c r="W801" s="62">
        <v>1357.7616</v>
      </c>
      <c r="X801" s="62">
        <v>1357.7616</v>
      </c>
      <c r="Y801" s="62">
        <v>1248.1248000000001</v>
      </c>
      <c r="Z801" s="62">
        <v>574.49599999999998</v>
      </c>
      <c r="AA801" s="62">
        <v>0</v>
      </c>
      <c r="AB801" s="62"/>
      <c r="AC801" s="62">
        <v>3199.6656739839127</v>
      </c>
      <c r="AD801" s="62">
        <v>2473.6531287556968</v>
      </c>
      <c r="AE801" s="62">
        <v>1711.554620246912</v>
      </c>
      <c r="AF801" s="62">
        <v>1001.3910399999979</v>
      </c>
      <c r="AG801" s="62">
        <v>0</v>
      </c>
      <c r="AH801" s="62"/>
      <c r="AI801" s="62">
        <v>0</v>
      </c>
      <c r="AJ801" s="62">
        <v>0</v>
      </c>
      <c r="AK801" s="62">
        <v>0</v>
      </c>
      <c r="AL801" s="62">
        <v>0</v>
      </c>
      <c r="AM801" s="62">
        <v>0</v>
      </c>
    </row>
    <row r="802" spans="1:39">
      <c r="A802" s="9">
        <v>98641</v>
      </c>
      <c r="B802" s="10" t="s">
        <v>2176</v>
      </c>
      <c r="C802" s="60">
        <v>2.965E-4</v>
      </c>
      <c r="E802" s="62">
        <v>23892.309426836397</v>
      </c>
      <c r="F802" s="62">
        <v>128953.51335372435</v>
      </c>
      <c r="G802" s="62">
        <v>64132.227295144039</v>
      </c>
      <c r="H802" s="62">
        <v>-33466.079859999983</v>
      </c>
      <c r="I802" s="62">
        <v>0</v>
      </c>
      <c r="J802" s="62"/>
      <c r="K802" s="62">
        <v>-1784.0405000000001</v>
      </c>
      <c r="L802" s="62">
        <v>3755.4690000000001</v>
      </c>
      <c r="M802" s="62">
        <v>6968.3429999999998</v>
      </c>
      <c r="N802" s="62">
        <v>4333.3474999999999</v>
      </c>
      <c r="O802" s="62">
        <v>0</v>
      </c>
      <c r="P802" s="62"/>
      <c r="Q802" s="62">
        <v>6527.4475000000002</v>
      </c>
      <c r="R802" s="62">
        <v>108293.66</v>
      </c>
      <c r="S802" s="62">
        <v>41439.432999999997</v>
      </c>
      <c r="T802" s="62">
        <v>-46278.906000000003</v>
      </c>
      <c r="U802" s="62">
        <v>0</v>
      </c>
      <c r="V802" s="62"/>
      <c r="W802" s="62">
        <v>19354.630499999999</v>
      </c>
      <c r="X802" s="62">
        <v>19354.630499999999</v>
      </c>
      <c r="Y802" s="62">
        <v>17791.778999999999</v>
      </c>
      <c r="Z802" s="62">
        <v>8189.33</v>
      </c>
      <c r="AA802" s="62">
        <v>0</v>
      </c>
      <c r="AB802" s="62"/>
      <c r="AC802" s="62">
        <v>2535.5234906224023</v>
      </c>
      <c r="AD802" s="62">
        <v>291.00541751037133</v>
      </c>
      <c r="AE802" s="62">
        <v>290.14864000001103</v>
      </c>
      <c r="AF802" s="62">
        <v>290.14864000001103</v>
      </c>
      <c r="AG802" s="62">
        <v>0</v>
      </c>
      <c r="AH802" s="62"/>
      <c r="AI802" s="62">
        <v>-2741.251563786006</v>
      </c>
      <c r="AJ802" s="62">
        <v>-2741.251563786006</v>
      </c>
      <c r="AK802" s="62">
        <v>-2357.4763448559661</v>
      </c>
      <c r="AL802" s="62">
        <v>0</v>
      </c>
      <c r="AM802" s="62">
        <v>0</v>
      </c>
    </row>
    <row r="803" spans="1:39">
      <c r="A803" s="9">
        <v>98647</v>
      </c>
      <c r="B803" s="10" t="s">
        <v>2172</v>
      </c>
      <c r="C803" s="60">
        <v>0</v>
      </c>
      <c r="E803" s="62">
        <v>171.20697334494503</v>
      </c>
      <c r="F803" s="62">
        <v>-685.09753370899671</v>
      </c>
      <c r="G803" s="62">
        <v>-1496.5980477366261</v>
      </c>
      <c r="H803" s="62">
        <v>0</v>
      </c>
      <c r="I803" s="62">
        <v>0</v>
      </c>
      <c r="J803" s="62"/>
      <c r="K803" s="62">
        <v>0</v>
      </c>
      <c r="L803" s="62">
        <v>0</v>
      </c>
      <c r="M803" s="62">
        <v>0</v>
      </c>
      <c r="N803" s="62">
        <v>0</v>
      </c>
      <c r="O803" s="62">
        <v>0</v>
      </c>
      <c r="P803" s="62"/>
      <c r="Q803" s="62">
        <v>0</v>
      </c>
      <c r="R803" s="62">
        <v>0</v>
      </c>
      <c r="S803" s="62">
        <v>0</v>
      </c>
      <c r="T803" s="62">
        <v>0</v>
      </c>
      <c r="U803" s="62">
        <v>0</v>
      </c>
      <c r="V803" s="62"/>
      <c r="W803" s="62">
        <v>0</v>
      </c>
      <c r="X803" s="62">
        <v>0</v>
      </c>
      <c r="Y803" s="62">
        <v>0</v>
      </c>
      <c r="Z803" s="62">
        <v>0</v>
      </c>
      <c r="AA803" s="62">
        <v>0</v>
      </c>
      <c r="AB803" s="62"/>
      <c r="AC803" s="62">
        <v>1911.4372614107888</v>
      </c>
      <c r="AD803" s="62">
        <v>1055.132754356847</v>
      </c>
      <c r="AE803" s="62">
        <v>0</v>
      </c>
      <c r="AF803" s="62">
        <v>0</v>
      </c>
      <c r="AG803" s="62">
        <v>0</v>
      </c>
      <c r="AH803" s="62"/>
      <c r="AI803" s="62">
        <v>-1740.2302880658438</v>
      </c>
      <c r="AJ803" s="62">
        <v>-1740.2302880658438</v>
      </c>
      <c r="AK803" s="62">
        <v>-1496.5980477366261</v>
      </c>
      <c r="AL803" s="62">
        <v>0</v>
      </c>
      <c r="AM803" s="62">
        <v>0</v>
      </c>
    </row>
    <row r="804" spans="1:39">
      <c r="A804" s="9">
        <v>98701</v>
      </c>
      <c r="B804" s="10" t="s">
        <v>2177</v>
      </c>
      <c r="C804" s="60">
        <v>1.1333999999999999E-3</v>
      </c>
      <c r="E804" s="62">
        <v>66171.630409130012</v>
      </c>
      <c r="F804" s="62">
        <v>482141.00278265693</v>
      </c>
      <c r="G804" s="62">
        <v>245149.85054065843</v>
      </c>
      <c r="H804" s="62">
        <v>-137972.64284000004</v>
      </c>
      <c r="I804" s="62">
        <v>0</v>
      </c>
      <c r="J804" s="62"/>
      <c r="K804" s="62">
        <v>-6819.6677999999993</v>
      </c>
      <c r="L804" s="62">
        <v>14355.644399999999</v>
      </c>
      <c r="M804" s="62">
        <v>26637.166799999999</v>
      </c>
      <c r="N804" s="62">
        <v>16564.641</v>
      </c>
      <c r="O804" s="62">
        <v>0</v>
      </c>
      <c r="P804" s="62"/>
      <c r="Q804" s="62">
        <v>24951.800999999999</v>
      </c>
      <c r="R804" s="62">
        <v>413963.01599999995</v>
      </c>
      <c r="S804" s="62">
        <v>158406.25079999998</v>
      </c>
      <c r="T804" s="62">
        <v>-176905.60559999998</v>
      </c>
      <c r="U804" s="62">
        <v>0</v>
      </c>
      <c r="V804" s="62"/>
      <c r="W804" s="62">
        <v>73984.951799999995</v>
      </c>
      <c r="X804" s="62">
        <v>73984.951799999995</v>
      </c>
      <c r="Y804" s="62">
        <v>68010.800399999993</v>
      </c>
      <c r="Z804" s="62">
        <v>31304.507999999998</v>
      </c>
      <c r="AA804" s="62">
        <v>0</v>
      </c>
      <c r="AB804" s="62"/>
      <c r="AC804" s="62">
        <v>1199.7892798354787</v>
      </c>
      <c r="AD804" s="62">
        <v>1199.7892798354787</v>
      </c>
      <c r="AE804" s="62">
        <v>1031.8187806585122</v>
      </c>
      <c r="AF804" s="62">
        <v>0</v>
      </c>
      <c r="AG804" s="62">
        <v>0</v>
      </c>
      <c r="AH804" s="62"/>
      <c r="AI804" s="62">
        <v>-27145.243870705446</v>
      </c>
      <c r="AJ804" s="62">
        <v>-21362.398697178483</v>
      </c>
      <c r="AK804" s="62">
        <v>-8936.1862400000682</v>
      </c>
      <c r="AL804" s="62">
        <v>-8936.1862400000682</v>
      </c>
      <c r="AM804" s="62">
        <v>0</v>
      </c>
    </row>
    <row r="805" spans="1:39">
      <c r="A805" s="9">
        <v>98711</v>
      </c>
      <c r="B805" s="10" t="s">
        <v>2178</v>
      </c>
      <c r="C805" s="60">
        <v>1.8369999999999999E-4</v>
      </c>
      <c r="E805" s="62">
        <v>10864.377908835613</v>
      </c>
      <c r="F805" s="62">
        <v>76343.57962120077</v>
      </c>
      <c r="G805" s="62">
        <v>37258.466178765433</v>
      </c>
      <c r="H805" s="62">
        <v>-23159.250019999999</v>
      </c>
      <c r="I805" s="62">
        <v>0</v>
      </c>
      <c r="J805" s="62"/>
      <c r="K805" s="62">
        <v>-1105.3228999999999</v>
      </c>
      <c r="L805" s="62">
        <v>2326.7442000000001</v>
      </c>
      <c r="M805" s="62">
        <v>4317.3173999999999</v>
      </c>
      <c r="N805" s="62">
        <v>2684.7754999999997</v>
      </c>
      <c r="O805" s="62">
        <v>0</v>
      </c>
      <c r="P805" s="62"/>
      <c r="Q805" s="62">
        <v>4044.1554999999998</v>
      </c>
      <c r="R805" s="62">
        <v>67094.588000000003</v>
      </c>
      <c r="S805" s="62">
        <v>25674.279399999999</v>
      </c>
      <c r="T805" s="62">
        <v>-28672.630799999999</v>
      </c>
      <c r="U805" s="62">
        <v>0</v>
      </c>
      <c r="V805" s="62"/>
      <c r="W805" s="62">
        <v>11991.384899999999</v>
      </c>
      <c r="X805" s="62">
        <v>11991.384899999999</v>
      </c>
      <c r="Y805" s="62">
        <v>11023.102199999999</v>
      </c>
      <c r="Z805" s="62">
        <v>5073.7939999999999</v>
      </c>
      <c r="AA805" s="62">
        <v>0</v>
      </c>
      <c r="AB805" s="62"/>
      <c r="AC805" s="62">
        <v>1237.5000000000002</v>
      </c>
      <c r="AD805" s="62">
        <v>0</v>
      </c>
      <c r="AE805" s="62">
        <v>0</v>
      </c>
      <c r="AF805" s="62">
        <v>0</v>
      </c>
      <c r="AG805" s="62">
        <v>0</v>
      </c>
      <c r="AH805" s="62"/>
      <c r="AI805" s="62">
        <v>-5303.3395911643865</v>
      </c>
      <c r="AJ805" s="62">
        <v>-5069.1374787992418</v>
      </c>
      <c r="AK805" s="62">
        <v>-3756.2328212345674</v>
      </c>
      <c r="AL805" s="62">
        <v>-2245.1887199999965</v>
      </c>
      <c r="AM805" s="62">
        <v>0</v>
      </c>
    </row>
    <row r="806" spans="1:39">
      <c r="A806" s="9">
        <v>98717</v>
      </c>
      <c r="B806" s="10" t="s">
        <v>2179</v>
      </c>
      <c r="C806" s="60">
        <v>2.1100000000000001E-5</v>
      </c>
      <c r="E806" s="62">
        <v>1962.8775561917937</v>
      </c>
      <c r="F806" s="62">
        <v>9666.9541196772716</v>
      </c>
      <c r="G806" s="62">
        <v>4819.4035644444439</v>
      </c>
      <c r="H806" s="62">
        <v>-2168.7623800000001</v>
      </c>
      <c r="I806" s="62">
        <v>0</v>
      </c>
      <c r="J806" s="62"/>
      <c r="K806" s="62">
        <v>-126.95870000000001</v>
      </c>
      <c r="L806" s="62">
        <v>267.25260000000003</v>
      </c>
      <c r="M806" s="62">
        <v>495.8922</v>
      </c>
      <c r="N806" s="62">
        <v>308.37650000000002</v>
      </c>
      <c r="O806" s="62">
        <v>0</v>
      </c>
      <c r="P806" s="62"/>
      <c r="Q806" s="62">
        <v>464.51650000000001</v>
      </c>
      <c r="R806" s="62">
        <v>7706.5640000000003</v>
      </c>
      <c r="S806" s="62">
        <v>2948.9782</v>
      </c>
      <c r="T806" s="62">
        <v>-3293.3724000000002</v>
      </c>
      <c r="U806" s="62">
        <v>0</v>
      </c>
      <c r="V806" s="62"/>
      <c r="W806" s="62">
        <v>1377.3447000000001</v>
      </c>
      <c r="X806" s="62">
        <v>1377.3447000000001</v>
      </c>
      <c r="Y806" s="62">
        <v>1266.1266000000001</v>
      </c>
      <c r="Z806" s="62">
        <v>582.78200000000004</v>
      </c>
      <c r="AA806" s="62">
        <v>0</v>
      </c>
      <c r="AB806" s="62"/>
      <c r="AC806" s="62">
        <v>511.18616730290483</v>
      </c>
      <c r="AD806" s="62">
        <v>461.19393078838209</v>
      </c>
      <c r="AE806" s="62">
        <v>233.45152000000019</v>
      </c>
      <c r="AF806" s="62">
        <v>233.45152000000019</v>
      </c>
      <c r="AG806" s="62">
        <v>0</v>
      </c>
      <c r="AH806" s="62"/>
      <c r="AI806" s="62">
        <v>-263.21111111111117</v>
      </c>
      <c r="AJ806" s="62">
        <v>-145.40111111111113</v>
      </c>
      <c r="AK806" s="62">
        <v>-125.04495555555562</v>
      </c>
      <c r="AL806" s="62">
        <v>0</v>
      </c>
      <c r="AM806" s="62">
        <v>0</v>
      </c>
    </row>
    <row r="807" spans="1:39">
      <c r="A807" s="9">
        <v>98801</v>
      </c>
      <c r="B807" s="10" t="s">
        <v>2180</v>
      </c>
      <c r="C807" s="60">
        <v>2.2859E-3</v>
      </c>
      <c r="E807" s="62">
        <v>241254.16845177015</v>
      </c>
      <c r="F807" s="62">
        <v>1055400.8196713552</v>
      </c>
      <c r="G807" s="62">
        <v>536898.32871325093</v>
      </c>
      <c r="H807" s="62">
        <v>-238501.26806000012</v>
      </c>
      <c r="I807" s="62">
        <v>0</v>
      </c>
      <c r="J807" s="62"/>
      <c r="K807" s="62">
        <v>-13754.2603</v>
      </c>
      <c r="L807" s="62">
        <v>28953.2094</v>
      </c>
      <c r="M807" s="62">
        <v>53723.221799999999</v>
      </c>
      <c r="N807" s="62">
        <v>33408.428500000002</v>
      </c>
      <c r="O807" s="62">
        <v>0</v>
      </c>
      <c r="P807" s="62"/>
      <c r="Q807" s="62">
        <v>50324.088499999998</v>
      </c>
      <c r="R807" s="62">
        <v>834902.11600000004</v>
      </c>
      <c r="S807" s="62">
        <v>319481.9558</v>
      </c>
      <c r="T807" s="62">
        <v>-356792.41560000001</v>
      </c>
      <c r="U807" s="62">
        <v>0</v>
      </c>
      <c r="V807" s="62"/>
      <c r="W807" s="62">
        <v>149216.6943</v>
      </c>
      <c r="X807" s="62">
        <v>149216.6943</v>
      </c>
      <c r="Y807" s="62">
        <v>137167.71539999999</v>
      </c>
      <c r="Z807" s="62">
        <v>63136.557999999997</v>
      </c>
      <c r="AA807" s="62">
        <v>0</v>
      </c>
      <c r="AB807" s="62"/>
      <c r="AC807" s="62">
        <v>55467.645951770173</v>
      </c>
      <c r="AD807" s="62">
        <v>42328.799971355234</v>
      </c>
      <c r="AE807" s="62">
        <v>26525.435713250936</v>
      </c>
      <c r="AF807" s="62">
        <v>21746.161039999919</v>
      </c>
      <c r="AG807" s="62">
        <v>0</v>
      </c>
      <c r="AH807" s="62"/>
      <c r="AI807" s="62">
        <v>0</v>
      </c>
      <c r="AJ807" s="62">
        <v>0</v>
      </c>
      <c r="AK807" s="62">
        <v>0</v>
      </c>
      <c r="AL807" s="62">
        <v>0</v>
      </c>
      <c r="AM807" s="62">
        <v>0</v>
      </c>
    </row>
    <row r="808" spans="1:39">
      <c r="A808" s="9">
        <v>98811</v>
      </c>
      <c r="B808" s="10" t="s">
        <v>2181</v>
      </c>
      <c r="C808" s="60">
        <v>6.5160000000000001E-4</v>
      </c>
      <c r="E808" s="62">
        <v>52544.074669790163</v>
      </c>
      <c r="F808" s="62">
        <v>277493.2631322798</v>
      </c>
      <c r="G808" s="62">
        <v>132429.39119884776</v>
      </c>
      <c r="H808" s="62">
        <v>-79349.362560000023</v>
      </c>
      <c r="I808" s="62">
        <v>0</v>
      </c>
      <c r="J808" s="62"/>
      <c r="K808" s="62">
        <v>-3920.6772000000001</v>
      </c>
      <c r="L808" s="62">
        <v>8253.1656000000003</v>
      </c>
      <c r="M808" s="62">
        <v>15313.903200000001</v>
      </c>
      <c r="N808" s="62">
        <v>9523.134</v>
      </c>
      <c r="O808" s="62">
        <v>0</v>
      </c>
      <c r="P808" s="62"/>
      <c r="Q808" s="62">
        <v>14344.974</v>
      </c>
      <c r="R808" s="62">
        <v>237990.38399999999</v>
      </c>
      <c r="S808" s="62">
        <v>91068.919200000004</v>
      </c>
      <c r="T808" s="62">
        <v>-101704.33440000001</v>
      </c>
      <c r="U808" s="62">
        <v>0</v>
      </c>
      <c r="V808" s="62"/>
      <c r="W808" s="62">
        <v>42534.493199999997</v>
      </c>
      <c r="X808" s="62">
        <v>42534.493199999997</v>
      </c>
      <c r="Y808" s="62">
        <v>39099.909599999999</v>
      </c>
      <c r="Z808" s="62">
        <v>17997.191999999999</v>
      </c>
      <c r="AA808" s="62">
        <v>0</v>
      </c>
      <c r="AB808" s="62"/>
      <c r="AC808" s="62">
        <v>13922.716319502098</v>
      </c>
      <c r="AD808" s="62">
        <v>3052.6519819917198</v>
      </c>
      <c r="AE808" s="62">
        <v>0</v>
      </c>
      <c r="AF808" s="62">
        <v>0</v>
      </c>
      <c r="AG808" s="62">
        <v>0</v>
      </c>
      <c r="AH808" s="62"/>
      <c r="AI808" s="62">
        <v>-14337.431649711933</v>
      </c>
      <c r="AJ808" s="62">
        <v>-14337.431649711933</v>
      </c>
      <c r="AK808" s="62">
        <v>-13053.340801152266</v>
      </c>
      <c r="AL808" s="62">
        <v>-5165.3541600000108</v>
      </c>
      <c r="AM808" s="62">
        <v>0</v>
      </c>
    </row>
    <row r="809" spans="1:39">
      <c r="A809" s="9">
        <v>98817</v>
      </c>
      <c r="B809" s="10" t="s">
        <v>2182</v>
      </c>
      <c r="C809" s="60">
        <v>2.5199999999999999E-5</v>
      </c>
      <c r="E809" s="62">
        <v>854.40912961152981</v>
      </c>
      <c r="F809" s="62">
        <v>12152.542690607381</v>
      </c>
      <c r="G809" s="62">
        <v>6598.1369927572041</v>
      </c>
      <c r="H809" s="62">
        <v>-1948.3999199999982</v>
      </c>
      <c r="I809" s="62">
        <v>0</v>
      </c>
      <c r="J809" s="62"/>
      <c r="K809" s="62">
        <v>-151.6284</v>
      </c>
      <c r="L809" s="62">
        <v>319.1832</v>
      </c>
      <c r="M809" s="62">
        <v>592.25040000000001</v>
      </c>
      <c r="N809" s="62">
        <v>368.298</v>
      </c>
      <c r="O809" s="62">
        <v>0</v>
      </c>
      <c r="P809" s="62"/>
      <c r="Q809" s="62">
        <v>554.77800000000002</v>
      </c>
      <c r="R809" s="62">
        <v>9204.0479999999989</v>
      </c>
      <c r="S809" s="62">
        <v>3522.0023999999999</v>
      </c>
      <c r="T809" s="62">
        <v>-3933.3168000000001</v>
      </c>
      <c r="U809" s="62">
        <v>0</v>
      </c>
      <c r="V809" s="62"/>
      <c r="W809" s="62">
        <v>1644.9803999999999</v>
      </c>
      <c r="X809" s="62">
        <v>1644.9803999999999</v>
      </c>
      <c r="Y809" s="62">
        <v>1512.1512</v>
      </c>
      <c r="Z809" s="62">
        <v>696.024</v>
      </c>
      <c r="AA809" s="62">
        <v>0</v>
      </c>
      <c r="AB809" s="62"/>
      <c r="AC809" s="62">
        <v>985.2691296115305</v>
      </c>
      <c r="AD809" s="62">
        <v>984.33109060738127</v>
      </c>
      <c r="AE809" s="62">
        <v>971.73299275720353</v>
      </c>
      <c r="AF809" s="62">
        <v>920.59488000000169</v>
      </c>
      <c r="AG809" s="62">
        <v>0</v>
      </c>
      <c r="AH809" s="62"/>
      <c r="AI809" s="62">
        <v>-2178.9900000000007</v>
      </c>
      <c r="AJ809" s="62">
        <v>0</v>
      </c>
      <c r="AK809" s="62">
        <v>0</v>
      </c>
      <c r="AL809" s="62">
        <v>0</v>
      </c>
      <c r="AM809" s="62">
        <v>0</v>
      </c>
    </row>
    <row r="810" spans="1:39">
      <c r="A810" s="9">
        <v>98901</v>
      </c>
      <c r="B810" s="10" t="s">
        <v>2183</v>
      </c>
      <c r="C810" s="60">
        <v>3.5050000000000001E-4</v>
      </c>
      <c r="E810" s="62">
        <v>29468.664947444937</v>
      </c>
      <c r="F810" s="62">
        <v>156822.00918462337</v>
      </c>
      <c r="G810" s="62">
        <v>79224.843828477315</v>
      </c>
      <c r="H810" s="62">
        <v>-38366.523060000036</v>
      </c>
      <c r="I810" s="62">
        <v>0</v>
      </c>
      <c r="J810" s="62"/>
      <c r="K810" s="62">
        <v>-2108.9585000000002</v>
      </c>
      <c r="L810" s="62">
        <v>4439.433</v>
      </c>
      <c r="M810" s="62">
        <v>8237.4510000000009</v>
      </c>
      <c r="N810" s="62">
        <v>5122.5574999999999</v>
      </c>
      <c r="O810" s="62">
        <v>0</v>
      </c>
      <c r="P810" s="62"/>
      <c r="Q810" s="62">
        <v>7716.2575000000006</v>
      </c>
      <c r="R810" s="62">
        <v>128016.62000000001</v>
      </c>
      <c r="S810" s="62">
        <v>48986.580999999998</v>
      </c>
      <c r="T810" s="62">
        <v>-54707.442000000003</v>
      </c>
      <c r="U810" s="62">
        <v>0</v>
      </c>
      <c r="V810" s="62"/>
      <c r="W810" s="62">
        <v>22879.588500000002</v>
      </c>
      <c r="X810" s="62">
        <v>22879.588500000002</v>
      </c>
      <c r="Y810" s="62">
        <v>21032.102999999999</v>
      </c>
      <c r="Z810" s="62">
        <v>9680.81</v>
      </c>
      <c r="AA810" s="62">
        <v>0</v>
      </c>
      <c r="AB810" s="62"/>
      <c r="AC810" s="62">
        <v>2281.7723445642837</v>
      </c>
      <c r="AD810" s="62">
        <v>2147.8125817427072</v>
      </c>
      <c r="AE810" s="62">
        <v>1537.5514399999693</v>
      </c>
      <c r="AF810" s="62">
        <v>1537.5514399999693</v>
      </c>
      <c r="AG810" s="62">
        <v>0</v>
      </c>
      <c r="AH810" s="62"/>
      <c r="AI810" s="62">
        <v>-1299.9948971193503</v>
      </c>
      <c r="AJ810" s="62">
        <v>-661.44489711935012</v>
      </c>
      <c r="AK810" s="62">
        <v>-568.84261152264128</v>
      </c>
      <c r="AL810" s="62">
        <v>0</v>
      </c>
      <c r="AM810" s="62">
        <v>0</v>
      </c>
    </row>
    <row r="811" spans="1:39">
      <c r="A811" s="9">
        <v>98904</v>
      </c>
      <c r="B811" s="10" t="s">
        <v>2184</v>
      </c>
      <c r="C811" s="60">
        <v>2.7999999999999999E-6</v>
      </c>
      <c r="E811" s="62">
        <v>-87.974007200451069</v>
      </c>
      <c r="F811" s="62">
        <v>871.39856707340778</v>
      </c>
      <c r="G811" s="62">
        <v>126.2154893827157</v>
      </c>
      <c r="H811" s="62">
        <v>-656.55456000000027</v>
      </c>
      <c r="I811" s="62">
        <v>0</v>
      </c>
      <c r="J811" s="62"/>
      <c r="K811" s="62">
        <v>-16.8476</v>
      </c>
      <c r="L811" s="62">
        <v>35.464799999999997</v>
      </c>
      <c r="M811" s="62">
        <v>65.805599999999998</v>
      </c>
      <c r="N811" s="62">
        <v>40.921999999999997</v>
      </c>
      <c r="O811" s="62">
        <v>0</v>
      </c>
      <c r="P811" s="62"/>
      <c r="Q811" s="62">
        <v>61.641999999999996</v>
      </c>
      <c r="R811" s="62">
        <v>1022.6719999999999</v>
      </c>
      <c r="S811" s="62">
        <v>391.33359999999999</v>
      </c>
      <c r="T811" s="62">
        <v>-437.03519999999997</v>
      </c>
      <c r="U811" s="62">
        <v>0</v>
      </c>
      <c r="V811" s="62"/>
      <c r="W811" s="62">
        <v>182.7756</v>
      </c>
      <c r="X811" s="62">
        <v>182.7756</v>
      </c>
      <c r="Y811" s="62">
        <v>168.01679999999999</v>
      </c>
      <c r="Z811" s="62">
        <v>77.335999999999999</v>
      </c>
      <c r="AA811" s="62">
        <v>0</v>
      </c>
      <c r="AB811" s="62"/>
      <c r="AC811" s="62">
        <v>209.63236514522822</v>
      </c>
      <c r="AD811" s="62">
        <v>155.66253941908718</v>
      </c>
      <c r="AE811" s="62">
        <v>0</v>
      </c>
      <c r="AF811" s="62">
        <v>0</v>
      </c>
      <c r="AG811" s="62">
        <v>0</v>
      </c>
      <c r="AH811" s="62"/>
      <c r="AI811" s="62">
        <v>-525.17637234567928</v>
      </c>
      <c r="AJ811" s="62">
        <v>-525.17637234567928</v>
      </c>
      <c r="AK811" s="62">
        <v>-498.94051061728425</v>
      </c>
      <c r="AL811" s="62">
        <v>-337.77736000000033</v>
      </c>
      <c r="AM811" s="62">
        <v>0</v>
      </c>
    </row>
    <row r="812" spans="1:39">
      <c r="A812" s="9">
        <v>98911</v>
      </c>
      <c r="B812" s="10" t="s">
        <v>2185</v>
      </c>
      <c r="C812" s="60">
        <v>2.7900000000000001E-5</v>
      </c>
      <c r="E812" s="62">
        <v>7822.7100847849342</v>
      </c>
      <c r="F812" s="62">
        <v>16562.136527938463</v>
      </c>
      <c r="G812" s="62">
        <v>8346.9305463374494</v>
      </c>
      <c r="H812" s="62">
        <v>-2266.4315799999995</v>
      </c>
      <c r="I812" s="62">
        <v>0</v>
      </c>
      <c r="J812" s="62"/>
      <c r="K812" s="62">
        <v>-167.87430000000001</v>
      </c>
      <c r="L812" s="62">
        <v>353.38139999999999</v>
      </c>
      <c r="M812" s="62">
        <v>655.70580000000007</v>
      </c>
      <c r="N812" s="62">
        <v>407.75850000000003</v>
      </c>
      <c r="O812" s="62">
        <v>0</v>
      </c>
      <c r="P812" s="62"/>
      <c r="Q812" s="62">
        <v>614.21850000000006</v>
      </c>
      <c r="R812" s="62">
        <v>10190.196</v>
      </c>
      <c r="S812" s="62">
        <v>3899.3598000000002</v>
      </c>
      <c r="T812" s="62">
        <v>-4354.7435999999998</v>
      </c>
      <c r="U812" s="62">
        <v>0</v>
      </c>
      <c r="V812" s="62"/>
      <c r="W812" s="62">
        <v>1821.2283</v>
      </c>
      <c r="X812" s="62">
        <v>1821.2283</v>
      </c>
      <c r="Y812" s="62">
        <v>1674.1674</v>
      </c>
      <c r="Z812" s="62">
        <v>770.59800000000007</v>
      </c>
      <c r="AA812" s="62">
        <v>0</v>
      </c>
      <c r="AB812" s="62"/>
      <c r="AC812" s="62">
        <v>5555.137584784934</v>
      </c>
      <c r="AD812" s="62">
        <v>4197.3308279384619</v>
      </c>
      <c r="AE812" s="62">
        <v>2117.6975463374492</v>
      </c>
      <c r="AF812" s="62">
        <v>909.95552000000055</v>
      </c>
      <c r="AG812" s="62">
        <v>0</v>
      </c>
      <c r="AH812" s="62"/>
      <c r="AI812" s="62">
        <v>0</v>
      </c>
      <c r="AJ812" s="62">
        <v>0</v>
      </c>
      <c r="AK812" s="62">
        <v>0</v>
      </c>
      <c r="AL812" s="62">
        <v>0</v>
      </c>
      <c r="AM812" s="62">
        <v>0</v>
      </c>
    </row>
    <row r="813" spans="1:39">
      <c r="A813" s="9">
        <v>99001</v>
      </c>
      <c r="B813" s="10" t="s">
        <v>2186</v>
      </c>
      <c r="C813" s="60">
        <v>8.0949000000000004E-3</v>
      </c>
      <c r="E813" s="62">
        <v>843337.68290349469</v>
      </c>
      <c r="F813" s="62">
        <v>3696964.3275406728</v>
      </c>
      <c r="G813" s="62">
        <v>1848745.9433042801</v>
      </c>
      <c r="H813" s="62">
        <v>-902128.79841999966</v>
      </c>
      <c r="I813" s="62">
        <v>0</v>
      </c>
      <c r="J813" s="62"/>
      <c r="K813" s="62">
        <v>-48707.013299999999</v>
      </c>
      <c r="L813" s="62">
        <v>102530.0034</v>
      </c>
      <c r="M813" s="62">
        <v>190246.33980000002</v>
      </c>
      <c r="N813" s="62">
        <v>118306.9635</v>
      </c>
      <c r="O813" s="62">
        <v>0</v>
      </c>
      <c r="P813" s="62"/>
      <c r="Q813" s="62">
        <v>178209.22350000002</v>
      </c>
      <c r="R813" s="62">
        <v>2956581.2760000001</v>
      </c>
      <c r="S813" s="62">
        <v>1131359.4138</v>
      </c>
      <c r="T813" s="62">
        <v>-1263484.3716</v>
      </c>
      <c r="U813" s="62">
        <v>0</v>
      </c>
      <c r="V813" s="62"/>
      <c r="W813" s="62">
        <v>528410.78729999997</v>
      </c>
      <c r="X813" s="62">
        <v>528410.78729999997</v>
      </c>
      <c r="Y813" s="62">
        <v>485742.56940000004</v>
      </c>
      <c r="Z813" s="62">
        <v>223581.13800000001</v>
      </c>
      <c r="AA813" s="62">
        <v>0</v>
      </c>
      <c r="AB813" s="62"/>
      <c r="AC813" s="62">
        <v>185424.68540349463</v>
      </c>
      <c r="AD813" s="62">
        <v>109442.26084067309</v>
      </c>
      <c r="AE813" s="62">
        <v>41397.620304280164</v>
      </c>
      <c r="AF813" s="62">
        <v>19467.471680000148</v>
      </c>
      <c r="AG813" s="62">
        <v>0</v>
      </c>
      <c r="AH813" s="62"/>
      <c r="AI813" s="62">
        <v>0</v>
      </c>
      <c r="AJ813" s="62">
        <v>0</v>
      </c>
      <c r="AK813" s="62">
        <v>0</v>
      </c>
      <c r="AL813" s="62">
        <v>0</v>
      </c>
      <c r="AM813" s="62">
        <v>0</v>
      </c>
    </row>
    <row r="814" spans="1:39">
      <c r="A814" s="9">
        <v>99011</v>
      </c>
      <c r="B814" s="10" t="s">
        <v>2187</v>
      </c>
      <c r="C814" s="60">
        <v>3.8736999999999999E-3</v>
      </c>
      <c r="E814" s="62">
        <v>102770.1293060421</v>
      </c>
      <c r="F814" s="62">
        <v>1603535.0789155026</v>
      </c>
      <c r="G814" s="62">
        <v>801053.00093226344</v>
      </c>
      <c r="H814" s="62">
        <v>-448190.30082</v>
      </c>
      <c r="I814" s="62">
        <v>0</v>
      </c>
      <c r="J814" s="62"/>
      <c r="K814" s="62">
        <v>-23308.052899999999</v>
      </c>
      <c r="L814" s="62">
        <v>49064.284200000002</v>
      </c>
      <c r="M814" s="62">
        <v>91039.697400000005</v>
      </c>
      <c r="N814" s="62">
        <v>56614.125500000002</v>
      </c>
      <c r="O814" s="62">
        <v>0</v>
      </c>
      <c r="P814" s="62"/>
      <c r="Q814" s="62">
        <v>85279.505499999999</v>
      </c>
      <c r="R814" s="62">
        <v>1414830.1879999998</v>
      </c>
      <c r="S814" s="62">
        <v>541396.05940000003</v>
      </c>
      <c r="T814" s="62">
        <v>-604622.59080000001</v>
      </c>
      <c r="U814" s="62">
        <v>0</v>
      </c>
      <c r="V814" s="62"/>
      <c r="W814" s="62">
        <v>252863.51489999998</v>
      </c>
      <c r="X814" s="62">
        <v>252863.51489999998</v>
      </c>
      <c r="Y814" s="62">
        <v>232445.24219999998</v>
      </c>
      <c r="Z814" s="62">
        <v>106991.594</v>
      </c>
      <c r="AA814" s="62">
        <v>0</v>
      </c>
      <c r="AB814" s="62"/>
      <c r="AC814" s="62">
        <v>0</v>
      </c>
      <c r="AD814" s="62">
        <v>0</v>
      </c>
      <c r="AE814" s="62">
        <v>0</v>
      </c>
      <c r="AF814" s="62">
        <v>0</v>
      </c>
      <c r="AG814" s="62">
        <v>0</v>
      </c>
      <c r="AH814" s="62"/>
      <c r="AI814" s="62">
        <v>-212064.83819395787</v>
      </c>
      <c r="AJ814" s="62">
        <v>-113222.90818449731</v>
      </c>
      <c r="AK814" s="62">
        <v>-63827.998067736647</v>
      </c>
      <c r="AL814" s="62">
        <v>-7173.4295199999588</v>
      </c>
      <c r="AM814" s="62">
        <v>0</v>
      </c>
    </row>
    <row r="815" spans="1:39">
      <c r="A815" s="9">
        <v>99013</v>
      </c>
      <c r="B815" s="10" t="s">
        <v>2188</v>
      </c>
      <c r="C815" s="60">
        <v>5.5999999999999999E-5</v>
      </c>
      <c r="E815" s="62">
        <v>1761.6864685606947</v>
      </c>
      <c r="F815" s="62">
        <v>22094.533417938284</v>
      </c>
      <c r="G815" s="62">
        <v>10399.393606255142</v>
      </c>
      <c r="H815" s="62">
        <v>-6794.7373599999992</v>
      </c>
      <c r="I815" s="62">
        <v>0</v>
      </c>
      <c r="J815" s="62"/>
      <c r="K815" s="62">
        <v>-336.952</v>
      </c>
      <c r="L815" s="62">
        <v>709.29599999999994</v>
      </c>
      <c r="M815" s="62">
        <v>1316.1120000000001</v>
      </c>
      <c r="N815" s="62">
        <v>818.43999999999994</v>
      </c>
      <c r="O815" s="62">
        <v>0</v>
      </c>
      <c r="P815" s="62"/>
      <c r="Q815" s="62">
        <v>1232.8399999999999</v>
      </c>
      <c r="R815" s="62">
        <v>20453.439999999999</v>
      </c>
      <c r="S815" s="62">
        <v>7826.6719999999996</v>
      </c>
      <c r="T815" s="62">
        <v>-8740.7039999999997</v>
      </c>
      <c r="U815" s="62">
        <v>0</v>
      </c>
      <c r="V815" s="62"/>
      <c r="W815" s="62">
        <v>3655.5120000000002</v>
      </c>
      <c r="X815" s="62">
        <v>3655.5120000000002</v>
      </c>
      <c r="Y815" s="62">
        <v>3360.3359999999998</v>
      </c>
      <c r="Z815" s="62">
        <v>1546.72</v>
      </c>
      <c r="AA815" s="62">
        <v>0</v>
      </c>
      <c r="AB815" s="62"/>
      <c r="AC815" s="62">
        <v>9.9000000000000021</v>
      </c>
      <c r="AD815" s="62">
        <v>0</v>
      </c>
      <c r="AE815" s="62">
        <v>0</v>
      </c>
      <c r="AF815" s="62">
        <v>0</v>
      </c>
      <c r="AG815" s="62">
        <v>0</v>
      </c>
      <c r="AH815" s="62"/>
      <c r="AI815" s="62">
        <v>-2799.6135314393046</v>
      </c>
      <c r="AJ815" s="62">
        <v>-2723.7145820617116</v>
      </c>
      <c r="AK815" s="62">
        <v>-2103.726393744857</v>
      </c>
      <c r="AL815" s="62">
        <v>-419.19335999999896</v>
      </c>
      <c r="AM815" s="62">
        <v>0</v>
      </c>
    </row>
    <row r="816" spans="1:39">
      <c r="A816" s="9">
        <v>99014</v>
      </c>
      <c r="B816" s="10" t="s">
        <v>2189</v>
      </c>
      <c r="C816" s="60">
        <v>2.0100000000000001E-5</v>
      </c>
      <c r="E816" s="62">
        <v>5968.6803474074059</v>
      </c>
      <c r="F816" s="62">
        <v>13243.031147407406</v>
      </c>
      <c r="G816" s="62">
        <v>8253.2658103703689</v>
      </c>
      <c r="H816" s="62">
        <v>-2021.2694600000016</v>
      </c>
      <c r="I816" s="62">
        <v>0</v>
      </c>
      <c r="J816" s="62"/>
      <c r="K816" s="62">
        <v>-120.9417</v>
      </c>
      <c r="L816" s="62">
        <v>254.5866</v>
      </c>
      <c r="M816" s="62">
        <v>472.39019999999999</v>
      </c>
      <c r="N816" s="62">
        <v>293.76150000000001</v>
      </c>
      <c r="O816" s="62">
        <v>0</v>
      </c>
      <c r="P816" s="62"/>
      <c r="Q816" s="62">
        <v>442.50150000000002</v>
      </c>
      <c r="R816" s="62">
        <v>7341.3240000000005</v>
      </c>
      <c r="S816" s="62">
        <v>2809.2162000000003</v>
      </c>
      <c r="T816" s="62">
        <v>-3137.2883999999999</v>
      </c>
      <c r="U816" s="62">
        <v>0</v>
      </c>
      <c r="V816" s="62"/>
      <c r="W816" s="62">
        <v>1312.0677000000001</v>
      </c>
      <c r="X816" s="62">
        <v>1312.0677000000001</v>
      </c>
      <c r="Y816" s="62">
        <v>1206.1206</v>
      </c>
      <c r="Z816" s="62">
        <v>555.16200000000003</v>
      </c>
      <c r="AA816" s="62">
        <v>0</v>
      </c>
      <c r="AB816" s="62"/>
      <c r="AC816" s="62">
        <v>4335.0528474074054</v>
      </c>
      <c r="AD816" s="62">
        <v>4335.0528474074054</v>
      </c>
      <c r="AE816" s="62">
        <v>3765.538810370369</v>
      </c>
      <c r="AF816" s="62">
        <v>267.09543999999801</v>
      </c>
      <c r="AG816" s="62">
        <v>0</v>
      </c>
      <c r="AH816" s="62"/>
      <c r="AI816" s="62">
        <v>0</v>
      </c>
      <c r="AJ816" s="62">
        <v>0</v>
      </c>
      <c r="AK816" s="62">
        <v>0</v>
      </c>
      <c r="AL816" s="62">
        <v>0</v>
      </c>
      <c r="AM816" s="62">
        <v>0</v>
      </c>
    </row>
    <row r="817" spans="1:39">
      <c r="A817" s="9">
        <v>99017</v>
      </c>
      <c r="B817" s="10" t="s">
        <v>2190</v>
      </c>
      <c r="C817" s="60">
        <v>5.13E-5</v>
      </c>
      <c r="E817" s="62">
        <v>3573.4134570923652</v>
      </c>
      <c r="F817" s="62">
        <v>25299.144323482411</v>
      </c>
      <c r="G817" s="62">
        <v>13230.635318518525</v>
      </c>
      <c r="H817" s="62">
        <v>-4818.8732999999957</v>
      </c>
      <c r="I817" s="62">
        <v>0</v>
      </c>
      <c r="J817" s="62"/>
      <c r="K817" s="62">
        <v>-308.6721</v>
      </c>
      <c r="L817" s="62">
        <v>649.76580000000001</v>
      </c>
      <c r="M817" s="62">
        <v>1205.6525999999999</v>
      </c>
      <c r="N817" s="62">
        <v>749.74950000000001</v>
      </c>
      <c r="O817" s="62">
        <v>0</v>
      </c>
      <c r="P817" s="62"/>
      <c r="Q817" s="62">
        <v>1129.3695</v>
      </c>
      <c r="R817" s="62">
        <v>18736.812000000002</v>
      </c>
      <c r="S817" s="62">
        <v>7169.7906000000003</v>
      </c>
      <c r="T817" s="62">
        <v>-8007.1091999999999</v>
      </c>
      <c r="U817" s="62">
        <v>0</v>
      </c>
      <c r="V817" s="62"/>
      <c r="W817" s="62">
        <v>3348.7100999999998</v>
      </c>
      <c r="X817" s="62">
        <v>3348.7100999999998</v>
      </c>
      <c r="Y817" s="62">
        <v>3078.3078</v>
      </c>
      <c r="Z817" s="62">
        <v>1416.9059999999999</v>
      </c>
      <c r="AA817" s="62">
        <v>0</v>
      </c>
      <c r="AB817" s="62"/>
      <c r="AC817" s="62">
        <v>2709.6159570923664</v>
      </c>
      <c r="AD817" s="62">
        <v>2563.856423482408</v>
      </c>
      <c r="AE817" s="62">
        <v>1776.8843185185247</v>
      </c>
      <c r="AF817" s="62">
        <v>1021.5804000000048</v>
      </c>
      <c r="AG817" s="62">
        <v>0</v>
      </c>
      <c r="AH817" s="62"/>
      <c r="AI817" s="62">
        <v>-3305.6100000000006</v>
      </c>
      <c r="AJ817" s="62">
        <v>0</v>
      </c>
      <c r="AK817" s="62">
        <v>0</v>
      </c>
      <c r="AL817" s="62">
        <v>0</v>
      </c>
      <c r="AM817" s="62">
        <v>0</v>
      </c>
    </row>
    <row r="818" spans="1:39">
      <c r="A818" s="9">
        <v>99021</v>
      </c>
      <c r="B818" s="10" t="s">
        <v>2191</v>
      </c>
      <c r="C818" s="60">
        <v>1.5249999999999999E-4</v>
      </c>
      <c r="E818" s="62">
        <v>16366.559578526038</v>
      </c>
      <c r="F818" s="62">
        <v>70697.931193961718</v>
      </c>
      <c r="G818" s="62">
        <v>35815.489009547324</v>
      </c>
      <c r="H818" s="62">
        <v>-15376.359059999999</v>
      </c>
      <c r="I818" s="62">
        <v>0</v>
      </c>
      <c r="J818" s="62"/>
      <c r="K818" s="62">
        <v>-917.59249999999997</v>
      </c>
      <c r="L818" s="62">
        <v>1931.5649999999998</v>
      </c>
      <c r="M818" s="62">
        <v>3584.0549999999998</v>
      </c>
      <c r="N818" s="62">
        <v>2228.7874999999999</v>
      </c>
      <c r="O818" s="62">
        <v>0</v>
      </c>
      <c r="P818" s="62"/>
      <c r="Q818" s="62">
        <v>3357.2874999999999</v>
      </c>
      <c r="R818" s="62">
        <v>55699.1</v>
      </c>
      <c r="S818" s="62">
        <v>21313.704999999998</v>
      </c>
      <c r="T818" s="62">
        <v>-23802.809999999998</v>
      </c>
      <c r="U818" s="62">
        <v>0</v>
      </c>
      <c r="V818" s="62"/>
      <c r="W818" s="62">
        <v>9954.7425000000003</v>
      </c>
      <c r="X818" s="62">
        <v>9954.7425000000003</v>
      </c>
      <c r="Y818" s="62">
        <v>9150.9149999999991</v>
      </c>
      <c r="Z818" s="62">
        <v>4212.05</v>
      </c>
      <c r="AA818" s="62">
        <v>0</v>
      </c>
      <c r="AB818" s="62"/>
      <c r="AC818" s="62">
        <v>4226.5400209128666</v>
      </c>
      <c r="AD818" s="62">
        <v>3366.9416363485511</v>
      </c>
      <c r="AE818" s="62">
        <v>1985.613440000001</v>
      </c>
      <c r="AF818" s="62">
        <v>1985.613440000001</v>
      </c>
      <c r="AG818" s="62">
        <v>0</v>
      </c>
      <c r="AH818" s="62"/>
      <c r="AI818" s="62">
        <v>-254.41794238682974</v>
      </c>
      <c r="AJ818" s="62">
        <v>-254.41794238682974</v>
      </c>
      <c r="AK818" s="62">
        <v>-218.79943045267365</v>
      </c>
      <c r="AL818" s="62">
        <v>0</v>
      </c>
      <c r="AM818" s="62">
        <v>0</v>
      </c>
    </row>
    <row r="819" spans="1:39">
      <c r="A819" s="9">
        <v>99022</v>
      </c>
      <c r="B819" s="10" t="s">
        <v>804</v>
      </c>
      <c r="C819" s="60">
        <v>1.08E-5</v>
      </c>
      <c r="E819" s="62">
        <v>3775.251900771475</v>
      </c>
      <c r="F819" s="62">
        <v>7643.4293820992771</v>
      </c>
      <c r="G819" s="62">
        <v>4350.663211851851</v>
      </c>
      <c r="H819" s="62">
        <v>-111.51944000000071</v>
      </c>
      <c r="I819" s="62">
        <v>0</v>
      </c>
      <c r="J819" s="62"/>
      <c r="K819" s="62">
        <v>-64.983599999999996</v>
      </c>
      <c r="L819" s="62">
        <v>136.7928</v>
      </c>
      <c r="M819" s="62">
        <v>253.82159999999999</v>
      </c>
      <c r="N819" s="62">
        <v>157.84200000000001</v>
      </c>
      <c r="O819" s="62">
        <v>0</v>
      </c>
      <c r="P819" s="62"/>
      <c r="Q819" s="62">
        <v>237.762</v>
      </c>
      <c r="R819" s="62">
        <v>3944.5920000000001</v>
      </c>
      <c r="S819" s="62">
        <v>1509.4295999999999</v>
      </c>
      <c r="T819" s="62">
        <v>-1685.7072000000001</v>
      </c>
      <c r="U819" s="62">
        <v>0</v>
      </c>
      <c r="V819" s="62"/>
      <c r="W819" s="62">
        <v>704.99159999999995</v>
      </c>
      <c r="X819" s="62">
        <v>704.99159999999995</v>
      </c>
      <c r="Y819" s="62">
        <v>648.06479999999999</v>
      </c>
      <c r="Z819" s="62">
        <v>298.29599999999999</v>
      </c>
      <c r="AA819" s="62">
        <v>0</v>
      </c>
      <c r="AB819" s="62"/>
      <c r="AC819" s="62">
        <v>3029.1519007714751</v>
      </c>
      <c r="AD819" s="62">
        <v>2857.0529820992765</v>
      </c>
      <c r="AE819" s="62">
        <v>1939.3472118518512</v>
      </c>
      <c r="AF819" s="62">
        <v>1118.0497599999992</v>
      </c>
      <c r="AG819" s="62">
        <v>0</v>
      </c>
      <c r="AH819" s="62"/>
      <c r="AI819" s="62">
        <v>-131.67000000000002</v>
      </c>
      <c r="AJ819" s="62">
        <v>0</v>
      </c>
      <c r="AK819" s="62">
        <v>0</v>
      </c>
      <c r="AL819" s="62">
        <v>0</v>
      </c>
      <c r="AM819" s="62">
        <v>0</v>
      </c>
    </row>
    <row r="820" spans="1:39">
      <c r="A820" s="9">
        <v>99031</v>
      </c>
      <c r="B820" s="10" t="s">
        <v>2192</v>
      </c>
      <c r="C820" s="60">
        <v>1.518E-4</v>
      </c>
      <c r="E820" s="62">
        <v>687.91861406554563</v>
      </c>
      <c r="F820" s="62">
        <v>63599.020529252266</v>
      </c>
      <c r="G820" s="62">
        <v>31452.526439588481</v>
      </c>
      <c r="H820" s="62">
        <v>-20577.745159999999</v>
      </c>
      <c r="I820" s="62">
        <v>0</v>
      </c>
      <c r="J820" s="62"/>
      <c r="K820" s="62">
        <v>-913.38060000000007</v>
      </c>
      <c r="L820" s="62">
        <v>1922.6988000000001</v>
      </c>
      <c r="M820" s="62">
        <v>3567.6035999999999</v>
      </c>
      <c r="N820" s="62">
        <v>2218.5570000000002</v>
      </c>
      <c r="O820" s="62">
        <v>0</v>
      </c>
      <c r="P820" s="62"/>
      <c r="Q820" s="62">
        <v>3341.877</v>
      </c>
      <c r="R820" s="62">
        <v>55443.432000000001</v>
      </c>
      <c r="S820" s="62">
        <v>21215.871600000002</v>
      </c>
      <c r="T820" s="62">
        <v>-23693.551200000002</v>
      </c>
      <c r="U820" s="62">
        <v>0</v>
      </c>
      <c r="V820" s="62"/>
      <c r="W820" s="62">
        <v>9909.0486000000001</v>
      </c>
      <c r="X820" s="62">
        <v>9909.0486000000001</v>
      </c>
      <c r="Y820" s="62">
        <v>9108.9107999999997</v>
      </c>
      <c r="Z820" s="62">
        <v>4192.7160000000003</v>
      </c>
      <c r="AA820" s="62">
        <v>0</v>
      </c>
      <c r="AB820" s="62"/>
      <c r="AC820" s="62">
        <v>994.89232510288548</v>
      </c>
      <c r="AD820" s="62">
        <v>994.89232510288548</v>
      </c>
      <c r="AE820" s="62">
        <v>855.60739958848183</v>
      </c>
      <c r="AF820" s="62">
        <v>0</v>
      </c>
      <c r="AG820" s="62">
        <v>0</v>
      </c>
      <c r="AH820" s="62"/>
      <c r="AI820" s="62">
        <v>-12644.518711037339</v>
      </c>
      <c r="AJ820" s="62">
        <v>-4671.0511958506158</v>
      </c>
      <c r="AK820" s="62">
        <v>-3295.4669599999961</v>
      </c>
      <c r="AL820" s="62">
        <v>-3295.4669599999961</v>
      </c>
      <c r="AM820" s="62">
        <v>0</v>
      </c>
    </row>
    <row r="821" spans="1:39">
      <c r="A821" s="9">
        <v>99041</v>
      </c>
      <c r="B821" s="10" t="s">
        <v>2193</v>
      </c>
      <c r="C821" s="60">
        <v>6.3500000000000004E-4</v>
      </c>
      <c r="E821" s="62">
        <v>80463.414201383828</v>
      </c>
      <c r="F821" s="62">
        <v>294650.12598071992</v>
      </c>
      <c r="G821" s="62">
        <v>148032.3182869959</v>
      </c>
      <c r="H821" s="62">
        <v>-67712.589720000004</v>
      </c>
      <c r="I821" s="62">
        <v>0</v>
      </c>
      <c r="J821" s="62"/>
      <c r="K821" s="62">
        <v>-3820.7950000000001</v>
      </c>
      <c r="L821" s="62">
        <v>8042.9100000000008</v>
      </c>
      <c r="M821" s="62">
        <v>14923.77</v>
      </c>
      <c r="N821" s="62">
        <v>9280.5250000000015</v>
      </c>
      <c r="O821" s="62">
        <v>0</v>
      </c>
      <c r="P821" s="62"/>
      <c r="Q821" s="62">
        <v>13979.525000000001</v>
      </c>
      <c r="R821" s="62">
        <v>231927.40000000002</v>
      </c>
      <c r="S821" s="62">
        <v>88748.87000000001</v>
      </c>
      <c r="T821" s="62">
        <v>-99113.340000000011</v>
      </c>
      <c r="U821" s="62">
        <v>0</v>
      </c>
      <c r="V821" s="62"/>
      <c r="W821" s="62">
        <v>41450.895000000004</v>
      </c>
      <c r="X821" s="62">
        <v>41450.895000000004</v>
      </c>
      <c r="Y821" s="62">
        <v>38103.810000000005</v>
      </c>
      <c r="Z821" s="62">
        <v>17538.7</v>
      </c>
      <c r="AA821" s="62">
        <v>0</v>
      </c>
      <c r="AB821" s="62"/>
      <c r="AC821" s="62">
        <v>28853.789201383825</v>
      </c>
      <c r="AD821" s="62">
        <v>13228.92098071992</v>
      </c>
      <c r="AE821" s="62">
        <v>6255.8682869958784</v>
      </c>
      <c r="AF821" s="62">
        <v>4581.5252800000017</v>
      </c>
      <c r="AG821" s="62">
        <v>0</v>
      </c>
      <c r="AH821" s="62"/>
      <c r="AI821" s="62">
        <v>0</v>
      </c>
      <c r="AJ821" s="62">
        <v>0</v>
      </c>
      <c r="AK821" s="62">
        <v>0</v>
      </c>
      <c r="AL821" s="62">
        <v>0</v>
      </c>
      <c r="AM821" s="62">
        <v>0</v>
      </c>
    </row>
    <row r="822" spans="1:39">
      <c r="A822" s="9">
        <v>99047</v>
      </c>
      <c r="B822" s="10" t="s">
        <v>2194</v>
      </c>
      <c r="C822" s="60">
        <v>1.42E-5</v>
      </c>
      <c r="E822" s="62">
        <v>3493.8338698789353</v>
      </c>
      <c r="F822" s="62">
        <v>8038.9068184266525</v>
      </c>
      <c r="G822" s="62">
        <v>4408.7624416460912</v>
      </c>
      <c r="H822" s="62">
        <v>-530.15235999999982</v>
      </c>
      <c r="I822" s="62">
        <v>0</v>
      </c>
      <c r="J822" s="62"/>
      <c r="K822" s="62">
        <v>-85.441400000000002</v>
      </c>
      <c r="L822" s="62">
        <v>179.85720000000001</v>
      </c>
      <c r="M822" s="62">
        <v>333.72839999999997</v>
      </c>
      <c r="N822" s="62">
        <v>207.53299999999999</v>
      </c>
      <c r="O822" s="62">
        <v>0</v>
      </c>
      <c r="P822" s="62"/>
      <c r="Q822" s="62">
        <v>312.613</v>
      </c>
      <c r="R822" s="62">
        <v>5186.4079999999994</v>
      </c>
      <c r="S822" s="62">
        <v>1984.6204</v>
      </c>
      <c r="T822" s="62">
        <v>-2216.3928000000001</v>
      </c>
      <c r="U822" s="62">
        <v>0</v>
      </c>
      <c r="V822" s="62"/>
      <c r="W822" s="62">
        <v>926.93340000000001</v>
      </c>
      <c r="X822" s="62">
        <v>926.93340000000001</v>
      </c>
      <c r="Y822" s="62">
        <v>852.08519999999999</v>
      </c>
      <c r="Z822" s="62">
        <v>392.20400000000001</v>
      </c>
      <c r="AA822" s="62">
        <v>0</v>
      </c>
      <c r="AB822" s="62"/>
      <c r="AC822" s="62">
        <v>2339.7288698789353</v>
      </c>
      <c r="AD822" s="62">
        <v>1745.7082184266528</v>
      </c>
      <c r="AE822" s="62">
        <v>1238.3284416460915</v>
      </c>
      <c r="AF822" s="62">
        <v>1086.5034400000004</v>
      </c>
      <c r="AG822" s="62">
        <v>0</v>
      </c>
      <c r="AH822" s="62"/>
      <c r="AI822" s="62">
        <v>0</v>
      </c>
      <c r="AJ822" s="62">
        <v>0</v>
      </c>
      <c r="AK822" s="62">
        <v>0</v>
      </c>
      <c r="AL822" s="62">
        <v>0</v>
      </c>
      <c r="AM822" s="62">
        <v>0</v>
      </c>
    </row>
    <row r="823" spans="1:39">
      <c r="A823" s="9">
        <v>99051</v>
      </c>
      <c r="B823" s="10" t="s">
        <v>2195</v>
      </c>
      <c r="C823" s="60">
        <v>3.5359999999999998E-4</v>
      </c>
      <c r="E823" s="62">
        <v>33501.375026118876</v>
      </c>
      <c r="F823" s="62">
        <v>159899.50255889897</v>
      </c>
      <c r="G823" s="62">
        <v>80526.890889300426</v>
      </c>
      <c r="H823" s="62">
        <v>-40890.95719999999</v>
      </c>
      <c r="I823" s="62">
        <v>0</v>
      </c>
      <c r="J823" s="62"/>
      <c r="K823" s="62">
        <v>-2127.6111999999998</v>
      </c>
      <c r="L823" s="62">
        <v>4478.6975999999995</v>
      </c>
      <c r="M823" s="62">
        <v>8310.3071999999993</v>
      </c>
      <c r="N823" s="62">
        <v>5167.8639999999996</v>
      </c>
      <c r="O823" s="62">
        <v>0</v>
      </c>
      <c r="P823" s="62"/>
      <c r="Q823" s="62">
        <v>7784.5039999999999</v>
      </c>
      <c r="R823" s="62">
        <v>129148.86399999999</v>
      </c>
      <c r="S823" s="62">
        <v>49419.843199999996</v>
      </c>
      <c r="T823" s="62">
        <v>-55191.302399999993</v>
      </c>
      <c r="U823" s="62">
        <v>0</v>
      </c>
      <c r="V823" s="62"/>
      <c r="W823" s="62">
        <v>23081.947199999999</v>
      </c>
      <c r="X823" s="62">
        <v>23081.947199999999</v>
      </c>
      <c r="Y823" s="62">
        <v>21218.121599999999</v>
      </c>
      <c r="Z823" s="62">
        <v>9766.4319999999989</v>
      </c>
      <c r="AA823" s="62">
        <v>0</v>
      </c>
      <c r="AB823" s="62"/>
      <c r="AC823" s="62">
        <v>5396.4858261188792</v>
      </c>
      <c r="AD823" s="62">
        <v>3823.9445588989643</v>
      </c>
      <c r="AE823" s="62">
        <v>2212.5696893004188</v>
      </c>
      <c r="AF823" s="62">
        <v>0</v>
      </c>
      <c r="AG823" s="62">
        <v>0</v>
      </c>
      <c r="AH823" s="62"/>
      <c r="AI823" s="62">
        <v>-633.95079999999734</v>
      </c>
      <c r="AJ823" s="62">
        <v>-633.95079999999734</v>
      </c>
      <c r="AK823" s="62">
        <v>-633.95079999999734</v>
      </c>
      <c r="AL823" s="62">
        <v>-633.95079999999734</v>
      </c>
      <c r="AM823" s="62">
        <v>0</v>
      </c>
    </row>
    <row r="824" spans="1:39">
      <c r="A824" s="9">
        <v>99061</v>
      </c>
      <c r="B824" s="10" t="s">
        <v>2196</v>
      </c>
      <c r="C824" s="60">
        <v>8.1000000000000004E-6</v>
      </c>
      <c r="E824" s="62">
        <v>3330.8790469057249</v>
      </c>
      <c r="F824" s="62">
        <v>5972.6665016775096</v>
      </c>
      <c r="G824" s="62">
        <v>3244.0129285596709</v>
      </c>
      <c r="H824" s="62">
        <v>-136.70402000000024</v>
      </c>
      <c r="I824" s="62">
        <v>0</v>
      </c>
      <c r="J824" s="62"/>
      <c r="K824" s="62">
        <v>-48.737700000000004</v>
      </c>
      <c r="L824" s="62">
        <v>102.5946</v>
      </c>
      <c r="M824" s="62">
        <v>190.36620000000002</v>
      </c>
      <c r="N824" s="62">
        <v>118.3815</v>
      </c>
      <c r="O824" s="62">
        <v>0</v>
      </c>
      <c r="P824" s="62"/>
      <c r="Q824" s="62">
        <v>178.32150000000001</v>
      </c>
      <c r="R824" s="62">
        <v>2958.444</v>
      </c>
      <c r="S824" s="62">
        <v>1132.0722000000001</v>
      </c>
      <c r="T824" s="62">
        <v>-1264.2804000000001</v>
      </c>
      <c r="U824" s="62">
        <v>0</v>
      </c>
      <c r="V824" s="62"/>
      <c r="W824" s="62">
        <v>528.74369999999999</v>
      </c>
      <c r="X824" s="62">
        <v>528.74369999999999</v>
      </c>
      <c r="Y824" s="62">
        <v>486.04860000000002</v>
      </c>
      <c r="Z824" s="62">
        <v>223.72200000000001</v>
      </c>
      <c r="AA824" s="62">
        <v>0</v>
      </c>
      <c r="AB824" s="62"/>
      <c r="AC824" s="62">
        <v>2672.551546905725</v>
      </c>
      <c r="AD824" s="62">
        <v>2382.8842016775093</v>
      </c>
      <c r="AE824" s="62">
        <v>1435.5259285596708</v>
      </c>
      <c r="AF824" s="62">
        <v>785.47287999999992</v>
      </c>
      <c r="AG824" s="62">
        <v>0</v>
      </c>
      <c r="AH824" s="62"/>
      <c r="AI824" s="62">
        <v>0</v>
      </c>
      <c r="AJ824" s="62">
        <v>0</v>
      </c>
      <c r="AK824" s="62">
        <v>0</v>
      </c>
      <c r="AL824" s="62">
        <v>0</v>
      </c>
      <c r="AM824" s="62">
        <v>0</v>
      </c>
    </row>
    <row r="825" spans="1:39">
      <c r="A825" s="9">
        <v>99071</v>
      </c>
      <c r="B825" s="10" t="s">
        <v>2197</v>
      </c>
      <c r="C825" s="60">
        <v>3.04E-5</v>
      </c>
      <c r="E825" s="62">
        <v>1369.1567487628713</v>
      </c>
      <c r="F825" s="62">
        <v>13044.012175318889</v>
      </c>
      <c r="G825" s="62">
        <v>6837.6764037037037</v>
      </c>
      <c r="H825" s="62">
        <v>-3256.5939999999982</v>
      </c>
      <c r="I825" s="62">
        <v>0</v>
      </c>
      <c r="J825" s="62"/>
      <c r="K825" s="62">
        <v>-182.91679999999999</v>
      </c>
      <c r="L825" s="62">
        <v>385.04640000000001</v>
      </c>
      <c r="M825" s="62">
        <v>714.46080000000006</v>
      </c>
      <c r="N825" s="62">
        <v>444.29599999999999</v>
      </c>
      <c r="O825" s="62">
        <v>0</v>
      </c>
      <c r="P825" s="62"/>
      <c r="Q825" s="62">
        <v>669.25599999999997</v>
      </c>
      <c r="R825" s="62">
        <v>11103.296</v>
      </c>
      <c r="S825" s="62">
        <v>4248.7647999999999</v>
      </c>
      <c r="T825" s="62">
        <v>-4744.9535999999998</v>
      </c>
      <c r="U825" s="62">
        <v>0</v>
      </c>
      <c r="V825" s="62"/>
      <c r="W825" s="62">
        <v>1984.4208000000001</v>
      </c>
      <c r="X825" s="62">
        <v>1984.4208000000001</v>
      </c>
      <c r="Y825" s="62">
        <v>1824.1823999999999</v>
      </c>
      <c r="Z825" s="62">
        <v>839.64800000000002</v>
      </c>
      <c r="AA825" s="62">
        <v>0</v>
      </c>
      <c r="AB825" s="62"/>
      <c r="AC825" s="62">
        <v>204.41560000000138</v>
      </c>
      <c r="AD825" s="62">
        <v>204.41560000000138</v>
      </c>
      <c r="AE825" s="62">
        <v>204.41560000000138</v>
      </c>
      <c r="AF825" s="62">
        <v>204.41560000000138</v>
      </c>
      <c r="AG825" s="62">
        <v>0</v>
      </c>
      <c r="AH825" s="62"/>
      <c r="AI825" s="62">
        <v>-1306.0188512371301</v>
      </c>
      <c r="AJ825" s="62">
        <v>-633.16662468111349</v>
      </c>
      <c r="AK825" s="62">
        <v>-154.14719629629732</v>
      </c>
      <c r="AL825" s="62">
        <v>0</v>
      </c>
      <c r="AM825" s="62">
        <v>0</v>
      </c>
    </row>
    <row r="826" spans="1:39">
      <c r="A826" s="9">
        <v>99081</v>
      </c>
      <c r="B826" s="10" t="s">
        <v>2198</v>
      </c>
      <c r="C826" s="60">
        <v>1.1E-5</v>
      </c>
      <c r="E826" s="62">
        <v>-1987.0218214852403</v>
      </c>
      <c r="F826" s="62">
        <v>3274.6986307969169</v>
      </c>
      <c r="G826" s="62">
        <v>-602.54227588477625</v>
      </c>
      <c r="H826" s="62">
        <v>-3341.0522800000026</v>
      </c>
      <c r="I826" s="62">
        <v>0</v>
      </c>
      <c r="J826" s="62"/>
      <c r="K826" s="62">
        <v>-66.186999999999998</v>
      </c>
      <c r="L826" s="62">
        <v>139.32599999999999</v>
      </c>
      <c r="M826" s="62">
        <v>258.52199999999999</v>
      </c>
      <c r="N826" s="62">
        <v>160.76499999999999</v>
      </c>
      <c r="O826" s="62">
        <v>0</v>
      </c>
      <c r="P826" s="62"/>
      <c r="Q826" s="62">
        <v>242.16499999999999</v>
      </c>
      <c r="R826" s="62">
        <v>4017.64</v>
      </c>
      <c r="S826" s="62">
        <v>1537.3820000000001</v>
      </c>
      <c r="T826" s="62">
        <v>-1716.924</v>
      </c>
      <c r="U826" s="62">
        <v>0</v>
      </c>
      <c r="V826" s="62"/>
      <c r="W826" s="62">
        <v>718.04700000000003</v>
      </c>
      <c r="X826" s="62">
        <v>718.04700000000003</v>
      </c>
      <c r="Y826" s="62">
        <v>660.06600000000003</v>
      </c>
      <c r="Z826" s="62">
        <v>303.82</v>
      </c>
      <c r="AA826" s="62">
        <v>0</v>
      </c>
      <c r="AB826" s="62"/>
      <c r="AC826" s="62">
        <v>1970.8197095435683</v>
      </c>
      <c r="AD826" s="62">
        <v>1616.0721618257264</v>
      </c>
      <c r="AE826" s="62">
        <v>0</v>
      </c>
      <c r="AF826" s="62">
        <v>0</v>
      </c>
      <c r="AG826" s="62">
        <v>0</v>
      </c>
      <c r="AH826" s="62"/>
      <c r="AI826" s="62">
        <v>-4851.8665310288088</v>
      </c>
      <c r="AJ826" s="62">
        <v>-3216.3865310288088</v>
      </c>
      <c r="AK826" s="62">
        <v>-3058.5122758847765</v>
      </c>
      <c r="AL826" s="62">
        <v>-2088.7132800000027</v>
      </c>
      <c r="AM826" s="62">
        <v>0</v>
      </c>
    </row>
    <row r="827" spans="1:39">
      <c r="A827" s="9">
        <v>99091</v>
      </c>
      <c r="B827" s="10" t="s">
        <v>2199</v>
      </c>
      <c r="C827" s="60">
        <v>3.9999999999999998E-6</v>
      </c>
      <c r="E827" s="62">
        <v>-1567.875222841727</v>
      </c>
      <c r="F827" s="62">
        <v>3048.1080535068218</v>
      </c>
      <c r="G827" s="62">
        <v>1818.3265502880658</v>
      </c>
      <c r="H827" s="62">
        <v>110.00343999999973</v>
      </c>
      <c r="I827" s="62">
        <v>0</v>
      </c>
      <c r="J827" s="62"/>
      <c r="K827" s="62">
        <v>-24.067999999999998</v>
      </c>
      <c r="L827" s="62">
        <v>50.663999999999994</v>
      </c>
      <c r="M827" s="62">
        <v>94.007999999999996</v>
      </c>
      <c r="N827" s="62">
        <v>58.46</v>
      </c>
      <c r="O827" s="62">
        <v>0</v>
      </c>
      <c r="P827" s="62"/>
      <c r="Q827" s="62">
        <v>88.06</v>
      </c>
      <c r="R827" s="62">
        <v>1460.96</v>
      </c>
      <c r="S827" s="62">
        <v>559.048</v>
      </c>
      <c r="T827" s="62">
        <v>-624.33600000000001</v>
      </c>
      <c r="U827" s="62">
        <v>0</v>
      </c>
      <c r="V827" s="62"/>
      <c r="W827" s="62">
        <v>261.108</v>
      </c>
      <c r="X827" s="62">
        <v>261.108</v>
      </c>
      <c r="Y827" s="62">
        <v>240.024</v>
      </c>
      <c r="Z827" s="62">
        <v>110.47999999999999</v>
      </c>
      <c r="AA827" s="62">
        <v>0</v>
      </c>
      <c r="AB827" s="62"/>
      <c r="AC827" s="62">
        <v>1339.3747771582739</v>
      </c>
      <c r="AD827" s="62">
        <v>1275.3760535068218</v>
      </c>
      <c r="AE827" s="62">
        <v>925.24655028806569</v>
      </c>
      <c r="AF827" s="62">
        <v>565.39943999999969</v>
      </c>
      <c r="AG827" s="62">
        <v>0</v>
      </c>
      <c r="AH827" s="62"/>
      <c r="AI827" s="62">
        <v>-3232.3500000000008</v>
      </c>
      <c r="AJ827" s="62">
        <v>0</v>
      </c>
      <c r="AK827" s="62">
        <v>0</v>
      </c>
      <c r="AL827" s="62">
        <v>0</v>
      </c>
      <c r="AM827" s="62">
        <v>0</v>
      </c>
    </row>
    <row r="828" spans="1:39">
      <c r="A828" s="9">
        <v>99101</v>
      </c>
      <c r="B828" s="10" t="s">
        <v>2200</v>
      </c>
      <c r="C828" s="60">
        <v>2.1724000000000001E-3</v>
      </c>
      <c r="E828" s="62">
        <v>162594.87069573058</v>
      </c>
      <c r="F828" s="62">
        <v>966556.17919929919</v>
      </c>
      <c r="G828" s="62">
        <v>487833.52438222209</v>
      </c>
      <c r="H828" s="62">
        <v>-236511.46744000012</v>
      </c>
      <c r="I828" s="62">
        <v>0</v>
      </c>
      <c r="J828" s="62"/>
      <c r="K828" s="62">
        <v>-13071.330800000002</v>
      </c>
      <c r="L828" s="62">
        <v>27515.618400000003</v>
      </c>
      <c r="M828" s="62">
        <v>51055.7448</v>
      </c>
      <c r="N828" s="62">
        <v>31749.626</v>
      </c>
      <c r="O828" s="62">
        <v>0</v>
      </c>
      <c r="P828" s="62"/>
      <c r="Q828" s="62">
        <v>47825.386000000006</v>
      </c>
      <c r="R828" s="62">
        <v>793447.37600000005</v>
      </c>
      <c r="S828" s="62">
        <v>303618.96880000003</v>
      </c>
      <c r="T828" s="62">
        <v>-339076.88160000002</v>
      </c>
      <c r="U828" s="62">
        <v>0</v>
      </c>
      <c r="V828" s="62"/>
      <c r="W828" s="62">
        <v>141807.7548</v>
      </c>
      <c r="X828" s="62">
        <v>141807.7548</v>
      </c>
      <c r="Y828" s="62">
        <v>130357.0344</v>
      </c>
      <c r="Z828" s="62">
        <v>60001.688000000002</v>
      </c>
      <c r="AA828" s="62">
        <v>0</v>
      </c>
      <c r="AB828" s="62"/>
      <c r="AC828" s="62">
        <v>13604.326251286207</v>
      </c>
      <c r="AD828" s="62">
        <v>13102.085554854675</v>
      </c>
      <c r="AE828" s="62">
        <v>10814.100159999914</v>
      </c>
      <c r="AF828" s="62">
        <v>10814.100159999914</v>
      </c>
      <c r="AG828" s="62">
        <v>0</v>
      </c>
      <c r="AH828" s="62"/>
      <c r="AI828" s="62">
        <v>-27571.265555555605</v>
      </c>
      <c r="AJ828" s="62">
        <v>-9316.6555555556024</v>
      </c>
      <c r="AK828" s="62">
        <v>-8012.3237777778213</v>
      </c>
      <c r="AL828" s="62">
        <v>0</v>
      </c>
      <c r="AM828" s="62">
        <v>0</v>
      </c>
    </row>
    <row r="829" spans="1:39">
      <c r="A829" s="9">
        <v>99104</v>
      </c>
      <c r="B829" s="10" t="s">
        <v>2201</v>
      </c>
      <c r="C829" s="60">
        <v>3.3500000000000001E-5</v>
      </c>
      <c r="E829" s="62">
        <v>8877.5977445687586</v>
      </c>
      <c r="F829" s="62">
        <v>19497.987269050085</v>
      </c>
      <c r="G829" s="62">
        <v>10609.057722139922</v>
      </c>
      <c r="H829" s="62">
        <v>-2532.9161399999966</v>
      </c>
      <c r="I829" s="62">
        <v>0</v>
      </c>
      <c r="J829" s="62"/>
      <c r="K829" s="62">
        <v>-201.56950000000001</v>
      </c>
      <c r="L829" s="62">
        <v>424.31100000000004</v>
      </c>
      <c r="M829" s="62">
        <v>787.31700000000001</v>
      </c>
      <c r="N829" s="62">
        <v>489.60250000000002</v>
      </c>
      <c r="O829" s="62">
        <v>0</v>
      </c>
      <c r="P829" s="62"/>
      <c r="Q829" s="62">
        <v>737.50250000000005</v>
      </c>
      <c r="R829" s="62">
        <v>12235.54</v>
      </c>
      <c r="S829" s="62">
        <v>4682.027</v>
      </c>
      <c r="T829" s="62">
        <v>-5228.8140000000003</v>
      </c>
      <c r="U829" s="62">
        <v>0</v>
      </c>
      <c r="V829" s="62"/>
      <c r="W829" s="62">
        <v>2186.7795000000001</v>
      </c>
      <c r="X829" s="62">
        <v>2186.7795000000001</v>
      </c>
      <c r="Y829" s="62">
        <v>2010.201</v>
      </c>
      <c r="Z829" s="62">
        <v>925.27</v>
      </c>
      <c r="AA829" s="62">
        <v>0</v>
      </c>
      <c r="AB829" s="62"/>
      <c r="AC829" s="62">
        <v>6154.8852445687589</v>
      </c>
      <c r="AD829" s="62">
        <v>4651.3567690500859</v>
      </c>
      <c r="AE829" s="62">
        <v>3129.5127221399216</v>
      </c>
      <c r="AF829" s="62">
        <v>1281.0253600000037</v>
      </c>
      <c r="AG829" s="62">
        <v>0</v>
      </c>
      <c r="AH829" s="62"/>
      <c r="AI829" s="62">
        <v>0</v>
      </c>
      <c r="AJ829" s="62">
        <v>0</v>
      </c>
      <c r="AK829" s="62">
        <v>0</v>
      </c>
      <c r="AL829" s="62">
        <v>0</v>
      </c>
      <c r="AM829" s="62">
        <v>0</v>
      </c>
    </row>
    <row r="830" spans="1:39">
      <c r="A830" s="9">
        <v>99109</v>
      </c>
      <c r="B830" s="10" t="s">
        <v>2202</v>
      </c>
      <c r="C830" s="60">
        <v>1.2339999999999999E-4</v>
      </c>
      <c r="E830" s="62">
        <v>4684.8078936803131</v>
      </c>
      <c r="F830" s="62">
        <v>53640.341682891929</v>
      </c>
      <c r="G830" s="62">
        <v>25431.473653909467</v>
      </c>
      <c r="H830" s="62">
        <v>-13290.191399999998</v>
      </c>
      <c r="I830" s="62">
        <v>0</v>
      </c>
      <c r="J830" s="62"/>
      <c r="K830" s="62">
        <v>-742.49779999999998</v>
      </c>
      <c r="L830" s="62">
        <v>1562.9843999999998</v>
      </c>
      <c r="M830" s="62">
        <v>2900.1468</v>
      </c>
      <c r="N830" s="62">
        <v>1803.4909999999998</v>
      </c>
      <c r="O830" s="62">
        <v>0</v>
      </c>
      <c r="P830" s="62"/>
      <c r="Q830" s="62">
        <v>2716.6509999999998</v>
      </c>
      <c r="R830" s="62">
        <v>45070.615999999995</v>
      </c>
      <c r="S830" s="62">
        <v>17246.630799999999</v>
      </c>
      <c r="T830" s="62">
        <v>-19260.765599999999</v>
      </c>
      <c r="U830" s="62">
        <v>0</v>
      </c>
      <c r="V830" s="62"/>
      <c r="W830" s="62">
        <v>8055.1817999999994</v>
      </c>
      <c r="X830" s="62">
        <v>8055.1817999999994</v>
      </c>
      <c r="Y830" s="62">
        <v>7404.7403999999997</v>
      </c>
      <c r="Z830" s="62">
        <v>3408.3079999999995</v>
      </c>
      <c r="AA830" s="62">
        <v>0</v>
      </c>
      <c r="AB830" s="62"/>
      <c r="AC830" s="62">
        <v>2637.1274821576817</v>
      </c>
      <c r="AD830" s="62">
        <v>2299.0240713693001</v>
      </c>
      <c r="AE830" s="62">
        <v>758.77520000000368</v>
      </c>
      <c r="AF830" s="62">
        <v>758.77520000000368</v>
      </c>
      <c r="AG830" s="62">
        <v>0</v>
      </c>
      <c r="AH830" s="62"/>
      <c r="AI830" s="62">
        <v>-7981.6545884773668</v>
      </c>
      <c r="AJ830" s="62">
        <v>-3347.4645884773654</v>
      </c>
      <c r="AK830" s="62">
        <v>-2878.8195460905354</v>
      </c>
      <c r="AL830" s="62">
        <v>0</v>
      </c>
      <c r="AM830" s="62">
        <v>0</v>
      </c>
    </row>
    <row r="831" spans="1:39">
      <c r="A831" s="9">
        <v>99110</v>
      </c>
      <c r="B831" s="10" t="s">
        <v>2203</v>
      </c>
      <c r="C831" s="60">
        <v>1.7670000000000001E-4</v>
      </c>
      <c r="E831" s="62">
        <v>41929.606464805795</v>
      </c>
      <c r="F831" s="62">
        <v>100615.04954530371</v>
      </c>
      <c r="G831" s="62">
        <v>52029.248096378622</v>
      </c>
      <c r="H831" s="62">
        <v>-13521.926459999988</v>
      </c>
      <c r="I831" s="62">
        <v>0</v>
      </c>
      <c r="J831" s="62"/>
      <c r="K831" s="62">
        <v>-1063.2039</v>
      </c>
      <c r="L831" s="62">
        <v>2238.0822000000003</v>
      </c>
      <c r="M831" s="62">
        <v>4152.8034000000007</v>
      </c>
      <c r="N831" s="62">
        <v>2582.4705000000004</v>
      </c>
      <c r="O831" s="62">
        <v>0</v>
      </c>
      <c r="P831" s="62"/>
      <c r="Q831" s="62">
        <v>3890.0505000000003</v>
      </c>
      <c r="R831" s="62">
        <v>64537.908000000003</v>
      </c>
      <c r="S831" s="62">
        <v>24695.945400000001</v>
      </c>
      <c r="T831" s="62">
        <v>-27580.042800000003</v>
      </c>
      <c r="U831" s="62">
        <v>0</v>
      </c>
      <c r="V831" s="62"/>
      <c r="W831" s="62">
        <v>11534.445900000001</v>
      </c>
      <c r="X831" s="62">
        <v>11534.445900000001</v>
      </c>
      <c r="Y831" s="62">
        <v>10603.0602</v>
      </c>
      <c r="Z831" s="62">
        <v>4880.4540000000006</v>
      </c>
      <c r="AA831" s="62">
        <v>0</v>
      </c>
      <c r="AB831" s="62"/>
      <c r="AC831" s="62">
        <v>27568.313964805791</v>
      </c>
      <c r="AD831" s="62">
        <v>22304.613445303716</v>
      </c>
      <c r="AE831" s="62">
        <v>12577.439096378625</v>
      </c>
      <c r="AF831" s="62">
        <v>6595.1918400000141</v>
      </c>
      <c r="AG831" s="62">
        <v>0</v>
      </c>
      <c r="AH831" s="62"/>
      <c r="AI831" s="62">
        <v>0</v>
      </c>
      <c r="AJ831" s="62">
        <v>0</v>
      </c>
      <c r="AK831" s="62">
        <v>0</v>
      </c>
      <c r="AL831" s="62">
        <v>0</v>
      </c>
      <c r="AM831" s="62">
        <v>0</v>
      </c>
    </row>
    <row r="832" spans="1:39">
      <c r="A832" s="9">
        <v>99111</v>
      </c>
      <c r="B832" s="10" t="s">
        <v>2204</v>
      </c>
      <c r="C832" s="60">
        <v>1.2618E-3</v>
      </c>
      <c r="E832" s="62">
        <v>34206.837323397223</v>
      </c>
      <c r="F832" s="62">
        <v>515632.21451949683</v>
      </c>
      <c r="G832" s="62">
        <v>259211.53553753076</v>
      </c>
      <c r="H832" s="62">
        <v>-153122.34596000009</v>
      </c>
      <c r="I832" s="62">
        <v>0</v>
      </c>
      <c r="J832" s="62"/>
      <c r="K832" s="62">
        <v>-7592.2506000000003</v>
      </c>
      <c r="L832" s="62">
        <v>15981.9588</v>
      </c>
      <c r="M832" s="62">
        <v>29654.8236</v>
      </c>
      <c r="N832" s="62">
        <v>18441.206999999999</v>
      </c>
      <c r="O832" s="62">
        <v>0</v>
      </c>
      <c r="P832" s="62"/>
      <c r="Q832" s="62">
        <v>27778.526999999998</v>
      </c>
      <c r="R832" s="62">
        <v>460859.83199999999</v>
      </c>
      <c r="S832" s="62">
        <v>176351.69159999999</v>
      </c>
      <c r="T832" s="62">
        <v>-196946.79120000001</v>
      </c>
      <c r="U832" s="62">
        <v>0</v>
      </c>
      <c r="V832" s="62"/>
      <c r="W832" s="62">
        <v>82366.518599999996</v>
      </c>
      <c r="X832" s="62">
        <v>82366.518599999996</v>
      </c>
      <c r="Y832" s="62">
        <v>75715.570800000001</v>
      </c>
      <c r="Z832" s="62">
        <v>34850.915999999997</v>
      </c>
      <c r="AA832" s="62">
        <v>0</v>
      </c>
      <c r="AB832" s="62"/>
      <c r="AC832" s="62">
        <v>0</v>
      </c>
      <c r="AD832" s="62">
        <v>0</v>
      </c>
      <c r="AE832" s="62">
        <v>0</v>
      </c>
      <c r="AF832" s="62">
        <v>0</v>
      </c>
      <c r="AG832" s="62">
        <v>0</v>
      </c>
      <c r="AH832" s="62"/>
      <c r="AI832" s="62">
        <v>-68345.957676602775</v>
      </c>
      <c r="AJ832" s="62">
        <v>-43576.094880503188</v>
      </c>
      <c r="AK832" s="62">
        <v>-22510.550462469266</v>
      </c>
      <c r="AL832" s="62">
        <v>-9467.677760000086</v>
      </c>
      <c r="AM832" s="62">
        <v>0</v>
      </c>
    </row>
    <row r="833" spans="1:39">
      <c r="A833" s="9">
        <v>99201</v>
      </c>
      <c r="B833" s="10" t="s">
        <v>2205</v>
      </c>
      <c r="C833" s="60">
        <v>3.3297200000000006E-2</v>
      </c>
      <c r="E833" s="62">
        <v>2951484.8829630176</v>
      </c>
      <c r="F833" s="62">
        <v>15203316.783829825</v>
      </c>
      <c r="G833" s="62">
        <v>7680541.1200744882</v>
      </c>
      <c r="H833" s="62">
        <v>-3649719.2164000003</v>
      </c>
      <c r="I833" s="62">
        <v>0</v>
      </c>
      <c r="J833" s="62"/>
      <c r="K833" s="62">
        <v>-200349.25240000003</v>
      </c>
      <c r="L833" s="62">
        <v>421742.33520000009</v>
      </c>
      <c r="M833" s="62">
        <v>782550.79440000013</v>
      </c>
      <c r="N833" s="62">
        <v>486638.5780000001</v>
      </c>
      <c r="O833" s="62">
        <v>0</v>
      </c>
      <c r="P833" s="62"/>
      <c r="Q833" s="62">
        <v>733037.85800000012</v>
      </c>
      <c r="R833" s="62">
        <v>12161469.328000002</v>
      </c>
      <c r="S833" s="62">
        <v>4653683.266400001</v>
      </c>
      <c r="T833" s="62">
        <v>-5197160.1648000013</v>
      </c>
      <c r="U833" s="62">
        <v>0</v>
      </c>
      <c r="V833" s="62"/>
      <c r="W833" s="62">
        <v>2173541.3244000003</v>
      </c>
      <c r="X833" s="62">
        <v>2173541.3244000003</v>
      </c>
      <c r="Y833" s="62">
        <v>1998031.7832000004</v>
      </c>
      <c r="Z833" s="62">
        <v>919668.66400000022</v>
      </c>
      <c r="AA833" s="62">
        <v>0</v>
      </c>
      <c r="AB833" s="62"/>
      <c r="AC833" s="62">
        <v>486772.38296301721</v>
      </c>
      <c r="AD833" s="62">
        <v>446563.79622982256</v>
      </c>
      <c r="AE833" s="62">
        <v>246275.27607448667</v>
      </c>
      <c r="AF833" s="62">
        <v>141133.70640000107</v>
      </c>
      <c r="AG833" s="62">
        <v>0</v>
      </c>
      <c r="AH833" s="62"/>
      <c r="AI833" s="62">
        <v>-241517.43000000005</v>
      </c>
      <c r="AJ833" s="62">
        <v>0</v>
      </c>
      <c r="AK833" s="62">
        <v>0</v>
      </c>
      <c r="AL833" s="62">
        <v>0</v>
      </c>
      <c r="AM833" s="62">
        <v>0</v>
      </c>
    </row>
    <row r="834" spans="1:39">
      <c r="A834" s="9">
        <v>99202</v>
      </c>
      <c r="B834" s="10" t="s">
        <v>2206</v>
      </c>
      <c r="C834" s="60">
        <v>2.5855000000000001E-3</v>
      </c>
      <c r="E834" s="62">
        <v>137182.5044595318</v>
      </c>
      <c r="F834" s="62">
        <v>1088007.2256837641</v>
      </c>
      <c r="G834" s="62">
        <v>534891.75813448546</v>
      </c>
      <c r="H834" s="62">
        <v>-305317.30934000027</v>
      </c>
      <c r="I834" s="62">
        <v>0</v>
      </c>
      <c r="J834" s="62"/>
      <c r="K834" s="62">
        <v>-15556.953500000001</v>
      </c>
      <c r="L834" s="62">
        <v>32747.943000000003</v>
      </c>
      <c r="M834" s="62">
        <v>60764.421000000002</v>
      </c>
      <c r="N834" s="62">
        <v>37787.082500000004</v>
      </c>
      <c r="O834" s="62">
        <v>0</v>
      </c>
      <c r="P834" s="62"/>
      <c r="Q834" s="62">
        <v>56919.782500000001</v>
      </c>
      <c r="R834" s="62">
        <v>944328.02</v>
      </c>
      <c r="S834" s="62">
        <v>361354.65100000001</v>
      </c>
      <c r="T834" s="62">
        <v>-403555.18200000003</v>
      </c>
      <c r="U834" s="62">
        <v>0</v>
      </c>
      <c r="V834" s="62"/>
      <c r="W834" s="62">
        <v>168773.68350000001</v>
      </c>
      <c r="X834" s="62">
        <v>168773.68350000001</v>
      </c>
      <c r="Y834" s="62">
        <v>155145.51300000001</v>
      </c>
      <c r="Z834" s="62">
        <v>71411.510000000009</v>
      </c>
      <c r="AA834" s="62">
        <v>0</v>
      </c>
      <c r="AB834" s="62"/>
      <c r="AC834" s="62">
        <v>0</v>
      </c>
      <c r="AD834" s="62">
        <v>0</v>
      </c>
      <c r="AE834" s="62">
        <v>0</v>
      </c>
      <c r="AF834" s="62">
        <v>0</v>
      </c>
      <c r="AG834" s="62">
        <v>0</v>
      </c>
      <c r="AH834" s="62"/>
      <c r="AI834" s="62">
        <v>-72954.008040468223</v>
      </c>
      <c r="AJ834" s="62">
        <v>-57842.420816235834</v>
      </c>
      <c r="AK834" s="62">
        <v>-42372.826865514646</v>
      </c>
      <c r="AL834" s="62">
        <v>-10960.719840000243</v>
      </c>
      <c r="AM834" s="62">
        <v>0</v>
      </c>
    </row>
    <row r="835" spans="1:39">
      <c r="A835" s="9">
        <v>99203</v>
      </c>
      <c r="B835" s="10" t="s">
        <v>2207</v>
      </c>
      <c r="C835" s="60">
        <v>3.0410000000000002E-4</v>
      </c>
      <c r="E835" s="62">
        <v>35809.650064329682</v>
      </c>
      <c r="F835" s="62">
        <v>134048.76757403923</v>
      </c>
      <c r="G835" s="62">
        <v>66411.33442691357</v>
      </c>
      <c r="H835" s="62">
        <v>-39804.063220000025</v>
      </c>
      <c r="I835" s="62">
        <v>0</v>
      </c>
      <c r="J835" s="62"/>
      <c r="K835" s="62">
        <v>-1829.7697000000001</v>
      </c>
      <c r="L835" s="62">
        <v>3851.7306000000003</v>
      </c>
      <c r="M835" s="62">
        <v>7146.9582</v>
      </c>
      <c r="N835" s="62">
        <v>4444.4215000000004</v>
      </c>
      <c r="O835" s="62">
        <v>0</v>
      </c>
      <c r="P835" s="62"/>
      <c r="Q835" s="62">
        <v>6694.7615000000005</v>
      </c>
      <c r="R835" s="62">
        <v>111069.48400000001</v>
      </c>
      <c r="S835" s="62">
        <v>42501.624200000006</v>
      </c>
      <c r="T835" s="62">
        <v>-47465.144400000005</v>
      </c>
      <c r="U835" s="62">
        <v>0</v>
      </c>
      <c r="V835" s="62"/>
      <c r="W835" s="62">
        <v>19850.735700000001</v>
      </c>
      <c r="X835" s="62">
        <v>19850.735700000001</v>
      </c>
      <c r="Y835" s="62">
        <v>18247.8246</v>
      </c>
      <c r="Z835" s="62">
        <v>8399.2420000000002</v>
      </c>
      <c r="AA835" s="62">
        <v>0</v>
      </c>
      <c r="AB835" s="62"/>
      <c r="AC835" s="62">
        <v>16276.504884329695</v>
      </c>
      <c r="AD835" s="62">
        <v>4459.399594039236</v>
      </c>
      <c r="AE835" s="62">
        <v>3697.509746913579</v>
      </c>
      <c r="AF835" s="62">
        <v>0</v>
      </c>
      <c r="AG835" s="62">
        <v>0</v>
      </c>
      <c r="AH835" s="62"/>
      <c r="AI835" s="62">
        <v>-5182.5823200000132</v>
      </c>
      <c r="AJ835" s="62">
        <v>-5182.5823200000132</v>
      </c>
      <c r="AK835" s="62">
        <v>-5182.5823200000132</v>
      </c>
      <c r="AL835" s="62">
        <v>-5182.5823200000132</v>
      </c>
      <c r="AM835" s="62">
        <v>0</v>
      </c>
    </row>
    <row r="836" spans="1:39">
      <c r="A836" s="9">
        <v>99204</v>
      </c>
      <c r="B836" s="10" t="s">
        <v>2208</v>
      </c>
      <c r="C836" s="60">
        <v>8.3549999999999998E-4</v>
      </c>
      <c r="E836" s="62">
        <v>105523.81555673483</v>
      </c>
      <c r="F836" s="62">
        <v>402947.21321034478</v>
      </c>
      <c r="G836" s="62">
        <v>212041.82012617285</v>
      </c>
      <c r="H836" s="62">
        <v>-82299.452380000002</v>
      </c>
      <c r="I836" s="62">
        <v>0</v>
      </c>
      <c r="J836" s="62"/>
      <c r="K836" s="62">
        <v>-5027.2034999999996</v>
      </c>
      <c r="L836" s="62">
        <v>10582.442999999999</v>
      </c>
      <c r="M836" s="62">
        <v>19635.920999999998</v>
      </c>
      <c r="N836" s="62">
        <v>12210.8325</v>
      </c>
      <c r="O836" s="62">
        <v>0</v>
      </c>
      <c r="P836" s="62"/>
      <c r="Q836" s="62">
        <v>18393.532500000001</v>
      </c>
      <c r="R836" s="62">
        <v>305158.02</v>
      </c>
      <c r="S836" s="62">
        <v>116771.151</v>
      </c>
      <c r="T836" s="62">
        <v>-130408.182</v>
      </c>
      <c r="U836" s="62">
        <v>0</v>
      </c>
      <c r="V836" s="62"/>
      <c r="W836" s="62">
        <v>54538.933499999999</v>
      </c>
      <c r="X836" s="62">
        <v>54538.933499999999</v>
      </c>
      <c r="Y836" s="62">
        <v>50135.012999999999</v>
      </c>
      <c r="Z836" s="62">
        <v>23076.51</v>
      </c>
      <c r="AA836" s="62">
        <v>0</v>
      </c>
      <c r="AB836" s="62"/>
      <c r="AC836" s="62">
        <v>37618.553056734832</v>
      </c>
      <c r="AD836" s="62">
        <v>32667.816710344792</v>
      </c>
      <c r="AE836" s="62">
        <v>25499.735126172862</v>
      </c>
      <c r="AF836" s="62">
        <v>12821.387120000005</v>
      </c>
      <c r="AG836" s="62">
        <v>0</v>
      </c>
      <c r="AH836" s="62"/>
      <c r="AI836" s="62">
        <v>0</v>
      </c>
      <c r="AJ836" s="62">
        <v>0</v>
      </c>
      <c r="AK836" s="62">
        <v>0</v>
      </c>
      <c r="AL836" s="62">
        <v>0</v>
      </c>
      <c r="AM836" s="62">
        <v>0</v>
      </c>
    </row>
    <row r="837" spans="1:39">
      <c r="A837" s="9">
        <v>99206</v>
      </c>
      <c r="B837" s="10" t="s">
        <v>2209</v>
      </c>
      <c r="C837" s="60">
        <v>1.6957999999999999E-3</v>
      </c>
      <c r="E837" s="62">
        <v>346960.67072254495</v>
      </c>
      <c r="F837" s="62">
        <v>953551.0406164868</v>
      </c>
      <c r="G837" s="62">
        <v>510762.09776666667</v>
      </c>
      <c r="H837" s="62">
        <v>-101811.91739999996</v>
      </c>
      <c r="I837" s="62">
        <v>0</v>
      </c>
      <c r="J837" s="62"/>
      <c r="K837" s="62">
        <v>-10203.6286</v>
      </c>
      <c r="L837" s="62">
        <v>21479.002799999998</v>
      </c>
      <c r="M837" s="62">
        <v>39854.691599999998</v>
      </c>
      <c r="N837" s="62">
        <v>24784.116999999998</v>
      </c>
      <c r="O837" s="62">
        <v>0</v>
      </c>
      <c r="P837" s="62"/>
      <c r="Q837" s="62">
        <v>37333.036999999997</v>
      </c>
      <c r="R837" s="62">
        <v>619373.99199999997</v>
      </c>
      <c r="S837" s="62">
        <v>237008.39959999998</v>
      </c>
      <c r="T837" s="62">
        <v>-264687.24719999998</v>
      </c>
      <c r="U837" s="62">
        <v>0</v>
      </c>
      <c r="V837" s="62"/>
      <c r="W837" s="62">
        <v>110696.73659999999</v>
      </c>
      <c r="X837" s="62">
        <v>110696.73659999999</v>
      </c>
      <c r="Y837" s="62">
        <v>101758.17479999999</v>
      </c>
      <c r="Z837" s="62">
        <v>46837.995999999999</v>
      </c>
      <c r="AA837" s="62">
        <v>0</v>
      </c>
      <c r="AB837" s="62"/>
      <c r="AC837" s="62">
        <v>215875.43572254496</v>
      </c>
      <c r="AD837" s="62">
        <v>202001.3092164869</v>
      </c>
      <c r="AE837" s="62">
        <v>132140.83176666673</v>
      </c>
      <c r="AF837" s="62">
        <v>91253.216800000009</v>
      </c>
      <c r="AG837" s="62">
        <v>0</v>
      </c>
      <c r="AH837" s="62"/>
      <c r="AI837" s="62">
        <v>-6740.9100000000017</v>
      </c>
      <c r="AJ837" s="62">
        <v>0</v>
      </c>
      <c r="AK837" s="62">
        <v>0</v>
      </c>
      <c r="AL837" s="62">
        <v>0</v>
      </c>
      <c r="AM837" s="62">
        <v>0</v>
      </c>
    </row>
    <row r="838" spans="1:39">
      <c r="A838" s="9">
        <v>99207</v>
      </c>
      <c r="B838" s="10" t="s">
        <v>2210</v>
      </c>
      <c r="C838" s="60">
        <v>1.3329999999999999E-4</v>
      </c>
      <c r="E838" s="62">
        <v>57709.714954978052</v>
      </c>
      <c r="F838" s="62">
        <v>101802.87595580793</v>
      </c>
      <c r="G838" s="62">
        <v>63275.75663942386</v>
      </c>
      <c r="H838" s="62">
        <v>7432.1500599999999</v>
      </c>
      <c r="I838" s="62">
        <v>0</v>
      </c>
      <c r="J838" s="62"/>
      <c r="K838" s="62">
        <v>-802.06609999999989</v>
      </c>
      <c r="L838" s="62">
        <v>1688.3777999999998</v>
      </c>
      <c r="M838" s="62">
        <v>3132.8165999999997</v>
      </c>
      <c r="N838" s="62">
        <v>1948.1794999999997</v>
      </c>
      <c r="O838" s="62">
        <v>0</v>
      </c>
      <c r="P838" s="62"/>
      <c r="Q838" s="62">
        <v>2934.5994999999998</v>
      </c>
      <c r="R838" s="62">
        <v>48686.491999999998</v>
      </c>
      <c r="S838" s="62">
        <v>18630.274599999997</v>
      </c>
      <c r="T838" s="62">
        <v>-20805.997199999998</v>
      </c>
      <c r="U838" s="62">
        <v>0</v>
      </c>
      <c r="V838" s="62"/>
      <c r="W838" s="62">
        <v>8701.4240999999984</v>
      </c>
      <c r="X838" s="62">
        <v>8701.4240999999984</v>
      </c>
      <c r="Y838" s="62">
        <v>7998.7997999999989</v>
      </c>
      <c r="Z838" s="62">
        <v>3681.7459999999996</v>
      </c>
      <c r="AA838" s="62">
        <v>0</v>
      </c>
      <c r="AB838" s="62"/>
      <c r="AC838" s="62">
        <v>46875.757454978055</v>
      </c>
      <c r="AD838" s="62">
        <v>42726.582055807936</v>
      </c>
      <c r="AE838" s="62">
        <v>33513.865639423864</v>
      </c>
      <c r="AF838" s="62">
        <v>22608.22176</v>
      </c>
      <c r="AG838" s="62">
        <v>0</v>
      </c>
      <c r="AH838" s="62"/>
      <c r="AI838" s="62">
        <v>0</v>
      </c>
      <c r="AJ838" s="62">
        <v>0</v>
      </c>
      <c r="AK838" s="62">
        <v>0</v>
      </c>
      <c r="AL838" s="62">
        <v>0</v>
      </c>
      <c r="AM838" s="62">
        <v>0</v>
      </c>
    </row>
    <row r="839" spans="1:39">
      <c r="A839" s="9">
        <v>99208</v>
      </c>
      <c r="B839" s="10" t="s">
        <v>2211</v>
      </c>
      <c r="C839" s="60">
        <v>1.4569999999999999E-4</v>
      </c>
      <c r="E839" s="62">
        <v>-8611.1563496026465</v>
      </c>
      <c r="F839" s="62">
        <v>53691.852184007308</v>
      </c>
      <c r="G839" s="62">
        <v>25650.512151522635</v>
      </c>
      <c r="H839" s="62">
        <v>-16896.14785999999</v>
      </c>
      <c r="I839" s="62">
        <v>0</v>
      </c>
      <c r="J839" s="62"/>
      <c r="K839" s="62">
        <v>-876.67689999999993</v>
      </c>
      <c r="L839" s="62">
        <v>1845.4361999999999</v>
      </c>
      <c r="M839" s="62">
        <v>3424.2413999999999</v>
      </c>
      <c r="N839" s="62">
        <v>2129.4054999999998</v>
      </c>
      <c r="O839" s="62">
        <v>0</v>
      </c>
      <c r="P839" s="62"/>
      <c r="Q839" s="62">
        <v>3207.5854999999997</v>
      </c>
      <c r="R839" s="62">
        <v>53215.467999999993</v>
      </c>
      <c r="S839" s="62">
        <v>20363.323399999997</v>
      </c>
      <c r="T839" s="62">
        <v>-22741.4388</v>
      </c>
      <c r="U839" s="62">
        <v>0</v>
      </c>
      <c r="V839" s="62"/>
      <c r="W839" s="62">
        <v>9510.8588999999993</v>
      </c>
      <c r="X839" s="62">
        <v>9510.8588999999993</v>
      </c>
      <c r="Y839" s="62">
        <v>8742.8742000000002</v>
      </c>
      <c r="Z839" s="62">
        <v>4024.2339999999999</v>
      </c>
      <c r="AA839" s="62">
        <v>0</v>
      </c>
      <c r="AB839" s="62"/>
      <c r="AC839" s="62">
        <v>0</v>
      </c>
      <c r="AD839" s="62">
        <v>0</v>
      </c>
      <c r="AE839" s="62">
        <v>0</v>
      </c>
      <c r="AF839" s="62">
        <v>0</v>
      </c>
      <c r="AG839" s="62">
        <v>0</v>
      </c>
      <c r="AH839" s="62"/>
      <c r="AI839" s="62">
        <v>-20452.923849602645</v>
      </c>
      <c r="AJ839" s="62">
        <v>-10879.910915992685</v>
      </c>
      <c r="AK839" s="62">
        <v>-6879.926848477362</v>
      </c>
      <c r="AL839" s="62">
        <v>-308.34855999999263</v>
      </c>
      <c r="AM839" s="62">
        <v>0</v>
      </c>
    </row>
    <row r="840" spans="1:39">
      <c r="A840" s="9">
        <v>99210</v>
      </c>
      <c r="B840" s="10" t="s">
        <v>2212</v>
      </c>
      <c r="C840" s="60">
        <v>1.5943999999999999E-3</v>
      </c>
      <c r="E840" s="62">
        <v>168651.9408658742</v>
      </c>
      <c r="F840" s="62">
        <v>738619.33894720185</v>
      </c>
      <c r="G840" s="62">
        <v>372648.38485144026</v>
      </c>
      <c r="H840" s="62">
        <v>-170026.05920000005</v>
      </c>
      <c r="I840" s="62">
        <v>0</v>
      </c>
      <c r="J840" s="62"/>
      <c r="K840" s="62">
        <v>-9593.5047999999988</v>
      </c>
      <c r="L840" s="62">
        <v>20194.670399999999</v>
      </c>
      <c r="M840" s="62">
        <v>37471.588799999998</v>
      </c>
      <c r="N840" s="62">
        <v>23302.155999999999</v>
      </c>
      <c r="O840" s="62">
        <v>0</v>
      </c>
      <c r="P840" s="62"/>
      <c r="Q840" s="62">
        <v>35100.716</v>
      </c>
      <c r="R840" s="62">
        <v>582338.65599999996</v>
      </c>
      <c r="S840" s="62">
        <v>222836.53279999999</v>
      </c>
      <c r="T840" s="62">
        <v>-248860.3296</v>
      </c>
      <c r="U840" s="62">
        <v>0</v>
      </c>
      <c r="V840" s="62"/>
      <c r="W840" s="62">
        <v>104077.6488</v>
      </c>
      <c r="X840" s="62">
        <v>104077.6488</v>
      </c>
      <c r="Y840" s="62">
        <v>95673.566399999996</v>
      </c>
      <c r="Z840" s="62">
        <v>44037.328000000001</v>
      </c>
      <c r="AA840" s="62">
        <v>0</v>
      </c>
      <c r="AB840" s="62"/>
      <c r="AC840" s="62">
        <v>39067.080865874203</v>
      </c>
      <c r="AD840" s="62">
        <v>32008.363747202035</v>
      </c>
      <c r="AE840" s="62">
        <v>16666.696851440312</v>
      </c>
      <c r="AF840" s="62">
        <v>11494.786399999959</v>
      </c>
      <c r="AG840" s="62">
        <v>0</v>
      </c>
      <c r="AH840" s="62"/>
      <c r="AI840" s="62">
        <v>0</v>
      </c>
      <c r="AJ840" s="62">
        <v>0</v>
      </c>
      <c r="AK840" s="62">
        <v>0</v>
      </c>
      <c r="AL840" s="62">
        <v>0</v>
      </c>
      <c r="AM840" s="62">
        <v>0</v>
      </c>
    </row>
    <row r="841" spans="1:39">
      <c r="A841" s="9">
        <v>99211</v>
      </c>
      <c r="B841" s="10" t="s">
        <v>2213</v>
      </c>
      <c r="C841" s="60">
        <v>3.7100600000000004E-2</v>
      </c>
      <c r="E841" s="62">
        <v>2292686.1931303428</v>
      </c>
      <c r="F841" s="62">
        <v>15932998.773585696</v>
      </c>
      <c r="G841" s="62">
        <v>7881453.3264263356</v>
      </c>
      <c r="H841" s="62">
        <v>-4428793.7366000004</v>
      </c>
      <c r="I841" s="62">
        <v>0</v>
      </c>
      <c r="J841" s="62"/>
      <c r="K841" s="62">
        <v>-223234.31020000004</v>
      </c>
      <c r="L841" s="62">
        <v>469916.19960000005</v>
      </c>
      <c r="M841" s="62">
        <v>871938.3012000001</v>
      </c>
      <c r="N841" s="62">
        <v>542225.26900000009</v>
      </c>
      <c r="O841" s="62">
        <v>0</v>
      </c>
      <c r="P841" s="62"/>
      <c r="Q841" s="62">
        <v>816769.70900000015</v>
      </c>
      <c r="R841" s="62">
        <v>13550623.144000001</v>
      </c>
      <c r="S841" s="62">
        <v>5185254.0572000006</v>
      </c>
      <c r="T841" s="62">
        <v>-5790810.050400001</v>
      </c>
      <c r="U841" s="62">
        <v>0</v>
      </c>
      <c r="V841" s="62"/>
      <c r="W841" s="62">
        <v>2421815.8662000005</v>
      </c>
      <c r="X841" s="62">
        <v>2421815.8662000005</v>
      </c>
      <c r="Y841" s="62">
        <v>2226258.6036000005</v>
      </c>
      <c r="Z841" s="62">
        <v>1024718.5720000002</v>
      </c>
      <c r="AA841" s="62">
        <v>0</v>
      </c>
      <c r="AB841" s="62"/>
      <c r="AC841" s="62">
        <v>0</v>
      </c>
      <c r="AD841" s="62">
        <v>0</v>
      </c>
      <c r="AE841" s="62">
        <v>0</v>
      </c>
      <c r="AF841" s="62">
        <v>0</v>
      </c>
      <c r="AG841" s="62">
        <v>0</v>
      </c>
      <c r="AH841" s="62"/>
      <c r="AI841" s="62">
        <v>-722665.07186965784</v>
      </c>
      <c r="AJ841" s="62">
        <v>-509356.43621430517</v>
      </c>
      <c r="AK841" s="62">
        <v>-401997.6355736652</v>
      </c>
      <c r="AL841" s="62">
        <v>-204927.52720000074</v>
      </c>
      <c r="AM841" s="62">
        <v>0</v>
      </c>
    </row>
    <row r="842" spans="1:39">
      <c r="A842" s="9">
        <v>99212</v>
      </c>
      <c r="B842" s="10" t="s">
        <v>2214</v>
      </c>
      <c r="C842" s="60">
        <v>8.14E-5</v>
      </c>
      <c r="E842" s="62">
        <v>-8614.8907356856726</v>
      </c>
      <c r="F842" s="62">
        <v>24543.961293359971</v>
      </c>
      <c r="G842" s="62">
        <v>11073.613919506166</v>
      </c>
      <c r="H842" s="62">
        <v>-9206.9165200000025</v>
      </c>
      <c r="I842" s="62">
        <v>0</v>
      </c>
      <c r="J842" s="62"/>
      <c r="K842" s="62">
        <v>-489.78379999999999</v>
      </c>
      <c r="L842" s="62">
        <v>1031.0124000000001</v>
      </c>
      <c r="M842" s="62">
        <v>1913.0627999999999</v>
      </c>
      <c r="N842" s="62">
        <v>1189.6610000000001</v>
      </c>
      <c r="O842" s="62">
        <v>0</v>
      </c>
      <c r="P842" s="62"/>
      <c r="Q842" s="62">
        <v>1792.021</v>
      </c>
      <c r="R842" s="62">
        <v>29730.536</v>
      </c>
      <c r="S842" s="62">
        <v>11376.6268</v>
      </c>
      <c r="T842" s="62">
        <v>-12705.2376</v>
      </c>
      <c r="U842" s="62">
        <v>0</v>
      </c>
      <c r="V842" s="62"/>
      <c r="W842" s="62">
        <v>5313.5478000000003</v>
      </c>
      <c r="X842" s="62">
        <v>5313.5478000000003</v>
      </c>
      <c r="Y842" s="62">
        <v>4884.4884000000002</v>
      </c>
      <c r="Z842" s="62">
        <v>2248.268</v>
      </c>
      <c r="AA842" s="62">
        <v>0</v>
      </c>
      <c r="AB842" s="62"/>
      <c r="AC842" s="62">
        <v>60.392079999996895</v>
      </c>
      <c r="AD842" s="62">
        <v>60.392079999996895</v>
      </c>
      <c r="AE842" s="62">
        <v>60.392079999996895</v>
      </c>
      <c r="AF842" s="62">
        <v>60.392079999996895</v>
      </c>
      <c r="AG842" s="62">
        <v>0</v>
      </c>
      <c r="AH842" s="62"/>
      <c r="AI842" s="62">
        <v>-15291.067815685668</v>
      </c>
      <c r="AJ842" s="62">
        <v>-11591.526986640027</v>
      </c>
      <c r="AK842" s="62">
        <v>-7160.9561604938308</v>
      </c>
      <c r="AL842" s="62">
        <v>0</v>
      </c>
      <c r="AM842" s="62">
        <v>0</v>
      </c>
    </row>
    <row r="843" spans="1:39">
      <c r="A843" s="9">
        <v>99213</v>
      </c>
      <c r="B843" s="10" t="s">
        <v>2215</v>
      </c>
      <c r="C843" s="60">
        <v>7.5159999999999995E-4</v>
      </c>
      <c r="E843" s="62">
        <v>50787.689173790277</v>
      </c>
      <c r="F843" s="62">
        <v>323353.0851961968</v>
      </c>
      <c r="G843" s="62">
        <v>156022.25390691357</v>
      </c>
      <c r="H843" s="62">
        <v>-93151.339039999992</v>
      </c>
      <c r="I843" s="62">
        <v>0</v>
      </c>
      <c r="J843" s="62"/>
      <c r="K843" s="62">
        <v>-4522.3771999999999</v>
      </c>
      <c r="L843" s="62">
        <v>9519.7655999999988</v>
      </c>
      <c r="M843" s="62">
        <v>17664.103199999998</v>
      </c>
      <c r="N843" s="62">
        <v>10984.634</v>
      </c>
      <c r="O843" s="62">
        <v>0</v>
      </c>
      <c r="P843" s="62"/>
      <c r="Q843" s="62">
        <v>16546.473999999998</v>
      </c>
      <c r="R843" s="62">
        <v>274514.38399999996</v>
      </c>
      <c r="S843" s="62">
        <v>105045.11919999999</v>
      </c>
      <c r="T843" s="62">
        <v>-117312.73439999999</v>
      </c>
      <c r="U843" s="62">
        <v>0</v>
      </c>
      <c r="V843" s="62"/>
      <c r="W843" s="62">
        <v>49062.193199999994</v>
      </c>
      <c r="X843" s="62">
        <v>49062.193199999994</v>
      </c>
      <c r="Y843" s="62">
        <v>45100.509599999998</v>
      </c>
      <c r="Z843" s="62">
        <v>20759.191999999999</v>
      </c>
      <c r="AA843" s="62">
        <v>0</v>
      </c>
      <c r="AB843" s="62"/>
      <c r="AC843" s="62">
        <v>3327.7598755186709</v>
      </c>
      <c r="AD843" s="62">
        <v>2728.7630979253113</v>
      </c>
      <c r="AE843" s="62">
        <v>0</v>
      </c>
      <c r="AF843" s="62">
        <v>0</v>
      </c>
      <c r="AG843" s="62">
        <v>0</v>
      </c>
      <c r="AH843" s="62"/>
      <c r="AI843" s="62">
        <v>-13626.36070172839</v>
      </c>
      <c r="AJ843" s="62">
        <v>-12472.02070172839</v>
      </c>
      <c r="AK843" s="62">
        <v>-11787.47809308642</v>
      </c>
      <c r="AL843" s="62">
        <v>-7582.4306400000123</v>
      </c>
      <c r="AM843" s="62">
        <v>0</v>
      </c>
    </row>
    <row r="844" spans="1:39">
      <c r="A844" s="9">
        <v>99218</v>
      </c>
      <c r="B844" s="10" t="s">
        <v>2216</v>
      </c>
      <c r="C844" s="60">
        <v>3.1162E-3</v>
      </c>
      <c r="E844" s="62">
        <v>320087.39261449192</v>
      </c>
      <c r="F844" s="62">
        <v>1440860.5944507574</v>
      </c>
      <c r="G844" s="62">
        <v>737533.73782502068</v>
      </c>
      <c r="H844" s="62">
        <v>-343399.22083999979</v>
      </c>
      <c r="I844" s="62">
        <v>0</v>
      </c>
      <c r="J844" s="62"/>
      <c r="K844" s="62">
        <v>-18750.1754</v>
      </c>
      <c r="L844" s="62">
        <v>39469.789199999999</v>
      </c>
      <c r="M844" s="62">
        <v>73236.932400000005</v>
      </c>
      <c r="N844" s="62">
        <v>45543.262999999999</v>
      </c>
      <c r="O844" s="62">
        <v>0</v>
      </c>
      <c r="P844" s="62"/>
      <c r="Q844" s="62">
        <v>68603.142999999996</v>
      </c>
      <c r="R844" s="62">
        <v>1138160.888</v>
      </c>
      <c r="S844" s="62">
        <v>435526.3444</v>
      </c>
      <c r="T844" s="62">
        <v>-486388.9608</v>
      </c>
      <c r="U844" s="62">
        <v>0</v>
      </c>
      <c r="V844" s="62"/>
      <c r="W844" s="62">
        <v>203416.1874</v>
      </c>
      <c r="X844" s="62">
        <v>203416.1874</v>
      </c>
      <c r="Y844" s="62">
        <v>186990.6972</v>
      </c>
      <c r="Z844" s="62">
        <v>86069.444000000003</v>
      </c>
      <c r="AA844" s="62">
        <v>0</v>
      </c>
      <c r="AB844" s="62"/>
      <c r="AC844" s="62">
        <v>66818.237614491911</v>
      </c>
      <c r="AD844" s="62">
        <v>59813.729850757474</v>
      </c>
      <c r="AE844" s="62">
        <v>41779.763825020753</v>
      </c>
      <c r="AF844" s="62">
        <v>11377.032960000215</v>
      </c>
      <c r="AG844" s="62">
        <v>0</v>
      </c>
      <c r="AH844" s="62"/>
      <c r="AI844" s="62">
        <v>0</v>
      </c>
      <c r="AJ844" s="62">
        <v>0</v>
      </c>
      <c r="AK844" s="62">
        <v>0</v>
      </c>
      <c r="AL844" s="62">
        <v>0</v>
      </c>
      <c r="AM844" s="62">
        <v>0</v>
      </c>
    </row>
    <row r="845" spans="1:39">
      <c r="A845" s="9">
        <v>99221</v>
      </c>
      <c r="B845" s="10" t="s">
        <v>2217</v>
      </c>
      <c r="C845" s="60">
        <v>1.27709E-2</v>
      </c>
      <c r="E845" s="62">
        <v>766596.02765199449</v>
      </c>
      <c r="F845" s="62">
        <v>5451669.1069346499</v>
      </c>
      <c r="G845" s="62">
        <v>2694313.0595218916</v>
      </c>
      <c r="H845" s="62">
        <v>-1505174.6274600013</v>
      </c>
      <c r="I845" s="62">
        <v>0</v>
      </c>
      <c r="J845" s="62"/>
      <c r="K845" s="62">
        <v>-76842.505300000004</v>
      </c>
      <c r="L845" s="62">
        <v>161756.2194</v>
      </c>
      <c r="M845" s="62">
        <v>300141.69179999997</v>
      </c>
      <c r="N845" s="62">
        <v>186646.7035</v>
      </c>
      <c r="O845" s="62">
        <v>0</v>
      </c>
      <c r="P845" s="62"/>
      <c r="Q845" s="62">
        <v>281151.36349999998</v>
      </c>
      <c r="R845" s="62">
        <v>4664443.5159999998</v>
      </c>
      <c r="S845" s="62">
        <v>1784886.5257999999</v>
      </c>
      <c r="T845" s="62">
        <v>-1993333.1555999999</v>
      </c>
      <c r="U845" s="62">
        <v>0</v>
      </c>
      <c r="V845" s="62"/>
      <c r="W845" s="62">
        <v>833646.03929999995</v>
      </c>
      <c r="X845" s="62">
        <v>833646.03929999995</v>
      </c>
      <c r="Y845" s="62">
        <v>766330.62540000002</v>
      </c>
      <c r="Z845" s="62">
        <v>352732.25799999997</v>
      </c>
      <c r="AA845" s="62">
        <v>0</v>
      </c>
      <c r="AB845" s="62"/>
      <c r="AC845" s="62">
        <v>0</v>
      </c>
      <c r="AD845" s="62">
        <v>0</v>
      </c>
      <c r="AE845" s="62">
        <v>0</v>
      </c>
      <c r="AF845" s="62">
        <v>0</v>
      </c>
      <c r="AG845" s="62">
        <v>0</v>
      </c>
      <c r="AH845" s="62"/>
      <c r="AI845" s="62">
        <v>-271358.86984800553</v>
      </c>
      <c r="AJ845" s="62">
        <v>-208176.66776534994</v>
      </c>
      <c r="AK845" s="62">
        <v>-157045.78347810823</v>
      </c>
      <c r="AL845" s="62">
        <v>-51220.433360001261</v>
      </c>
      <c r="AM845" s="62">
        <v>0</v>
      </c>
    </row>
    <row r="846" spans="1:39">
      <c r="A846" s="9">
        <v>99222</v>
      </c>
      <c r="B846" s="10" t="s">
        <v>2218</v>
      </c>
      <c r="C846" s="60">
        <v>3.9100000000000002E-5</v>
      </c>
      <c r="E846" s="62">
        <v>3458.3694013397567</v>
      </c>
      <c r="F846" s="62">
        <v>17380.79733743934</v>
      </c>
      <c r="G846" s="62">
        <v>7787.3394257613181</v>
      </c>
      <c r="H846" s="62">
        <v>-5120.0195800000001</v>
      </c>
      <c r="I846" s="62">
        <v>0</v>
      </c>
      <c r="J846" s="62"/>
      <c r="K846" s="62">
        <v>-235.2647</v>
      </c>
      <c r="L846" s="62">
        <v>495.24060000000003</v>
      </c>
      <c r="M846" s="62">
        <v>918.92820000000006</v>
      </c>
      <c r="N846" s="62">
        <v>571.44650000000001</v>
      </c>
      <c r="O846" s="62">
        <v>0</v>
      </c>
      <c r="P846" s="62"/>
      <c r="Q846" s="62">
        <v>860.78650000000005</v>
      </c>
      <c r="R846" s="62">
        <v>14280.884</v>
      </c>
      <c r="S846" s="62">
        <v>5464.6941999999999</v>
      </c>
      <c r="T846" s="62">
        <v>-6102.8843999999999</v>
      </c>
      <c r="U846" s="62">
        <v>0</v>
      </c>
      <c r="V846" s="62"/>
      <c r="W846" s="62">
        <v>2552.3307</v>
      </c>
      <c r="X846" s="62">
        <v>2552.3307</v>
      </c>
      <c r="Y846" s="62">
        <v>2346.2346000000002</v>
      </c>
      <c r="Z846" s="62">
        <v>1079.942</v>
      </c>
      <c r="AA846" s="62">
        <v>0</v>
      </c>
      <c r="AB846" s="62"/>
      <c r="AC846" s="62">
        <v>1267.6381327800832</v>
      </c>
      <c r="AD846" s="62">
        <v>1039.4632688796685</v>
      </c>
      <c r="AE846" s="62">
        <v>0</v>
      </c>
      <c r="AF846" s="62">
        <v>0</v>
      </c>
      <c r="AG846" s="62">
        <v>0</v>
      </c>
      <c r="AH846" s="62"/>
      <c r="AI846" s="62">
        <v>-987.12123144032705</v>
      </c>
      <c r="AJ846" s="62">
        <v>-987.12123144032705</v>
      </c>
      <c r="AK846" s="62">
        <v>-942.51757423868139</v>
      </c>
      <c r="AL846" s="62">
        <v>-668.52368000000058</v>
      </c>
      <c r="AM846" s="62">
        <v>0</v>
      </c>
    </row>
    <row r="847" spans="1:39">
      <c r="A847" s="9">
        <v>99231</v>
      </c>
      <c r="B847" s="10" t="s">
        <v>2219</v>
      </c>
      <c r="C847" s="60">
        <v>3.7179999999999998E-4</v>
      </c>
      <c r="E847" s="62">
        <v>15294.29514138482</v>
      </c>
      <c r="F847" s="62">
        <v>157284.73219009853</v>
      </c>
      <c r="G847" s="62">
        <v>77566.098407489699</v>
      </c>
      <c r="H847" s="62">
        <v>-46242.220359999999</v>
      </c>
      <c r="I847" s="62">
        <v>0</v>
      </c>
      <c r="J847" s="62"/>
      <c r="K847" s="62">
        <v>-2237.1205999999997</v>
      </c>
      <c r="L847" s="62">
        <v>4709.2187999999996</v>
      </c>
      <c r="M847" s="62">
        <v>8738.0435999999991</v>
      </c>
      <c r="N847" s="62">
        <v>5433.857</v>
      </c>
      <c r="O847" s="62">
        <v>0</v>
      </c>
      <c r="P847" s="62"/>
      <c r="Q847" s="62">
        <v>8185.1769999999997</v>
      </c>
      <c r="R847" s="62">
        <v>135796.23199999999</v>
      </c>
      <c r="S847" s="62">
        <v>51963.511599999998</v>
      </c>
      <c r="T847" s="62">
        <v>-58032.031199999998</v>
      </c>
      <c r="U847" s="62">
        <v>0</v>
      </c>
      <c r="V847" s="62"/>
      <c r="W847" s="62">
        <v>24269.988600000001</v>
      </c>
      <c r="X847" s="62">
        <v>24269.988600000001</v>
      </c>
      <c r="Y847" s="62">
        <v>22310.230799999998</v>
      </c>
      <c r="Z847" s="62">
        <v>10269.116</v>
      </c>
      <c r="AA847" s="62">
        <v>0</v>
      </c>
      <c r="AB847" s="62"/>
      <c r="AC847" s="62">
        <v>0</v>
      </c>
      <c r="AD847" s="62">
        <v>0</v>
      </c>
      <c r="AE847" s="62">
        <v>0</v>
      </c>
      <c r="AF847" s="62">
        <v>0</v>
      </c>
      <c r="AG847" s="62">
        <v>0</v>
      </c>
      <c r="AH847" s="62"/>
      <c r="AI847" s="62">
        <v>-14923.749858615178</v>
      </c>
      <c r="AJ847" s="62">
        <v>-7490.707209901484</v>
      </c>
      <c r="AK847" s="62">
        <v>-5445.6875925102941</v>
      </c>
      <c r="AL847" s="62">
        <v>-3913.1621600000071</v>
      </c>
      <c r="AM847" s="62">
        <v>0</v>
      </c>
    </row>
    <row r="848" spans="1:39">
      <c r="A848" s="9">
        <v>99241</v>
      </c>
      <c r="B848" s="10" t="s">
        <v>2220</v>
      </c>
      <c r="C848" s="60">
        <v>5.5329999999999995E-4</v>
      </c>
      <c r="E848" s="62">
        <v>-7102.9044334623613</v>
      </c>
      <c r="F848" s="62">
        <v>216785.16814496086</v>
      </c>
      <c r="G848" s="62">
        <v>106934.94859111117</v>
      </c>
      <c r="H848" s="62">
        <v>-69776.560419999936</v>
      </c>
      <c r="I848" s="62">
        <v>0</v>
      </c>
      <c r="J848" s="62"/>
      <c r="K848" s="62">
        <v>-3329.2060999999999</v>
      </c>
      <c r="L848" s="62">
        <v>7008.0977999999996</v>
      </c>
      <c r="M848" s="62">
        <v>13003.656599999998</v>
      </c>
      <c r="N848" s="62">
        <v>8086.4794999999995</v>
      </c>
      <c r="O848" s="62">
        <v>0</v>
      </c>
      <c r="P848" s="62"/>
      <c r="Q848" s="62">
        <v>12180.8995</v>
      </c>
      <c r="R848" s="62">
        <v>202087.29199999999</v>
      </c>
      <c r="S848" s="62">
        <v>77330.314599999998</v>
      </c>
      <c r="T848" s="62">
        <v>-86361.277199999997</v>
      </c>
      <c r="U848" s="62">
        <v>0</v>
      </c>
      <c r="V848" s="62"/>
      <c r="W848" s="62">
        <v>36117.7641</v>
      </c>
      <c r="X848" s="62">
        <v>36117.7641</v>
      </c>
      <c r="Y848" s="62">
        <v>33201.319799999997</v>
      </c>
      <c r="Z848" s="62">
        <v>15282.145999999999</v>
      </c>
      <c r="AA848" s="62">
        <v>0</v>
      </c>
      <c r="AB848" s="62"/>
      <c r="AC848" s="62">
        <v>0</v>
      </c>
      <c r="AD848" s="62">
        <v>0</v>
      </c>
      <c r="AE848" s="62">
        <v>0</v>
      </c>
      <c r="AF848" s="62">
        <v>0</v>
      </c>
      <c r="AG848" s="62">
        <v>0</v>
      </c>
      <c r="AH848" s="62"/>
      <c r="AI848" s="62">
        <v>-52072.361933462365</v>
      </c>
      <c r="AJ848" s="62">
        <v>-28427.985755039124</v>
      </c>
      <c r="AK848" s="62">
        <v>-16600.342408888828</v>
      </c>
      <c r="AL848" s="62">
        <v>-6783.9087199999485</v>
      </c>
      <c r="AM848" s="62">
        <v>0</v>
      </c>
    </row>
    <row r="849" spans="1:39">
      <c r="A849" s="9">
        <v>99251</v>
      </c>
      <c r="B849" s="10" t="s">
        <v>2221</v>
      </c>
      <c r="C849" s="60">
        <v>1.6069000000000001E-3</v>
      </c>
      <c r="E849" s="62">
        <v>118740.05250987594</v>
      </c>
      <c r="F849" s="62">
        <v>707216.08899029088</v>
      </c>
      <c r="G849" s="62">
        <v>353160.32894016465</v>
      </c>
      <c r="H849" s="62">
        <v>-188979.14537999994</v>
      </c>
      <c r="I849" s="62">
        <v>0</v>
      </c>
      <c r="J849" s="62"/>
      <c r="K849" s="62">
        <v>-9668.7173000000003</v>
      </c>
      <c r="L849" s="62">
        <v>20352.9954</v>
      </c>
      <c r="M849" s="62">
        <v>37765.363799999999</v>
      </c>
      <c r="N849" s="62">
        <v>23484.843500000003</v>
      </c>
      <c r="O849" s="62">
        <v>0</v>
      </c>
      <c r="P849" s="62"/>
      <c r="Q849" s="62">
        <v>35375.9035</v>
      </c>
      <c r="R849" s="62">
        <v>586904.15600000008</v>
      </c>
      <c r="S849" s="62">
        <v>224583.55780000001</v>
      </c>
      <c r="T849" s="62">
        <v>-250811.37960000001</v>
      </c>
      <c r="U849" s="62">
        <v>0</v>
      </c>
      <c r="V849" s="62"/>
      <c r="W849" s="62">
        <v>104893.6113</v>
      </c>
      <c r="X849" s="62">
        <v>104893.6113</v>
      </c>
      <c r="Y849" s="62">
        <v>96423.641400000008</v>
      </c>
      <c r="Z849" s="62">
        <v>44382.578000000001</v>
      </c>
      <c r="AA849" s="62">
        <v>0</v>
      </c>
      <c r="AB849" s="62"/>
      <c r="AC849" s="62">
        <v>1234.1322898758526</v>
      </c>
      <c r="AD849" s="62">
        <v>1100.5135702907828</v>
      </c>
      <c r="AE849" s="62">
        <v>422.95322016456618</v>
      </c>
      <c r="AF849" s="62">
        <v>0</v>
      </c>
      <c r="AG849" s="62">
        <v>0</v>
      </c>
      <c r="AH849" s="62"/>
      <c r="AI849" s="62">
        <v>-13094.877279999931</v>
      </c>
      <c r="AJ849" s="62">
        <v>-6035.187279999931</v>
      </c>
      <c r="AK849" s="62">
        <v>-6035.187279999931</v>
      </c>
      <c r="AL849" s="62">
        <v>-6035.187279999931</v>
      </c>
      <c r="AM849" s="62">
        <v>0</v>
      </c>
    </row>
    <row r="850" spans="1:39">
      <c r="A850" s="9">
        <v>99252</v>
      </c>
      <c r="B850" s="10" t="s">
        <v>2222</v>
      </c>
      <c r="C850" s="60">
        <v>6.1269999999999999E-4</v>
      </c>
      <c r="E850" s="62">
        <v>-36045.78562334623</v>
      </c>
      <c r="F850" s="62">
        <v>203357.03490943386</v>
      </c>
      <c r="G850" s="62">
        <v>97530.393987160409</v>
      </c>
      <c r="H850" s="62">
        <v>-78522.557340000014</v>
      </c>
      <c r="I850" s="62">
        <v>0</v>
      </c>
      <c r="J850" s="62"/>
      <c r="K850" s="62">
        <v>-3686.6158999999998</v>
      </c>
      <c r="L850" s="62">
        <v>7760.4582</v>
      </c>
      <c r="M850" s="62">
        <v>14399.6754</v>
      </c>
      <c r="N850" s="62">
        <v>8954.6105000000007</v>
      </c>
      <c r="O850" s="62">
        <v>0</v>
      </c>
      <c r="P850" s="62"/>
      <c r="Q850" s="62">
        <v>13488.5905</v>
      </c>
      <c r="R850" s="62">
        <v>223782.54799999998</v>
      </c>
      <c r="S850" s="62">
        <v>85632.1774</v>
      </c>
      <c r="T850" s="62">
        <v>-95632.666799999992</v>
      </c>
      <c r="U850" s="62">
        <v>0</v>
      </c>
      <c r="V850" s="62"/>
      <c r="W850" s="62">
        <v>39995.217899999996</v>
      </c>
      <c r="X850" s="62">
        <v>39995.217899999996</v>
      </c>
      <c r="Y850" s="62">
        <v>36765.676200000002</v>
      </c>
      <c r="Z850" s="62">
        <v>16922.774000000001</v>
      </c>
      <c r="AA850" s="62">
        <v>0</v>
      </c>
      <c r="AB850" s="62"/>
      <c r="AC850" s="62">
        <v>0</v>
      </c>
      <c r="AD850" s="62">
        <v>0</v>
      </c>
      <c r="AE850" s="62">
        <v>0</v>
      </c>
      <c r="AF850" s="62">
        <v>0</v>
      </c>
      <c r="AG850" s="62">
        <v>0</v>
      </c>
      <c r="AH850" s="62"/>
      <c r="AI850" s="62">
        <v>-85842.978123346227</v>
      </c>
      <c r="AJ850" s="62">
        <v>-68181.189190566147</v>
      </c>
      <c r="AK850" s="62">
        <v>-39267.135012839579</v>
      </c>
      <c r="AL850" s="62">
        <v>-8767.2750400000186</v>
      </c>
      <c r="AM850" s="62">
        <v>0</v>
      </c>
    </row>
    <row r="851" spans="1:39">
      <c r="A851" s="9">
        <v>99261</v>
      </c>
      <c r="B851" s="10" t="s">
        <v>2223</v>
      </c>
      <c r="C851" s="60">
        <v>1.9938E-3</v>
      </c>
      <c r="E851" s="62">
        <v>92902.757984908327</v>
      </c>
      <c r="F851" s="62">
        <v>839421.61779295816</v>
      </c>
      <c r="G851" s="62">
        <v>418028.8862259257</v>
      </c>
      <c r="H851" s="62">
        <v>-234997.37780000016</v>
      </c>
      <c r="I851" s="62">
        <v>0</v>
      </c>
      <c r="J851" s="62"/>
      <c r="K851" s="62">
        <v>-11996.694600000001</v>
      </c>
      <c r="L851" s="62">
        <v>25253.470799999999</v>
      </c>
      <c r="M851" s="62">
        <v>46858.287600000003</v>
      </c>
      <c r="N851" s="62">
        <v>29139.386999999999</v>
      </c>
      <c r="O851" s="62">
        <v>0</v>
      </c>
      <c r="P851" s="62"/>
      <c r="Q851" s="62">
        <v>43893.506999999998</v>
      </c>
      <c r="R851" s="62">
        <v>728215.51199999999</v>
      </c>
      <c r="S851" s="62">
        <v>278657.47560000001</v>
      </c>
      <c r="T851" s="62">
        <v>-311200.27919999999</v>
      </c>
      <c r="U851" s="62">
        <v>0</v>
      </c>
      <c r="V851" s="62"/>
      <c r="W851" s="62">
        <v>130149.28260000001</v>
      </c>
      <c r="X851" s="62">
        <v>130149.28260000001</v>
      </c>
      <c r="Y851" s="62">
        <v>119639.96279999999</v>
      </c>
      <c r="Z851" s="62">
        <v>55068.756000000001</v>
      </c>
      <c r="AA851" s="62">
        <v>0</v>
      </c>
      <c r="AB851" s="62"/>
      <c r="AC851" s="62">
        <v>0</v>
      </c>
      <c r="AD851" s="62">
        <v>0</v>
      </c>
      <c r="AE851" s="62">
        <v>0</v>
      </c>
      <c r="AF851" s="62">
        <v>0</v>
      </c>
      <c r="AG851" s="62">
        <v>0</v>
      </c>
      <c r="AH851" s="62"/>
      <c r="AI851" s="62">
        <v>-69143.337015091674</v>
      </c>
      <c r="AJ851" s="62">
        <v>-44196.647607041872</v>
      </c>
      <c r="AK851" s="62">
        <v>-27126.839774074248</v>
      </c>
      <c r="AL851" s="62">
        <v>-8005.2416000001613</v>
      </c>
      <c r="AM851" s="62">
        <v>0</v>
      </c>
    </row>
    <row r="852" spans="1:39">
      <c r="A852" s="9">
        <v>99271</v>
      </c>
      <c r="B852" s="10" t="s">
        <v>2224</v>
      </c>
      <c r="C852" s="60">
        <v>4.0137000000000003E-3</v>
      </c>
      <c r="E852" s="62">
        <v>280925.03906395106</v>
      </c>
      <c r="F852" s="62">
        <v>1736265.9075635364</v>
      </c>
      <c r="G852" s="62">
        <v>864462.02326452662</v>
      </c>
      <c r="H852" s="62">
        <v>-460244.67194000009</v>
      </c>
      <c r="I852" s="62">
        <v>0</v>
      </c>
      <c r="J852" s="62"/>
      <c r="K852" s="62">
        <v>-24150.4329</v>
      </c>
      <c r="L852" s="62">
        <v>50837.5242</v>
      </c>
      <c r="M852" s="62">
        <v>94329.977400000003</v>
      </c>
      <c r="N852" s="62">
        <v>58660.2255</v>
      </c>
      <c r="O852" s="62">
        <v>0</v>
      </c>
      <c r="P852" s="62"/>
      <c r="Q852" s="62">
        <v>88361.605500000005</v>
      </c>
      <c r="R852" s="62">
        <v>1465963.7880000002</v>
      </c>
      <c r="S852" s="62">
        <v>560962.73940000008</v>
      </c>
      <c r="T852" s="62">
        <v>-626474.35080000001</v>
      </c>
      <c r="U852" s="62">
        <v>0</v>
      </c>
      <c r="V852" s="62"/>
      <c r="W852" s="62">
        <v>262002.29490000001</v>
      </c>
      <c r="X852" s="62">
        <v>262002.29490000001</v>
      </c>
      <c r="Y852" s="62">
        <v>240846.0822</v>
      </c>
      <c r="Z852" s="62">
        <v>110858.394</v>
      </c>
      <c r="AA852" s="62">
        <v>0</v>
      </c>
      <c r="AB852" s="62"/>
      <c r="AC852" s="62">
        <v>0</v>
      </c>
      <c r="AD852" s="62">
        <v>0</v>
      </c>
      <c r="AE852" s="62">
        <v>0</v>
      </c>
      <c r="AF852" s="62">
        <v>0</v>
      </c>
      <c r="AG852" s="62">
        <v>0</v>
      </c>
      <c r="AH852" s="62"/>
      <c r="AI852" s="62">
        <v>-45288.428436048976</v>
      </c>
      <c r="AJ852" s="62">
        <v>-42537.699536463915</v>
      </c>
      <c r="AK852" s="62">
        <v>-31676.7757354735</v>
      </c>
      <c r="AL852" s="62">
        <v>-3288.9406400001135</v>
      </c>
      <c r="AM852" s="62">
        <v>0</v>
      </c>
    </row>
    <row r="853" spans="1:39">
      <c r="A853" s="9">
        <v>99281</v>
      </c>
      <c r="B853" s="10" t="s">
        <v>2225</v>
      </c>
      <c r="C853" s="60">
        <v>2.2918999999999999E-3</v>
      </c>
      <c r="E853" s="62">
        <v>148926.53799392685</v>
      </c>
      <c r="F853" s="62">
        <v>973555.57847334584</v>
      </c>
      <c r="G853" s="62">
        <v>481279.90639275708</v>
      </c>
      <c r="H853" s="62">
        <v>-272817.16342000006</v>
      </c>
      <c r="I853" s="62">
        <v>0</v>
      </c>
      <c r="J853" s="62"/>
      <c r="K853" s="62">
        <v>-13790.362299999999</v>
      </c>
      <c r="L853" s="62">
        <v>29029.205399999999</v>
      </c>
      <c r="M853" s="62">
        <v>53864.233800000002</v>
      </c>
      <c r="N853" s="62">
        <v>33496.118499999997</v>
      </c>
      <c r="O853" s="62">
        <v>0</v>
      </c>
      <c r="P853" s="62"/>
      <c r="Q853" s="62">
        <v>50456.178500000002</v>
      </c>
      <c r="R853" s="62">
        <v>837093.55599999998</v>
      </c>
      <c r="S853" s="62">
        <v>320320.52779999998</v>
      </c>
      <c r="T853" s="62">
        <v>-357728.91959999996</v>
      </c>
      <c r="U853" s="62">
        <v>0</v>
      </c>
      <c r="V853" s="62"/>
      <c r="W853" s="62">
        <v>149608.35629999998</v>
      </c>
      <c r="X853" s="62">
        <v>149608.35629999998</v>
      </c>
      <c r="Y853" s="62">
        <v>137527.75140000001</v>
      </c>
      <c r="Z853" s="62">
        <v>63302.277999999998</v>
      </c>
      <c r="AA853" s="62">
        <v>0</v>
      </c>
      <c r="AB853" s="62"/>
      <c r="AC853" s="62">
        <v>6742.8900000000012</v>
      </c>
      <c r="AD853" s="62">
        <v>0</v>
      </c>
      <c r="AE853" s="62">
        <v>0</v>
      </c>
      <c r="AF853" s="62">
        <v>0</v>
      </c>
      <c r="AG853" s="62">
        <v>0</v>
      </c>
      <c r="AH853" s="62"/>
      <c r="AI853" s="62">
        <v>-44090.524506073139</v>
      </c>
      <c r="AJ853" s="62">
        <v>-42175.539226654073</v>
      </c>
      <c r="AK853" s="62">
        <v>-30432.60660724292</v>
      </c>
      <c r="AL853" s="62">
        <v>-11886.640320000053</v>
      </c>
      <c r="AM853" s="62">
        <v>0</v>
      </c>
    </row>
    <row r="854" spans="1:39">
      <c r="A854" s="9">
        <v>99291</v>
      </c>
      <c r="B854" s="10" t="s">
        <v>2226</v>
      </c>
      <c r="C854" s="60">
        <v>7.3499999999999998E-4</v>
      </c>
      <c r="E854" s="62">
        <v>4276.1017027502239</v>
      </c>
      <c r="F854" s="62">
        <v>284300.8327020033</v>
      </c>
      <c r="G854" s="62">
        <v>137062.16140559671</v>
      </c>
      <c r="H854" s="62">
        <v>-97551.524679999973</v>
      </c>
      <c r="I854" s="62">
        <v>0</v>
      </c>
      <c r="J854" s="62"/>
      <c r="K854" s="62">
        <v>-4422.4949999999999</v>
      </c>
      <c r="L854" s="62">
        <v>9309.51</v>
      </c>
      <c r="M854" s="62">
        <v>17273.97</v>
      </c>
      <c r="N854" s="62">
        <v>10742.025</v>
      </c>
      <c r="O854" s="62">
        <v>0</v>
      </c>
      <c r="P854" s="62"/>
      <c r="Q854" s="62">
        <v>16181.025</v>
      </c>
      <c r="R854" s="62">
        <v>268451.39999999997</v>
      </c>
      <c r="S854" s="62">
        <v>102725.06999999999</v>
      </c>
      <c r="T854" s="62">
        <v>-114721.73999999999</v>
      </c>
      <c r="U854" s="62">
        <v>0</v>
      </c>
      <c r="V854" s="62"/>
      <c r="W854" s="62">
        <v>47978.595000000001</v>
      </c>
      <c r="X854" s="62">
        <v>47978.595000000001</v>
      </c>
      <c r="Y854" s="62">
        <v>44104.409999999996</v>
      </c>
      <c r="Z854" s="62">
        <v>20300.7</v>
      </c>
      <c r="AA854" s="62">
        <v>0</v>
      </c>
      <c r="AB854" s="62"/>
      <c r="AC854" s="62">
        <v>0</v>
      </c>
      <c r="AD854" s="62">
        <v>0</v>
      </c>
      <c r="AE854" s="62">
        <v>0</v>
      </c>
      <c r="AF854" s="62">
        <v>0</v>
      </c>
      <c r="AG854" s="62">
        <v>0</v>
      </c>
      <c r="AH854" s="62"/>
      <c r="AI854" s="62">
        <v>-55461.023297249776</v>
      </c>
      <c r="AJ854" s="62">
        <v>-41438.672297996673</v>
      </c>
      <c r="AK854" s="62">
        <v>-27041.288594403282</v>
      </c>
      <c r="AL854" s="62">
        <v>-13872.509679999981</v>
      </c>
      <c r="AM854" s="62">
        <v>0</v>
      </c>
    </row>
    <row r="855" spans="1:39">
      <c r="A855" s="9">
        <v>99301</v>
      </c>
      <c r="B855" s="10" t="s">
        <v>2227</v>
      </c>
      <c r="C855" s="60">
        <v>1.7879E-3</v>
      </c>
      <c r="E855" s="62">
        <v>183602.82119713436</v>
      </c>
      <c r="F855" s="62">
        <v>788811.03704800573</v>
      </c>
      <c r="G855" s="62">
        <v>382882.88725876546</v>
      </c>
      <c r="H855" s="62">
        <v>-219638.89453999995</v>
      </c>
      <c r="I855" s="62">
        <v>0</v>
      </c>
      <c r="J855" s="62"/>
      <c r="K855" s="62">
        <v>-10757.7943</v>
      </c>
      <c r="L855" s="62">
        <v>22645.541400000002</v>
      </c>
      <c r="M855" s="62">
        <v>42019.2258</v>
      </c>
      <c r="N855" s="62">
        <v>26130.158500000001</v>
      </c>
      <c r="O855" s="62">
        <v>0</v>
      </c>
      <c r="P855" s="62"/>
      <c r="Q855" s="62">
        <v>39360.618500000004</v>
      </c>
      <c r="R855" s="62">
        <v>653012.59600000002</v>
      </c>
      <c r="S855" s="62">
        <v>249880.4798</v>
      </c>
      <c r="T855" s="62">
        <v>-279062.58360000001</v>
      </c>
      <c r="U855" s="62">
        <v>0</v>
      </c>
      <c r="V855" s="62"/>
      <c r="W855" s="62">
        <v>116708.74830000001</v>
      </c>
      <c r="X855" s="62">
        <v>116708.74830000001</v>
      </c>
      <c r="Y855" s="62">
        <v>107284.7274</v>
      </c>
      <c r="Z855" s="62">
        <v>49381.798000000003</v>
      </c>
      <c r="AA855" s="62">
        <v>0</v>
      </c>
      <c r="AB855" s="62"/>
      <c r="AC855" s="62">
        <v>54627.514161825646</v>
      </c>
      <c r="AD855" s="62">
        <v>12780.416812697031</v>
      </c>
      <c r="AE855" s="62">
        <v>0</v>
      </c>
      <c r="AF855" s="62">
        <v>0</v>
      </c>
      <c r="AG855" s="62">
        <v>0</v>
      </c>
      <c r="AH855" s="62"/>
      <c r="AI855" s="62">
        <v>-16336.265464691309</v>
      </c>
      <c r="AJ855" s="62">
        <v>-16336.265464691309</v>
      </c>
      <c r="AK855" s="62">
        <v>-16301.545741234519</v>
      </c>
      <c r="AL855" s="62">
        <v>-16088.267439999943</v>
      </c>
      <c r="AM855" s="62">
        <v>0</v>
      </c>
    </row>
    <row r="856" spans="1:39">
      <c r="A856" s="9">
        <v>99304</v>
      </c>
      <c r="B856" s="10" t="s">
        <v>2228</v>
      </c>
      <c r="C856" s="60">
        <v>9.2E-6</v>
      </c>
      <c r="E856" s="62">
        <v>2120.9952273763292</v>
      </c>
      <c r="F856" s="62">
        <v>5593.9100962559969</v>
      </c>
      <c r="G856" s="62">
        <v>3027.2240153909461</v>
      </c>
      <c r="H856" s="62">
        <v>-498.59912000000008</v>
      </c>
      <c r="I856" s="62">
        <v>0</v>
      </c>
      <c r="J856" s="62"/>
      <c r="K856" s="62">
        <v>-55.356400000000001</v>
      </c>
      <c r="L856" s="62">
        <v>116.52719999999999</v>
      </c>
      <c r="M856" s="62">
        <v>216.2184</v>
      </c>
      <c r="N856" s="62">
        <v>134.458</v>
      </c>
      <c r="O856" s="62">
        <v>0</v>
      </c>
      <c r="P856" s="62"/>
      <c r="Q856" s="62">
        <v>202.53800000000001</v>
      </c>
      <c r="R856" s="62">
        <v>3360.2080000000001</v>
      </c>
      <c r="S856" s="62">
        <v>1285.8104000000001</v>
      </c>
      <c r="T856" s="62">
        <v>-1435.9728</v>
      </c>
      <c r="U856" s="62">
        <v>0</v>
      </c>
      <c r="V856" s="62"/>
      <c r="W856" s="62">
        <v>600.54840000000002</v>
      </c>
      <c r="X856" s="62">
        <v>600.54840000000002</v>
      </c>
      <c r="Y856" s="62">
        <v>552.05520000000001</v>
      </c>
      <c r="Z856" s="62">
        <v>254.10400000000001</v>
      </c>
      <c r="AA856" s="62">
        <v>0</v>
      </c>
      <c r="AB856" s="62"/>
      <c r="AC856" s="62">
        <v>1620.765227376329</v>
      </c>
      <c r="AD856" s="62">
        <v>1516.6264962559972</v>
      </c>
      <c r="AE856" s="62">
        <v>973.14001539094625</v>
      </c>
      <c r="AF856" s="62">
        <v>548.8116799999998</v>
      </c>
      <c r="AG856" s="62">
        <v>0</v>
      </c>
      <c r="AH856" s="62"/>
      <c r="AI856" s="62">
        <v>-247.50000000000006</v>
      </c>
      <c r="AJ856" s="62">
        <v>0</v>
      </c>
      <c r="AK856" s="62">
        <v>0</v>
      </c>
      <c r="AL856" s="62">
        <v>0</v>
      </c>
      <c r="AM856" s="62">
        <v>0</v>
      </c>
    </row>
    <row r="857" spans="1:39">
      <c r="A857" s="9">
        <v>99311</v>
      </c>
      <c r="B857" s="10" t="s">
        <v>2229</v>
      </c>
      <c r="C857" s="60">
        <v>5.4299999999999998E-5</v>
      </c>
      <c r="E857" s="62">
        <v>1212.8801673524276</v>
      </c>
      <c r="F857" s="62">
        <v>22434.303770754916</v>
      </c>
      <c r="G857" s="62">
        <v>10662.492943868314</v>
      </c>
      <c r="H857" s="62">
        <v>-6648.5003800000004</v>
      </c>
      <c r="I857" s="62">
        <v>0</v>
      </c>
      <c r="J857" s="62"/>
      <c r="K857" s="62">
        <v>-326.72309999999999</v>
      </c>
      <c r="L857" s="62">
        <v>687.76379999999995</v>
      </c>
      <c r="M857" s="62">
        <v>1276.1586</v>
      </c>
      <c r="N857" s="62">
        <v>793.59449999999993</v>
      </c>
      <c r="O857" s="62">
        <v>0</v>
      </c>
      <c r="P857" s="62"/>
      <c r="Q857" s="62">
        <v>1195.4144999999999</v>
      </c>
      <c r="R857" s="62">
        <v>19832.531999999999</v>
      </c>
      <c r="S857" s="62">
        <v>7589.0765999999994</v>
      </c>
      <c r="T857" s="62">
        <v>-8475.3611999999994</v>
      </c>
      <c r="U857" s="62">
        <v>0</v>
      </c>
      <c r="V857" s="62"/>
      <c r="W857" s="62">
        <v>3544.5410999999999</v>
      </c>
      <c r="X857" s="62">
        <v>3544.5410999999999</v>
      </c>
      <c r="Y857" s="62">
        <v>3258.3258000000001</v>
      </c>
      <c r="Z857" s="62">
        <v>1499.7659999999998</v>
      </c>
      <c r="AA857" s="62">
        <v>0</v>
      </c>
      <c r="AB857" s="62"/>
      <c r="AC857" s="62">
        <v>0</v>
      </c>
      <c r="AD857" s="62">
        <v>0</v>
      </c>
      <c r="AE857" s="62">
        <v>0</v>
      </c>
      <c r="AF857" s="62">
        <v>0</v>
      </c>
      <c r="AG857" s="62">
        <v>0</v>
      </c>
      <c r="AH857" s="62"/>
      <c r="AI857" s="62">
        <v>-3200.3523326475724</v>
      </c>
      <c r="AJ857" s="62">
        <v>-1630.533129245083</v>
      </c>
      <c r="AK857" s="62">
        <v>-1461.0680561316867</v>
      </c>
      <c r="AL857" s="62">
        <v>-466.49968000000086</v>
      </c>
      <c r="AM857" s="62">
        <v>0</v>
      </c>
    </row>
    <row r="858" spans="1:39">
      <c r="A858" s="9">
        <v>99321</v>
      </c>
      <c r="B858" s="10" t="s">
        <v>2230</v>
      </c>
      <c r="C858" s="60">
        <v>1.1E-4</v>
      </c>
      <c r="E858" s="62">
        <v>50804.786711858338</v>
      </c>
      <c r="F858" s="62">
        <v>77188.489677916441</v>
      </c>
      <c r="G858" s="62">
        <v>42328.657895720171</v>
      </c>
      <c r="H858" s="62">
        <v>-4448.8828800000001</v>
      </c>
      <c r="I858" s="62">
        <v>0</v>
      </c>
      <c r="J858" s="62"/>
      <c r="K858" s="62">
        <v>-661.87</v>
      </c>
      <c r="L858" s="62">
        <v>1393.26</v>
      </c>
      <c r="M858" s="62">
        <v>2585.2200000000003</v>
      </c>
      <c r="N858" s="62">
        <v>1607.65</v>
      </c>
      <c r="O858" s="62">
        <v>0</v>
      </c>
      <c r="P858" s="62"/>
      <c r="Q858" s="62">
        <v>2421.65</v>
      </c>
      <c r="R858" s="62">
        <v>40176.400000000001</v>
      </c>
      <c r="S858" s="62">
        <v>15373.82</v>
      </c>
      <c r="T858" s="62">
        <v>-17169.240000000002</v>
      </c>
      <c r="U858" s="62">
        <v>0</v>
      </c>
      <c r="V858" s="62"/>
      <c r="W858" s="62">
        <v>7180.47</v>
      </c>
      <c r="X858" s="62">
        <v>7180.47</v>
      </c>
      <c r="Y858" s="62">
        <v>6600.66</v>
      </c>
      <c r="Z858" s="62">
        <v>3038.2000000000003</v>
      </c>
      <c r="AA858" s="62">
        <v>0</v>
      </c>
      <c r="AB858" s="62"/>
      <c r="AC858" s="62">
        <v>41864.536711858338</v>
      </c>
      <c r="AD858" s="62">
        <v>28438.359677916436</v>
      </c>
      <c r="AE858" s="62">
        <v>17768.95789572017</v>
      </c>
      <c r="AF858" s="62">
        <v>8074.5071200000011</v>
      </c>
      <c r="AG858" s="62">
        <v>0</v>
      </c>
      <c r="AH858" s="62"/>
      <c r="AI858" s="62">
        <v>0</v>
      </c>
      <c r="AJ858" s="62">
        <v>0</v>
      </c>
      <c r="AK858" s="62">
        <v>0</v>
      </c>
      <c r="AL858" s="62">
        <v>0</v>
      </c>
      <c r="AM858" s="62">
        <v>0</v>
      </c>
    </row>
    <row r="859" spans="1:39">
      <c r="A859" s="9">
        <v>99401</v>
      </c>
      <c r="B859" s="10" t="s">
        <v>2231</v>
      </c>
      <c r="C859" s="60">
        <v>9.2389999999999996E-4</v>
      </c>
      <c r="E859" s="62">
        <v>97168.25945621678</v>
      </c>
      <c r="F859" s="62">
        <v>409686.71769455698</v>
      </c>
      <c r="G859" s="62">
        <v>205019.50475646096</v>
      </c>
      <c r="H859" s="62">
        <v>-109582.33925999994</v>
      </c>
      <c r="I859" s="62">
        <v>0</v>
      </c>
      <c r="J859" s="62"/>
      <c r="K859" s="62">
        <v>-5559.1062999999995</v>
      </c>
      <c r="L859" s="62">
        <v>11702.117399999999</v>
      </c>
      <c r="M859" s="62">
        <v>21713.497799999997</v>
      </c>
      <c r="N859" s="62">
        <v>13502.798499999999</v>
      </c>
      <c r="O859" s="62">
        <v>0</v>
      </c>
      <c r="P859" s="62"/>
      <c r="Q859" s="62">
        <v>20339.658499999998</v>
      </c>
      <c r="R859" s="62">
        <v>337445.23599999998</v>
      </c>
      <c r="S859" s="62">
        <v>129126.1118</v>
      </c>
      <c r="T859" s="62">
        <v>-144206.00759999998</v>
      </c>
      <c r="U859" s="62">
        <v>0</v>
      </c>
      <c r="V859" s="62"/>
      <c r="W859" s="62">
        <v>60309.420299999998</v>
      </c>
      <c r="X859" s="62">
        <v>60309.420299999998</v>
      </c>
      <c r="Y859" s="62">
        <v>55439.543399999995</v>
      </c>
      <c r="Z859" s="62">
        <v>25518.117999999999</v>
      </c>
      <c r="AA859" s="62">
        <v>0</v>
      </c>
      <c r="AB859" s="62"/>
      <c r="AC859" s="62">
        <v>26475.535116216735</v>
      </c>
      <c r="AD859" s="62">
        <v>4627.192154556983</v>
      </c>
      <c r="AE859" s="62">
        <v>3137.5999164609138</v>
      </c>
      <c r="AF859" s="62">
        <v>0</v>
      </c>
      <c r="AG859" s="62">
        <v>0</v>
      </c>
      <c r="AH859" s="62"/>
      <c r="AI859" s="62">
        <v>-4397.2481599999592</v>
      </c>
      <c r="AJ859" s="62">
        <v>-4397.2481599999592</v>
      </c>
      <c r="AK859" s="62">
        <v>-4397.2481599999592</v>
      </c>
      <c r="AL859" s="62">
        <v>-4397.2481599999592</v>
      </c>
      <c r="AM859" s="62">
        <v>0</v>
      </c>
    </row>
    <row r="860" spans="1:39">
      <c r="A860" s="9">
        <v>99404</v>
      </c>
      <c r="B860" s="10" t="s">
        <v>2232</v>
      </c>
      <c r="C860" s="60">
        <v>9.3999999999999998E-6</v>
      </c>
      <c r="E860" s="62">
        <v>1229.556168713352</v>
      </c>
      <c r="F860" s="62">
        <v>4544.2515753523558</v>
      </c>
      <c r="G860" s="62">
        <v>2406.4387998353914</v>
      </c>
      <c r="H860" s="62">
        <v>-888.25387999999919</v>
      </c>
      <c r="I860" s="62">
        <v>0</v>
      </c>
      <c r="J860" s="62"/>
      <c r="K860" s="62">
        <v>-56.559799999999996</v>
      </c>
      <c r="L860" s="62">
        <v>119.0604</v>
      </c>
      <c r="M860" s="62">
        <v>220.9188</v>
      </c>
      <c r="N860" s="62">
        <v>137.381</v>
      </c>
      <c r="O860" s="62">
        <v>0</v>
      </c>
      <c r="P860" s="62"/>
      <c r="Q860" s="62">
        <v>206.941</v>
      </c>
      <c r="R860" s="62">
        <v>3433.2559999999999</v>
      </c>
      <c r="S860" s="62">
        <v>1313.7628</v>
      </c>
      <c r="T860" s="62">
        <v>-1467.1895999999999</v>
      </c>
      <c r="U860" s="62">
        <v>0</v>
      </c>
      <c r="V860" s="62"/>
      <c r="W860" s="62">
        <v>613.60379999999998</v>
      </c>
      <c r="X860" s="62">
        <v>613.60379999999998</v>
      </c>
      <c r="Y860" s="62">
        <v>564.05639999999994</v>
      </c>
      <c r="Z860" s="62">
        <v>259.62799999999999</v>
      </c>
      <c r="AA860" s="62">
        <v>0</v>
      </c>
      <c r="AB860" s="62"/>
      <c r="AC860" s="62">
        <v>465.57116871335199</v>
      </c>
      <c r="AD860" s="62">
        <v>378.33137535235608</v>
      </c>
      <c r="AE860" s="62">
        <v>307.70079983539148</v>
      </c>
      <c r="AF860" s="62">
        <v>181.92672000000076</v>
      </c>
      <c r="AG860" s="62">
        <v>0</v>
      </c>
      <c r="AH860" s="62"/>
      <c r="AI860" s="62">
        <v>0</v>
      </c>
      <c r="AJ860" s="62">
        <v>0</v>
      </c>
      <c r="AK860" s="62">
        <v>0</v>
      </c>
      <c r="AL860" s="62">
        <v>0</v>
      </c>
      <c r="AM860" s="62">
        <v>0</v>
      </c>
    </row>
    <row r="861" spans="1:39">
      <c r="A861" s="9">
        <v>99405</v>
      </c>
      <c r="B861" s="10" t="s">
        <v>2233</v>
      </c>
      <c r="C861" s="60">
        <v>6.2700000000000006E-5</v>
      </c>
      <c r="E861" s="62">
        <v>11182.926918625413</v>
      </c>
      <c r="F861" s="62">
        <v>33704.336103687659</v>
      </c>
      <c r="G861" s="62">
        <v>17466.025557448564</v>
      </c>
      <c r="H861" s="62">
        <v>-4564.6163799999958</v>
      </c>
      <c r="I861" s="62">
        <v>0</v>
      </c>
      <c r="J861" s="62"/>
      <c r="K861" s="62">
        <v>-377.26590000000004</v>
      </c>
      <c r="L861" s="62">
        <v>794.15820000000008</v>
      </c>
      <c r="M861" s="62">
        <v>1473.5754000000002</v>
      </c>
      <c r="N861" s="62">
        <v>916.36050000000012</v>
      </c>
      <c r="O861" s="62">
        <v>0</v>
      </c>
      <c r="P861" s="62"/>
      <c r="Q861" s="62">
        <v>1380.3405000000002</v>
      </c>
      <c r="R861" s="62">
        <v>22900.548000000003</v>
      </c>
      <c r="S861" s="62">
        <v>8763.0774000000001</v>
      </c>
      <c r="T861" s="62">
        <v>-9786.4668000000001</v>
      </c>
      <c r="U861" s="62">
        <v>0</v>
      </c>
      <c r="V861" s="62"/>
      <c r="W861" s="62">
        <v>4092.8679000000002</v>
      </c>
      <c r="X861" s="62">
        <v>4092.8679000000002</v>
      </c>
      <c r="Y861" s="62">
        <v>3762.3762000000002</v>
      </c>
      <c r="Z861" s="62">
        <v>1731.7740000000001</v>
      </c>
      <c r="AA861" s="62">
        <v>0</v>
      </c>
      <c r="AB861" s="62"/>
      <c r="AC861" s="62">
        <v>6422.5944186254146</v>
      </c>
      <c r="AD861" s="62">
        <v>5916.762003687656</v>
      </c>
      <c r="AE861" s="62">
        <v>3466.9965574485641</v>
      </c>
      <c r="AF861" s="62">
        <v>2573.7159200000033</v>
      </c>
      <c r="AG861" s="62">
        <v>0</v>
      </c>
      <c r="AH861" s="62"/>
      <c r="AI861" s="62">
        <v>-335.61000000000007</v>
      </c>
      <c r="AJ861" s="62">
        <v>0</v>
      </c>
      <c r="AK861" s="62">
        <v>0</v>
      </c>
      <c r="AL861" s="62">
        <v>0</v>
      </c>
      <c r="AM861" s="62">
        <v>0</v>
      </c>
    </row>
    <row r="862" spans="1:39">
      <c r="A862" s="9">
        <v>99411</v>
      </c>
      <c r="B862" s="10" t="s">
        <v>2234</v>
      </c>
      <c r="C862" s="60">
        <v>1.583E-4</v>
      </c>
      <c r="E862" s="62">
        <v>21536.610912242551</v>
      </c>
      <c r="F862" s="62">
        <v>82789.820494898158</v>
      </c>
      <c r="G862" s="62">
        <v>45366.724280905371</v>
      </c>
      <c r="H862" s="62">
        <v>-11825.50037999999</v>
      </c>
      <c r="I862" s="62">
        <v>0</v>
      </c>
      <c r="J862" s="62"/>
      <c r="K862" s="62">
        <v>-952.49109999999996</v>
      </c>
      <c r="L862" s="62">
        <v>2005.0278000000001</v>
      </c>
      <c r="M862" s="62">
        <v>3720.3665999999998</v>
      </c>
      <c r="N862" s="62">
        <v>2313.5545000000002</v>
      </c>
      <c r="O862" s="62">
        <v>0</v>
      </c>
      <c r="P862" s="62"/>
      <c r="Q862" s="62">
        <v>3484.9744999999998</v>
      </c>
      <c r="R862" s="62">
        <v>57817.491999999998</v>
      </c>
      <c r="S862" s="62">
        <v>22124.3246</v>
      </c>
      <c r="T862" s="62">
        <v>-24708.0972</v>
      </c>
      <c r="U862" s="62">
        <v>0</v>
      </c>
      <c r="V862" s="62"/>
      <c r="W862" s="62">
        <v>10333.349099999999</v>
      </c>
      <c r="X862" s="62">
        <v>10333.349099999999</v>
      </c>
      <c r="Y862" s="62">
        <v>9498.9498000000003</v>
      </c>
      <c r="Z862" s="62">
        <v>4372.2460000000001</v>
      </c>
      <c r="AA862" s="62">
        <v>0</v>
      </c>
      <c r="AB862" s="62"/>
      <c r="AC862" s="62">
        <v>13070.338412242554</v>
      </c>
      <c r="AD862" s="62">
        <v>12633.951594898157</v>
      </c>
      <c r="AE862" s="62">
        <v>10023.083280905365</v>
      </c>
      <c r="AF862" s="62">
        <v>6196.7963200000086</v>
      </c>
      <c r="AG862" s="62">
        <v>0</v>
      </c>
      <c r="AH862" s="62"/>
      <c r="AI862" s="62">
        <v>-4399.5600000000013</v>
      </c>
      <c r="AJ862" s="62">
        <v>0</v>
      </c>
      <c r="AK862" s="62">
        <v>0</v>
      </c>
      <c r="AL862" s="62">
        <v>0</v>
      </c>
      <c r="AM862" s="62">
        <v>0</v>
      </c>
    </row>
    <row r="863" spans="1:39">
      <c r="A863" s="9">
        <v>99413</v>
      </c>
      <c r="B863" s="10" t="s">
        <v>2235</v>
      </c>
      <c r="C863" s="60">
        <v>3.1099999999999997E-5</v>
      </c>
      <c r="E863" s="62">
        <v>2729.8759997551333</v>
      </c>
      <c r="F863" s="62">
        <v>14070.69889851032</v>
      </c>
      <c r="G863" s="62">
        <v>7746.6401619753078</v>
      </c>
      <c r="H863" s="62">
        <v>-2103.4615799999988</v>
      </c>
      <c r="I863" s="62">
        <v>0</v>
      </c>
      <c r="J863" s="62"/>
      <c r="K863" s="62">
        <v>-187.12869999999998</v>
      </c>
      <c r="L863" s="62">
        <v>393.91259999999994</v>
      </c>
      <c r="M863" s="62">
        <v>730.91219999999998</v>
      </c>
      <c r="N863" s="62">
        <v>454.52649999999994</v>
      </c>
      <c r="O863" s="62">
        <v>0</v>
      </c>
      <c r="P863" s="62"/>
      <c r="Q863" s="62">
        <v>684.66649999999993</v>
      </c>
      <c r="R863" s="62">
        <v>11358.963999999998</v>
      </c>
      <c r="S863" s="62">
        <v>4346.5981999999995</v>
      </c>
      <c r="T863" s="62">
        <v>-4854.2123999999994</v>
      </c>
      <c r="U863" s="62">
        <v>0</v>
      </c>
      <c r="V863" s="62"/>
      <c r="W863" s="62">
        <v>2030.1146999999999</v>
      </c>
      <c r="X863" s="62">
        <v>2030.1146999999999</v>
      </c>
      <c r="Y863" s="62">
        <v>1866.1865999999998</v>
      </c>
      <c r="Z863" s="62">
        <v>858.98199999999997</v>
      </c>
      <c r="AA863" s="62">
        <v>0</v>
      </c>
      <c r="AB863" s="62"/>
      <c r="AC863" s="62">
        <v>1442.1923200000008</v>
      </c>
      <c r="AD863" s="62">
        <v>1437.2423200000007</v>
      </c>
      <c r="AE863" s="62">
        <v>1437.2423200000007</v>
      </c>
      <c r="AF863" s="62">
        <v>1437.2423200000007</v>
      </c>
      <c r="AG863" s="62">
        <v>0</v>
      </c>
      <c r="AH863" s="62"/>
      <c r="AI863" s="62">
        <v>-1239.9688202448667</v>
      </c>
      <c r="AJ863" s="62">
        <v>-1149.5347214896797</v>
      </c>
      <c r="AK863" s="62">
        <v>-634.29915802469191</v>
      </c>
      <c r="AL863" s="62">
        <v>0</v>
      </c>
      <c r="AM863" s="62">
        <v>0</v>
      </c>
    </row>
    <row r="864" spans="1:39">
      <c r="A864" s="9">
        <v>99421</v>
      </c>
      <c r="B864" s="10" t="s">
        <v>2236</v>
      </c>
      <c r="C864" s="60">
        <v>1.04E-5</v>
      </c>
      <c r="E864" s="62">
        <v>-278.95160565544825</v>
      </c>
      <c r="F864" s="62">
        <v>2809.2394700291989</v>
      </c>
      <c r="G864" s="62">
        <v>1053.6292740740737</v>
      </c>
      <c r="H864" s="62">
        <v>-1667.7456000000006</v>
      </c>
      <c r="I864" s="62">
        <v>0</v>
      </c>
      <c r="J864" s="62"/>
      <c r="K864" s="62">
        <v>-62.576800000000006</v>
      </c>
      <c r="L864" s="62">
        <v>131.72640000000001</v>
      </c>
      <c r="M864" s="62">
        <v>244.42080000000001</v>
      </c>
      <c r="N864" s="62">
        <v>151.99600000000001</v>
      </c>
      <c r="O864" s="62">
        <v>0</v>
      </c>
      <c r="P864" s="62"/>
      <c r="Q864" s="62">
        <v>228.95600000000002</v>
      </c>
      <c r="R864" s="62">
        <v>3798.4960000000001</v>
      </c>
      <c r="S864" s="62">
        <v>1453.5248000000001</v>
      </c>
      <c r="T864" s="62">
        <v>-1623.2736</v>
      </c>
      <c r="U864" s="62">
        <v>0</v>
      </c>
      <c r="V864" s="62"/>
      <c r="W864" s="62">
        <v>678.88080000000002</v>
      </c>
      <c r="X864" s="62">
        <v>678.88080000000002</v>
      </c>
      <c r="Y864" s="62">
        <v>624.06240000000003</v>
      </c>
      <c r="Z864" s="62">
        <v>287.24799999999999</v>
      </c>
      <c r="AA864" s="62">
        <v>0</v>
      </c>
      <c r="AB864" s="62"/>
      <c r="AC864" s="62">
        <v>764.2800000000002</v>
      </c>
      <c r="AD864" s="62">
        <v>0</v>
      </c>
      <c r="AE864" s="62">
        <v>0</v>
      </c>
      <c r="AF864" s="62">
        <v>0</v>
      </c>
      <c r="AG864" s="62">
        <v>0</v>
      </c>
      <c r="AH864" s="62"/>
      <c r="AI864" s="62">
        <v>-1888.4916056554484</v>
      </c>
      <c r="AJ864" s="62">
        <v>-1799.8637299708014</v>
      </c>
      <c r="AK864" s="62">
        <v>-1268.3787259259266</v>
      </c>
      <c r="AL864" s="62">
        <v>-483.71600000000086</v>
      </c>
      <c r="AM864" s="62">
        <v>0</v>
      </c>
    </row>
    <row r="865" spans="1:39">
      <c r="A865" s="9">
        <v>99431</v>
      </c>
      <c r="B865" s="10" t="s">
        <v>2237</v>
      </c>
      <c r="C865" s="60">
        <v>2.2200000000000001E-5</v>
      </c>
      <c r="E865" s="62">
        <v>1912.6769668828467</v>
      </c>
      <c r="F865" s="62">
        <v>8916.2132855550462</v>
      </c>
      <c r="G865" s="62">
        <v>4262.3931175308662</v>
      </c>
      <c r="H865" s="62">
        <v>-2948.954679999998</v>
      </c>
      <c r="I865" s="62">
        <v>0</v>
      </c>
      <c r="J865" s="62"/>
      <c r="K865" s="62">
        <v>-133.57740000000001</v>
      </c>
      <c r="L865" s="62">
        <v>281.18520000000001</v>
      </c>
      <c r="M865" s="62">
        <v>521.74440000000004</v>
      </c>
      <c r="N865" s="62">
        <v>324.45300000000003</v>
      </c>
      <c r="O865" s="62">
        <v>0</v>
      </c>
      <c r="P865" s="62"/>
      <c r="Q865" s="62">
        <v>488.733</v>
      </c>
      <c r="R865" s="62">
        <v>8108.3280000000004</v>
      </c>
      <c r="S865" s="62">
        <v>3102.7164000000002</v>
      </c>
      <c r="T865" s="62">
        <v>-3465.0648000000001</v>
      </c>
      <c r="U865" s="62">
        <v>0</v>
      </c>
      <c r="V865" s="62"/>
      <c r="W865" s="62">
        <v>1449.1494</v>
      </c>
      <c r="X865" s="62">
        <v>1449.1494</v>
      </c>
      <c r="Y865" s="62">
        <v>1332.1332</v>
      </c>
      <c r="Z865" s="62">
        <v>613.16399999999999</v>
      </c>
      <c r="AA865" s="62">
        <v>0</v>
      </c>
      <c r="AB865" s="62"/>
      <c r="AC865" s="62">
        <v>1071.1800000000003</v>
      </c>
      <c r="AD865" s="62">
        <v>0</v>
      </c>
      <c r="AE865" s="62">
        <v>0</v>
      </c>
      <c r="AF865" s="62">
        <v>0</v>
      </c>
      <c r="AG865" s="62">
        <v>0</v>
      </c>
      <c r="AH865" s="62"/>
      <c r="AI865" s="62">
        <v>-962.80803311715385</v>
      </c>
      <c r="AJ865" s="62">
        <v>-922.44931444495478</v>
      </c>
      <c r="AK865" s="62">
        <v>-694.20088246913406</v>
      </c>
      <c r="AL865" s="62">
        <v>-421.50687999999792</v>
      </c>
      <c r="AM865" s="62">
        <v>0</v>
      </c>
    </row>
    <row r="866" spans="1:39">
      <c r="A866" s="9">
        <v>99501</v>
      </c>
      <c r="B866" s="10" t="s">
        <v>2238</v>
      </c>
      <c r="C866" s="60">
        <v>1.6785000000000001E-3</v>
      </c>
      <c r="E866" s="62">
        <v>133002.48179708849</v>
      </c>
      <c r="F866" s="62">
        <v>739994.6454757608</v>
      </c>
      <c r="G866" s="62">
        <v>369699.7851967077</v>
      </c>
      <c r="H866" s="62">
        <v>-196471.80370000005</v>
      </c>
      <c r="I866" s="62">
        <v>0</v>
      </c>
      <c r="J866" s="62"/>
      <c r="K866" s="62">
        <v>-10099.5345</v>
      </c>
      <c r="L866" s="62">
        <v>21259.881000000001</v>
      </c>
      <c r="M866" s="62">
        <v>39448.107000000004</v>
      </c>
      <c r="N866" s="62">
        <v>24531.2775</v>
      </c>
      <c r="O866" s="62">
        <v>0</v>
      </c>
      <c r="P866" s="62"/>
      <c r="Q866" s="62">
        <v>36952.177500000005</v>
      </c>
      <c r="R866" s="62">
        <v>613055.34000000008</v>
      </c>
      <c r="S866" s="62">
        <v>234590.51700000002</v>
      </c>
      <c r="T866" s="62">
        <v>-261986.99400000001</v>
      </c>
      <c r="U866" s="62">
        <v>0</v>
      </c>
      <c r="V866" s="62"/>
      <c r="W866" s="62">
        <v>109567.44450000001</v>
      </c>
      <c r="X866" s="62">
        <v>109567.44450000001</v>
      </c>
      <c r="Y866" s="62">
        <v>100720.07100000001</v>
      </c>
      <c r="Z866" s="62">
        <v>46360.170000000006</v>
      </c>
      <c r="AA866" s="62">
        <v>0</v>
      </c>
      <c r="AB866" s="62"/>
      <c r="AC866" s="62">
        <v>1958.651497088515</v>
      </c>
      <c r="AD866" s="62">
        <v>1488.2371757607214</v>
      </c>
      <c r="AE866" s="62">
        <v>317.34739670777316</v>
      </c>
      <c r="AF866" s="62">
        <v>0</v>
      </c>
      <c r="AG866" s="62">
        <v>0</v>
      </c>
      <c r="AH866" s="62"/>
      <c r="AI866" s="62">
        <v>-5376.25720000004</v>
      </c>
      <c r="AJ866" s="62">
        <v>-5376.25720000004</v>
      </c>
      <c r="AK866" s="62">
        <v>-5376.25720000004</v>
      </c>
      <c r="AL866" s="62">
        <v>-5376.25720000004</v>
      </c>
      <c r="AM866" s="62">
        <v>0</v>
      </c>
    </row>
    <row r="867" spans="1:39">
      <c r="A867" s="9">
        <v>99502</v>
      </c>
      <c r="B867" s="10" t="s">
        <v>2239</v>
      </c>
      <c r="C867" s="60">
        <v>1.373E-4</v>
      </c>
      <c r="E867" s="62">
        <v>20616.123888342128</v>
      </c>
      <c r="F867" s="62">
        <v>69269.594770499811</v>
      </c>
      <c r="G867" s="62">
        <v>33623.263020905346</v>
      </c>
      <c r="H867" s="62">
        <v>-15155.54674</v>
      </c>
      <c r="I867" s="62">
        <v>0</v>
      </c>
      <c r="J867" s="62"/>
      <c r="K867" s="62">
        <v>-826.13409999999999</v>
      </c>
      <c r="L867" s="62">
        <v>1739.0418</v>
      </c>
      <c r="M867" s="62">
        <v>3226.8245999999999</v>
      </c>
      <c r="N867" s="62">
        <v>2006.6395</v>
      </c>
      <c r="O867" s="62">
        <v>0</v>
      </c>
      <c r="P867" s="62"/>
      <c r="Q867" s="62">
        <v>3022.6595000000002</v>
      </c>
      <c r="R867" s="62">
        <v>50147.452000000005</v>
      </c>
      <c r="S867" s="62">
        <v>19189.3226</v>
      </c>
      <c r="T867" s="62">
        <v>-21430.333200000001</v>
      </c>
      <c r="U867" s="62">
        <v>0</v>
      </c>
      <c r="V867" s="62"/>
      <c r="W867" s="62">
        <v>8962.5321000000004</v>
      </c>
      <c r="X867" s="62">
        <v>8962.5321000000004</v>
      </c>
      <c r="Y867" s="62">
        <v>8238.8238000000001</v>
      </c>
      <c r="Z867" s="62">
        <v>3792.2260000000001</v>
      </c>
      <c r="AA867" s="62">
        <v>0</v>
      </c>
      <c r="AB867" s="62"/>
      <c r="AC867" s="62">
        <v>9528.3463883421264</v>
      </c>
      <c r="AD867" s="62">
        <v>8420.5688704998047</v>
      </c>
      <c r="AE867" s="62">
        <v>2968.29202090535</v>
      </c>
      <c r="AF867" s="62">
        <v>475.92096000000021</v>
      </c>
      <c r="AG867" s="62">
        <v>0</v>
      </c>
      <c r="AH867" s="62"/>
      <c r="AI867" s="62">
        <v>-71.280000000000015</v>
      </c>
      <c r="AJ867" s="62">
        <v>0</v>
      </c>
      <c r="AK867" s="62">
        <v>0</v>
      </c>
      <c r="AL867" s="62">
        <v>0</v>
      </c>
      <c r="AM867" s="62">
        <v>0</v>
      </c>
    </row>
    <row r="868" spans="1:39">
      <c r="A868" s="9">
        <v>99508</v>
      </c>
      <c r="B868" s="10" t="s">
        <v>2240</v>
      </c>
      <c r="C868" s="60">
        <v>2.2099999999999998E-5</v>
      </c>
      <c r="E868" s="62">
        <v>817.53413555009035</v>
      </c>
      <c r="F868" s="62">
        <v>9425.6259388695908</v>
      </c>
      <c r="G868" s="62">
        <v>4739.0485951440314</v>
      </c>
      <c r="H868" s="62">
        <v>-2506.7074599999996</v>
      </c>
      <c r="I868" s="62">
        <v>0</v>
      </c>
      <c r="J868" s="62"/>
      <c r="K868" s="62">
        <v>-132.97569999999999</v>
      </c>
      <c r="L868" s="62">
        <v>279.91859999999997</v>
      </c>
      <c r="M868" s="62">
        <v>519.39419999999996</v>
      </c>
      <c r="N868" s="62">
        <v>322.99149999999997</v>
      </c>
      <c r="O868" s="62">
        <v>0</v>
      </c>
      <c r="P868" s="62"/>
      <c r="Q868" s="62">
        <v>486.53149999999999</v>
      </c>
      <c r="R868" s="62">
        <v>8071.8039999999992</v>
      </c>
      <c r="S868" s="62">
        <v>3088.7401999999997</v>
      </c>
      <c r="T868" s="62">
        <v>-3449.4563999999996</v>
      </c>
      <c r="U868" s="62">
        <v>0</v>
      </c>
      <c r="V868" s="62"/>
      <c r="W868" s="62">
        <v>1442.6216999999999</v>
      </c>
      <c r="X868" s="62">
        <v>1442.6216999999999</v>
      </c>
      <c r="Y868" s="62">
        <v>1326.1325999999999</v>
      </c>
      <c r="Z868" s="62">
        <v>610.40199999999993</v>
      </c>
      <c r="AA868" s="62">
        <v>0</v>
      </c>
      <c r="AB868" s="62"/>
      <c r="AC868" s="62">
        <v>9.3554399999997244</v>
      </c>
      <c r="AD868" s="62">
        <v>9.3554399999997244</v>
      </c>
      <c r="AE868" s="62">
        <v>9.3554399999997244</v>
      </c>
      <c r="AF868" s="62">
        <v>9.3554399999997244</v>
      </c>
      <c r="AG868" s="62">
        <v>0</v>
      </c>
      <c r="AH868" s="62"/>
      <c r="AI868" s="62">
        <v>-987.99880444990924</v>
      </c>
      <c r="AJ868" s="62">
        <v>-378.07380113040711</v>
      </c>
      <c r="AK868" s="62">
        <v>-204.57384485596765</v>
      </c>
      <c r="AL868" s="62">
        <v>0</v>
      </c>
      <c r="AM868" s="62">
        <v>0</v>
      </c>
    </row>
    <row r="869" spans="1:39">
      <c r="A869" s="9">
        <v>99509</v>
      </c>
      <c r="B869" s="10" t="s">
        <v>2241</v>
      </c>
      <c r="C869" s="60">
        <v>2.76E-5</v>
      </c>
      <c r="E869" s="62">
        <v>-2025.7713769916177</v>
      </c>
      <c r="F869" s="62">
        <v>11171.634245415022</v>
      </c>
      <c r="G869" s="62">
        <v>5449.0183100411514</v>
      </c>
      <c r="H869" s="62">
        <v>-3612.2239200000008</v>
      </c>
      <c r="I869" s="62">
        <v>0</v>
      </c>
      <c r="J869" s="62"/>
      <c r="K869" s="62">
        <v>-166.0692</v>
      </c>
      <c r="L869" s="62">
        <v>349.58159999999998</v>
      </c>
      <c r="M869" s="62">
        <v>648.65520000000004</v>
      </c>
      <c r="N869" s="62">
        <v>403.37400000000002</v>
      </c>
      <c r="O869" s="62">
        <v>0</v>
      </c>
      <c r="P869" s="62"/>
      <c r="Q869" s="62">
        <v>607.61400000000003</v>
      </c>
      <c r="R869" s="62">
        <v>10080.624</v>
      </c>
      <c r="S869" s="62">
        <v>3857.4312</v>
      </c>
      <c r="T869" s="62">
        <v>-4307.9183999999996</v>
      </c>
      <c r="U869" s="62">
        <v>0</v>
      </c>
      <c r="V869" s="62"/>
      <c r="W869" s="62">
        <v>1801.6451999999999</v>
      </c>
      <c r="X869" s="62">
        <v>1801.6451999999999</v>
      </c>
      <c r="Y869" s="62">
        <v>1656.1656</v>
      </c>
      <c r="Z869" s="62">
        <v>762.31200000000001</v>
      </c>
      <c r="AA869" s="62">
        <v>0</v>
      </c>
      <c r="AB869" s="62"/>
      <c r="AC869" s="62">
        <v>0</v>
      </c>
      <c r="AD869" s="62">
        <v>0</v>
      </c>
      <c r="AE869" s="62">
        <v>0</v>
      </c>
      <c r="AF869" s="62">
        <v>0</v>
      </c>
      <c r="AG869" s="62">
        <v>0</v>
      </c>
      <c r="AH869" s="62"/>
      <c r="AI869" s="62">
        <v>-4268.9613769916177</v>
      </c>
      <c r="AJ869" s="62">
        <v>-1060.216554584978</v>
      </c>
      <c r="AK869" s="62">
        <v>-713.23368995884914</v>
      </c>
      <c r="AL869" s="62">
        <v>-469.99152000000106</v>
      </c>
      <c r="AM869" s="62">
        <v>0</v>
      </c>
    </row>
    <row r="870" spans="1:39">
      <c r="A870" s="9">
        <v>99511</v>
      </c>
      <c r="B870" s="10" t="s">
        <v>2242</v>
      </c>
      <c r="C870" s="60">
        <v>1.4048999999999999E-3</v>
      </c>
      <c r="E870" s="62">
        <v>83616.685666676436</v>
      </c>
      <c r="F870" s="62">
        <v>600291.5519306598</v>
      </c>
      <c r="G870" s="62">
        <v>291856.42297810677</v>
      </c>
      <c r="H870" s="62">
        <v>-166109.39594000016</v>
      </c>
      <c r="I870" s="62">
        <v>0</v>
      </c>
      <c r="J870" s="62"/>
      <c r="K870" s="62">
        <v>-8453.2832999999991</v>
      </c>
      <c r="L870" s="62">
        <v>17794.463400000001</v>
      </c>
      <c r="M870" s="62">
        <v>33017.959799999997</v>
      </c>
      <c r="N870" s="62">
        <v>20532.613499999999</v>
      </c>
      <c r="O870" s="62">
        <v>0</v>
      </c>
      <c r="P870" s="62"/>
      <c r="Q870" s="62">
        <v>30928.873499999998</v>
      </c>
      <c r="R870" s="62">
        <v>513125.67599999998</v>
      </c>
      <c r="S870" s="62">
        <v>196351.63379999998</v>
      </c>
      <c r="T870" s="62">
        <v>-219282.41159999999</v>
      </c>
      <c r="U870" s="62">
        <v>0</v>
      </c>
      <c r="V870" s="62"/>
      <c r="W870" s="62">
        <v>91707.657299999992</v>
      </c>
      <c r="X870" s="62">
        <v>91707.657299999992</v>
      </c>
      <c r="Y870" s="62">
        <v>84302.429399999994</v>
      </c>
      <c r="Z870" s="62">
        <v>38803.337999999996</v>
      </c>
      <c r="AA870" s="62">
        <v>0</v>
      </c>
      <c r="AB870" s="62"/>
      <c r="AC870" s="62">
        <v>2472.5163112033424</v>
      </c>
      <c r="AD870" s="62">
        <v>2027.4633751867416</v>
      </c>
      <c r="AE870" s="62">
        <v>0</v>
      </c>
      <c r="AF870" s="62">
        <v>0</v>
      </c>
      <c r="AG870" s="62">
        <v>0</v>
      </c>
      <c r="AH870" s="62"/>
      <c r="AI870" s="62">
        <v>-33039.078144526909</v>
      </c>
      <c r="AJ870" s="62">
        <v>-24363.70814452691</v>
      </c>
      <c r="AK870" s="62">
        <v>-21815.600021893173</v>
      </c>
      <c r="AL870" s="62">
        <v>-6162.9358400001656</v>
      </c>
      <c r="AM870" s="62">
        <v>0</v>
      </c>
    </row>
    <row r="871" spans="1:39">
      <c r="A871" s="9">
        <v>99521</v>
      </c>
      <c r="B871" s="10" t="s">
        <v>2243</v>
      </c>
      <c r="C871" s="60">
        <v>4.2700000000000002E-4</v>
      </c>
      <c r="E871" s="62">
        <v>29616.182885300932</v>
      </c>
      <c r="F871" s="62">
        <v>183776.48624496901</v>
      </c>
      <c r="G871" s="62">
        <v>92013.560955061708</v>
      </c>
      <c r="H871" s="62">
        <v>-48288.173240000018</v>
      </c>
      <c r="I871" s="62">
        <v>0</v>
      </c>
      <c r="J871" s="62"/>
      <c r="K871" s="62">
        <v>-2569.259</v>
      </c>
      <c r="L871" s="62">
        <v>5408.3820000000005</v>
      </c>
      <c r="M871" s="62">
        <v>10035.354000000001</v>
      </c>
      <c r="N871" s="62">
        <v>6240.6050000000005</v>
      </c>
      <c r="O871" s="62">
        <v>0</v>
      </c>
      <c r="P871" s="62"/>
      <c r="Q871" s="62">
        <v>9400.4050000000007</v>
      </c>
      <c r="R871" s="62">
        <v>155957.48000000001</v>
      </c>
      <c r="S871" s="62">
        <v>59678.374000000003</v>
      </c>
      <c r="T871" s="62">
        <v>-66647.868000000002</v>
      </c>
      <c r="U871" s="62">
        <v>0</v>
      </c>
      <c r="V871" s="62"/>
      <c r="W871" s="62">
        <v>27873.279000000002</v>
      </c>
      <c r="X871" s="62">
        <v>27873.279000000002</v>
      </c>
      <c r="Y871" s="62">
        <v>25622.562000000002</v>
      </c>
      <c r="Z871" s="62">
        <v>11793.74</v>
      </c>
      <c r="AA871" s="62">
        <v>0</v>
      </c>
      <c r="AB871" s="62"/>
      <c r="AC871" s="62">
        <v>1039.139759999983</v>
      </c>
      <c r="AD871" s="62">
        <v>325.34975999998278</v>
      </c>
      <c r="AE871" s="62">
        <v>325.34975999998278</v>
      </c>
      <c r="AF871" s="62">
        <v>325.34975999998278</v>
      </c>
      <c r="AG871" s="62">
        <v>0</v>
      </c>
      <c r="AH871" s="62"/>
      <c r="AI871" s="62">
        <v>-6127.3818746990546</v>
      </c>
      <c r="AJ871" s="62">
        <v>-5788.0045150310034</v>
      </c>
      <c r="AK871" s="62">
        <v>-3648.0788049382772</v>
      </c>
      <c r="AL871" s="62">
        <v>0</v>
      </c>
      <c r="AM871" s="62">
        <v>0</v>
      </c>
    </row>
    <row r="872" spans="1:39">
      <c r="A872" s="9">
        <v>99527</v>
      </c>
      <c r="B872" s="10" t="s">
        <v>2244</v>
      </c>
      <c r="C872" s="60">
        <v>1.19E-5</v>
      </c>
      <c r="E872" s="62">
        <v>1555.7079197763101</v>
      </c>
      <c r="F872" s="62">
        <v>5596.3057056684265</v>
      </c>
      <c r="G872" s="62">
        <v>2807.9401121810706</v>
      </c>
      <c r="H872" s="62">
        <v>-1292.6863799999996</v>
      </c>
      <c r="I872" s="62">
        <v>0</v>
      </c>
      <c r="J872" s="62"/>
      <c r="K872" s="62">
        <v>-71.6023</v>
      </c>
      <c r="L872" s="62">
        <v>150.72540000000001</v>
      </c>
      <c r="M872" s="62">
        <v>279.67379999999997</v>
      </c>
      <c r="N872" s="62">
        <v>173.91849999999999</v>
      </c>
      <c r="O872" s="62">
        <v>0</v>
      </c>
      <c r="P872" s="62"/>
      <c r="Q872" s="62">
        <v>261.9785</v>
      </c>
      <c r="R872" s="62">
        <v>4346.3559999999998</v>
      </c>
      <c r="S872" s="62">
        <v>1663.1677999999999</v>
      </c>
      <c r="T872" s="62">
        <v>-1857.3996</v>
      </c>
      <c r="U872" s="62">
        <v>0</v>
      </c>
      <c r="V872" s="62"/>
      <c r="W872" s="62">
        <v>776.79629999999997</v>
      </c>
      <c r="X872" s="62">
        <v>776.79629999999997</v>
      </c>
      <c r="Y872" s="62">
        <v>714.07139999999993</v>
      </c>
      <c r="Z872" s="62">
        <v>328.678</v>
      </c>
      <c r="AA872" s="62">
        <v>0</v>
      </c>
      <c r="AB872" s="62"/>
      <c r="AC872" s="62">
        <v>588.53541977631005</v>
      </c>
      <c r="AD872" s="62">
        <v>322.42800566842618</v>
      </c>
      <c r="AE872" s="62">
        <v>151.02711218107041</v>
      </c>
      <c r="AF872" s="62">
        <v>62.116720000000534</v>
      </c>
      <c r="AG872" s="62">
        <v>0</v>
      </c>
      <c r="AH872" s="62"/>
      <c r="AI872" s="62">
        <v>0</v>
      </c>
      <c r="AJ872" s="62">
        <v>0</v>
      </c>
      <c r="AK872" s="62">
        <v>0</v>
      </c>
      <c r="AL872" s="62">
        <v>0</v>
      </c>
      <c r="AM872" s="62">
        <v>0</v>
      </c>
    </row>
    <row r="873" spans="1:39">
      <c r="A873" s="9">
        <v>99531</v>
      </c>
      <c r="B873" s="10" t="s">
        <v>2245</v>
      </c>
      <c r="C873" s="60">
        <v>9.3499999999999996E-5</v>
      </c>
      <c r="E873" s="62">
        <v>26316.74193572154</v>
      </c>
      <c r="F873" s="62">
        <v>58914.26753489166</v>
      </c>
      <c r="G873" s="62">
        <v>33252.719497777784</v>
      </c>
      <c r="H873" s="62">
        <v>-3762.873179999996</v>
      </c>
      <c r="I873" s="62">
        <v>0</v>
      </c>
      <c r="J873" s="62"/>
      <c r="K873" s="62">
        <v>-562.58949999999993</v>
      </c>
      <c r="L873" s="62">
        <v>1184.271</v>
      </c>
      <c r="M873" s="62">
        <v>2197.4369999999999</v>
      </c>
      <c r="N873" s="62">
        <v>1366.5024999999998</v>
      </c>
      <c r="O873" s="62">
        <v>0</v>
      </c>
      <c r="P873" s="62"/>
      <c r="Q873" s="62">
        <v>2058.4024999999997</v>
      </c>
      <c r="R873" s="62">
        <v>34149.939999999995</v>
      </c>
      <c r="S873" s="62">
        <v>13067.746999999999</v>
      </c>
      <c r="T873" s="62">
        <v>-14593.853999999999</v>
      </c>
      <c r="U873" s="62">
        <v>0</v>
      </c>
      <c r="V873" s="62"/>
      <c r="W873" s="62">
        <v>6103.3994999999995</v>
      </c>
      <c r="X873" s="62">
        <v>6103.3994999999995</v>
      </c>
      <c r="Y873" s="62">
        <v>5610.5609999999997</v>
      </c>
      <c r="Z873" s="62">
        <v>2582.4699999999998</v>
      </c>
      <c r="AA873" s="62">
        <v>0</v>
      </c>
      <c r="AB873" s="62"/>
      <c r="AC873" s="62">
        <v>18717.529435721539</v>
      </c>
      <c r="AD873" s="62">
        <v>17476.657034891665</v>
      </c>
      <c r="AE873" s="62">
        <v>12376.974497777786</v>
      </c>
      <c r="AF873" s="62">
        <v>6882.0083200000036</v>
      </c>
      <c r="AG873" s="62">
        <v>0</v>
      </c>
      <c r="AH873" s="62"/>
      <c r="AI873" s="62">
        <v>0</v>
      </c>
      <c r="AJ873" s="62">
        <v>0</v>
      </c>
      <c r="AK873" s="62">
        <v>0</v>
      </c>
      <c r="AL873" s="62">
        <v>0</v>
      </c>
      <c r="AM873" s="62">
        <v>0</v>
      </c>
    </row>
    <row r="874" spans="1:39">
      <c r="A874" s="9">
        <v>99601</v>
      </c>
      <c r="B874" s="10" t="s">
        <v>2246</v>
      </c>
      <c r="C874" s="60">
        <v>5.7812000000000002E-3</v>
      </c>
      <c r="E874" s="62">
        <v>525093.30578139843</v>
      </c>
      <c r="F874" s="62">
        <v>2618523.6816022284</v>
      </c>
      <c r="G874" s="62">
        <v>1332879.9451337454</v>
      </c>
      <c r="H874" s="62">
        <v>-595613.87279999955</v>
      </c>
      <c r="I874" s="62">
        <v>0</v>
      </c>
      <c r="J874" s="62"/>
      <c r="K874" s="62">
        <v>-34785.4804</v>
      </c>
      <c r="L874" s="62">
        <v>73224.679199999999</v>
      </c>
      <c r="M874" s="62">
        <v>135869.76240000001</v>
      </c>
      <c r="N874" s="62">
        <v>84492.237999999998</v>
      </c>
      <c r="O874" s="62">
        <v>0</v>
      </c>
      <c r="P874" s="62"/>
      <c r="Q874" s="62">
        <v>127273.118</v>
      </c>
      <c r="R874" s="62">
        <v>2111525.4879999999</v>
      </c>
      <c r="S874" s="62">
        <v>807992.07440000004</v>
      </c>
      <c r="T874" s="62">
        <v>-902352.82079999999</v>
      </c>
      <c r="U874" s="62">
        <v>0</v>
      </c>
      <c r="V874" s="62"/>
      <c r="W874" s="62">
        <v>377379.39240000001</v>
      </c>
      <c r="X874" s="62">
        <v>377379.39240000001</v>
      </c>
      <c r="Y874" s="62">
        <v>346906.68719999999</v>
      </c>
      <c r="Z874" s="62">
        <v>159676.74400000001</v>
      </c>
      <c r="AA874" s="62">
        <v>0</v>
      </c>
      <c r="AB874" s="62"/>
      <c r="AC874" s="62">
        <v>84049.431439834399</v>
      </c>
      <c r="AD874" s="62">
        <v>80183.127660664308</v>
      </c>
      <c r="AE874" s="62">
        <v>62569.966000000481</v>
      </c>
      <c r="AF874" s="62">
        <v>62569.966000000481</v>
      </c>
      <c r="AG874" s="62">
        <v>0</v>
      </c>
      <c r="AH874" s="62"/>
      <c r="AI874" s="62">
        <v>-28823.155658436044</v>
      </c>
      <c r="AJ874" s="62">
        <v>-23789.005658436043</v>
      </c>
      <c r="AK874" s="62">
        <v>-20458.544866255004</v>
      </c>
      <c r="AL874" s="62">
        <v>0</v>
      </c>
      <c r="AM874" s="62">
        <v>0</v>
      </c>
    </row>
    <row r="875" spans="1:39">
      <c r="A875" s="9">
        <v>99602</v>
      </c>
      <c r="B875" s="10" t="s">
        <v>2247</v>
      </c>
      <c r="C875" s="60">
        <v>6.19E-5</v>
      </c>
      <c r="E875" s="62">
        <v>6349.831745389065</v>
      </c>
      <c r="F875" s="62">
        <v>30599.952871530142</v>
      </c>
      <c r="G875" s="62">
        <v>15917.472737530863</v>
      </c>
      <c r="H875" s="62">
        <v>-5390.7876600000027</v>
      </c>
      <c r="I875" s="62">
        <v>0</v>
      </c>
      <c r="J875" s="62"/>
      <c r="K875" s="62">
        <v>-372.45229999999998</v>
      </c>
      <c r="L875" s="62">
        <v>784.02539999999999</v>
      </c>
      <c r="M875" s="62">
        <v>1454.7737999999999</v>
      </c>
      <c r="N875" s="62">
        <v>904.66849999999999</v>
      </c>
      <c r="O875" s="62">
        <v>0</v>
      </c>
      <c r="P875" s="62"/>
      <c r="Q875" s="62">
        <v>1362.7284999999999</v>
      </c>
      <c r="R875" s="62">
        <v>22608.356</v>
      </c>
      <c r="S875" s="62">
        <v>8651.2677999999996</v>
      </c>
      <c r="T875" s="62">
        <v>-9661.5995999999996</v>
      </c>
      <c r="U875" s="62">
        <v>0</v>
      </c>
      <c r="V875" s="62"/>
      <c r="W875" s="62">
        <v>4040.6462999999999</v>
      </c>
      <c r="X875" s="62">
        <v>4040.6462999999999</v>
      </c>
      <c r="Y875" s="62">
        <v>3714.3714</v>
      </c>
      <c r="Z875" s="62">
        <v>1709.6780000000001</v>
      </c>
      <c r="AA875" s="62">
        <v>0</v>
      </c>
      <c r="AB875" s="62"/>
      <c r="AC875" s="62">
        <v>3386.0292453890661</v>
      </c>
      <c r="AD875" s="62">
        <v>3166.9251715301452</v>
      </c>
      <c r="AE875" s="62">
        <v>2097.0597375308625</v>
      </c>
      <c r="AF875" s="62">
        <v>1656.465439999997</v>
      </c>
      <c r="AG875" s="62">
        <v>0</v>
      </c>
      <c r="AH875" s="62"/>
      <c r="AI875" s="62">
        <v>-2067.1200000000003</v>
      </c>
      <c r="AJ875" s="62">
        <v>0</v>
      </c>
      <c r="AK875" s="62">
        <v>0</v>
      </c>
      <c r="AL875" s="62">
        <v>0</v>
      </c>
      <c r="AM875" s="62">
        <v>0</v>
      </c>
    </row>
    <row r="876" spans="1:39">
      <c r="A876" s="9">
        <v>99603</v>
      </c>
      <c r="B876" s="10" t="s">
        <v>2248</v>
      </c>
      <c r="C876" s="60">
        <v>1.615E-4</v>
      </c>
      <c r="E876" s="62">
        <v>50487.109707614363</v>
      </c>
      <c r="F876" s="62">
        <v>104562.82628188824</v>
      </c>
      <c r="G876" s="62">
        <v>55289.344630123465</v>
      </c>
      <c r="H876" s="62">
        <v>-12532.644459999994</v>
      </c>
      <c r="I876" s="62">
        <v>0</v>
      </c>
      <c r="J876" s="62"/>
      <c r="K876" s="62">
        <v>-971.74549999999999</v>
      </c>
      <c r="L876" s="62">
        <v>2045.559</v>
      </c>
      <c r="M876" s="62">
        <v>3795.5729999999999</v>
      </c>
      <c r="N876" s="62">
        <v>2360.3224999999998</v>
      </c>
      <c r="O876" s="62">
        <v>0</v>
      </c>
      <c r="P876" s="62"/>
      <c r="Q876" s="62">
        <v>3555.4224999999997</v>
      </c>
      <c r="R876" s="62">
        <v>58986.259999999995</v>
      </c>
      <c r="S876" s="62">
        <v>22571.562999999998</v>
      </c>
      <c r="T876" s="62">
        <v>-25207.565999999999</v>
      </c>
      <c r="U876" s="62">
        <v>0</v>
      </c>
      <c r="V876" s="62"/>
      <c r="W876" s="62">
        <v>10542.235499999999</v>
      </c>
      <c r="X876" s="62">
        <v>10542.235499999999</v>
      </c>
      <c r="Y876" s="62">
        <v>9690.9689999999991</v>
      </c>
      <c r="Z876" s="62">
        <v>4460.63</v>
      </c>
      <c r="AA876" s="62">
        <v>0</v>
      </c>
      <c r="AB876" s="62"/>
      <c r="AC876" s="62">
        <v>37361.197207614365</v>
      </c>
      <c r="AD876" s="62">
        <v>32988.77178188823</v>
      </c>
      <c r="AE876" s="62">
        <v>19231.239630123469</v>
      </c>
      <c r="AF876" s="62">
        <v>5853.9690400000054</v>
      </c>
      <c r="AG876" s="62">
        <v>0</v>
      </c>
      <c r="AH876" s="62"/>
      <c r="AI876" s="62">
        <v>0</v>
      </c>
      <c r="AJ876" s="62">
        <v>0</v>
      </c>
      <c r="AK876" s="62">
        <v>0</v>
      </c>
      <c r="AL876" s="62">
        <v>0</v>
      </c>
      <c r="AM876" s="62">
        <v>0</v>
      </c>
    </row>
    <row r="877" spans="1:39">
      <c r="A877" s="9">
        <v>99604</v>
      </c>
      <c r="B877" s="10" t="s">
        <v>2249</v>
      </c>
      <c r="C877" s="60">
        <v>1.009E-4</v>
      </c>
      <c r="E877" s="62">
        <v>17648.505278034601</v>
      </c>
      <c r="F877" s="62">
        <v>50582.572422018005</v>
      </c>
      <c r="G877" s="62">
        <v>25862.845632674904</v>
      </c>
      <c r="H877" s="62">
        <v>-9605.584019999993</v>
      </c>
      <c r="I877" s="62">
        <v>0</v>
      </c>
      <c r="J877" s="62"/>
      <c r="K877" s="62">
        <v>-607.11530000000005</v>
      </c>
      <c r="L877" s="62">
        <v>1277.9993999999999</v>
      </c>
      <c r="M877" s="62">
        <v>2371.3517999999999</v>
      </c>
      <c r="N877" s="62">
        <v>1474.6534999999999</v>
      </c>
      <c r="O877" s="62">
        <v>0</v>
      </c>
      <c r="P877" s="62"/>
      <c r="Q877" s="62">
        <v>2221.3135000000002</v>
      </c>
      <c r="R877" s="62">
        <v>36852.716</v>
      </c>
      <c r="S877" s="62">
        <v>14101.9858</v>
      </c>
      <c r="T877" s="62">
        <v>-15748.875599999999</v>
      </c>
      <c r="U877" s="62">
        <v>0</v>
      </c>
      <c r="V877" s="62"/>
      <c r="W877" s="62">
        <v>6586.4493000000002</v>
      </c>
      <c r="X877" s="62">
        <v>6586.4493000000002</v>
      </c>
      <c r="Y877" s="62">
        <v>6054.6054000000004</v>
      </c>
      <c r="Z877" s="62">
        <v>2786.8580000000002</v>
      </c>
      <c r="AA877" s="62">
        <v>0</v>
      </c>
      <c r="AB877" s="62"/>
      <c r="AC877" s="62">
        <v>9447.8577780345986</v>
      </c>
      <c r="AD877" s="62">
        <v>5865.4077220180034</v>
      </c>
      <c r="AE877" s="62">
        <v>3334.9026326749054</v>
      </c>
      <c r="AF877" s="62">
        <v>1881.7800800000055</v>
      </c>
      <c r="AG877" s="62">
        <v>0</v>
      </c>
      <c r="AH877" s="62"/>
      <c r="AI877" s="62">
        <v>0</v>
      </c>
      <c r="AJ877" s="62">
        <v>0</v>
      </c>
      <c r="AK877" s="62">
        <v>0</v>
      </c>
      <c r="AL877" s="62">
        <v>0</v>
      </c>
      <c r="AM877" s="62">
        <v>0</v>
      </c>
    </row>
    <row r="878" spans="1:39">
      <c r="A878" s="9">
        <v>99609</v>
      </c>
      <c r="B878" s="10" t="s">
        <v>2250</v>
      </c>
      <c r="C878" s="60">
        <v>1.52E-5</v>
      </c>
      <c r="E878" s="62">
        <v>2918.0153682973901</v>
      </c>
      <c r="F878" s="62">
        <v>7321.428727633489</v>
      </c>
      <c r="G878" s="62">
        <v>3538.3749193415647</v>
      </c>
      <c r="H878" s="62">
        <v>-2111.3675999999991</v>
      </c>
      <c r="I878" s="62">
        <v>0</v>
      </c>
      <c r="J878" s="62"/>
      <c r="K878" s="62">
        <v>-91.458399999999997</v>
      </c>
      <c r="L878" s="62">
        <v>192.5232</v>
      </c>
      <c r="M878" s="62">
        <v>357.23040000000003</v>
      </c>
      <c r="N878" s="62">
        <v>222.148</v>
      </c>
      <c r="O878" s="62">
        <v>0</v>
      </c>
      <c r="P878" s="62"/>
      <c r="Q878" s="62">
        <v>334.62799999999999</v>
      </c>
      <c r="R878" s="62">
        <v>5551.6480000000001</v>
      </c>
      <c r="S878" s="62">
        <v>2124.3824</v>
      </c>
      <c r="T878" s="62">
        <v>-2372.4767999999999</v>
      </c>
      <c r="U878" s="62">
        <v>0</v>
      </c>
      <c r="V878" s="62"/>
      <c r="W878" s="62">
        <v>992.21040000000005</v>
      </c>
      <c r="X878" s="62">
        <v>992.21040000000005</v>
      </c>
      <c r="Y878" s="62">
        <v>912.09119999999996</v>
      </c>
      <c r="Z878" s="62">
        <v>419.82400000000001</v>
      </c>
      <c r="AA878" s="62">
        <v>0</v>
      </c>
      <c r="AB878" s="62"/>
      <c r="AC878" s="62">
        <v>2063.4981682973894</v>
      </c>
      <c r="AD878" s="62">
        <v>965.90992763348913</v>
      </c>
      <c r="AE878" s="62">
        <v>525.53371934156451</v>
      </c>
      <c r="AF878" s="62">
        <v>0</v>
      </c>
      <c r="AG878" s="62">
        <v>0</v>
      </c>
      <c r="AH878" s="62"/>
      <c r="AI878" s="62">
        <v>-380.86279999999954</v>
      </c>
      <c r="AJ878" s="62">
        <v>-380.86279999999954</v>
      </c>
      <c r="AK878" s="62">
        <v>-380.86279999999954</v>
      </c>
      <c r="AL878" s="62">
        <v>-380.86279999999954</v>
      </c>
      <c r="AM878" s="62">
        <v>0</v>
      </c>
    </row>
    <row r="879" spans="1:39">
      <c r="A879" s="9">
        <v>99610</v>
      </c>
      <c r="B879" s="10" t="s">
        <v>2251</v>
      </c>
      <c r="C879" s="60">
        <v>1.9440000000000001E-4</v>
      </c>
      <c r="E879" s="62">
        <v>16362.234837167494</v>
      </c>
      <c r="F879" s="62">
        <v>85403.072457914386</v>
      </c>
      <c r="G879" s="62">
        <v>42969.447634732511</v>
      </c>
      <c r="H879" s="62">
        <v>-22961.497520000001</v>
      </c>
      <c r="I879" s="62">
        <v>0</v>
      </c>
      <c r="J879" s="62"/>
      <c r="K879" s="62">
        <v>-1169.7048</v>
      </c>
      <c r="L879" s="62">
        <v>2462.2704000000003</v>
      </c>
      <c r="M879" s="62">
        <v>4568.7888000000003</v>
      </c>
      <c r="N879" s="62">
        <v>2841.1559999999999</v>
      </c>
      <c r="O879" s="62">
        <v>0</v>
      </c>
      <c r="P879" s="62"/>
      <c r="Q879" s="62">
        <v>4279.7160000000003</v>
      </c>
      <c r="R879" s="62">
        <v>71002.656000000003</v>
      </c>
      <c r="S879" s="62">
        <v>27169.732800000002</v>
      </c>
      <c r="T879" s="62">
        <v>-30342.729600000002</v>
      </c>
      <c r="U879" s="62">
        <v>0</v>
      </c>
      <c r="V879" s="62"/>
      <c r="W879" s="62">
        <v>12689.8488</v>
      </c>
      <c r="X879" s="62">
        <v>12689.8488</v>
      </c>
      <c r="Y879" s="62">
        <v>11665.1664</v>
      </c>
      <c r="Z879" s="62">
        <v>5369.3280000000004</v>
      </c>
      <c r="AA879" s="62">
        <v>0</v>
      </c>
      <c r="AB879" s="62"/>
      <c r="AC879" s="62">
        <v>1857.1957613168647</v>
      </c>
      <c r="AD879" s="62">
        <v>459.31576131686433</v>
      </c>
      <c r="AE879" s="62">
        <v>395.01155473250344</v>
      </c>
      <c r="AF879" s="62">
        <v>0</v>
      </c>
      <c r="AG879" s="62">
        <v>0</v>
      </c>
      <c r="AH879" s="62"/>
      <c r="AI879" s="62">
        <v>-1294.8209241493696</v>
      </c>
      <c r="AJ879" s="62">
        <v>-1211.018503402483</v>
      </c>
      <c r="AK879" s="62">
        <v>-829.25191999999811</v>
      </c>
      <c r="AL879" s="62">
        <v>-829.25191999999811</v>
      </c>
      <c r="AM879" s="62">
        <v>0</v>
      </c>
    </row>
    <row r="880" spans="1:39">
      <c r="A880" s="9">
        <v>99611</v>
      </c>
      <c r="B880" s="10" t="s">
        <v>2252</v>
      </c>
      <c r="C880" s="60">
        <v>3.1959000000000002E-3</v>
      </c>
      <c r="E880" s="62">
        <v>171563.7149997587</v>
      </c>
      <c r="F880" s="62">
        <v>1364625.1965164393</v>
      </c>
      <c r="G880" s="62">
        <v>683164.92976362153</v>
      </c>
      <c r="H880" s="62">
        <v>-354719.30838000006</v>
      </c>
      <c r="I880" s="62">
        <v>0</v>
      </c>
      <c r="J880" s="62"/>
      <c r="K880" s="62">
        <v>-19229.730300000003</v>
      </c>
      <c r="L880" s="62">
        <v>40479.269400000005</v>
      </c>
      <c r="M880" s="62">
        <v>75110.041800000006</v>
      </c>
      <c r="N880" s="62">
        <v>46708.078500000003</v>
      </c>
      <c r="O880" s="62">
        <v>0</v>
      </c>
      <c r="P880" s="62"/>
      <c r="Q880" s="62">
        <v>70357.738500000007</v>
      </c>
      <c r="R880" s="62">
        <v>1167270.5160000001</v>
      </c>
      <c r="S880" s="62">
        <v>446665.37580000004</v>
      </c>
      <c r="T880" s="62">
        <v>-498828.85560000001</v>
      </c>
      <c r="U880" s="62">
        <v>0</v>
      </c>
      <c r="V880" s="62"/>
      <c r="W880" s="62">
        <v>208618.76430000001</v>
      </c>
      <c r="X880" s="62">
        <v>208618.76430000001</v>
      </c>
      <c r="Y880" s="62">
        <v>191773.17540000001</v>
      </c>
      <c r="Z880" s="62">
        <v>88270.758000000002</v>
      </c>
      <c r="AA880" s="62">
        <v>0</v>
      </c>
      <c r="AB880" s="62"/>
      <c r="AC880" s="62">
        <v>9130.7107199999973</v>
      </c>
      <c r="AD880" s="62">
        <v>9130.7107199999973</v>
      </c>
      <c r="AE880" s="62">
        <v>9130.7107199999973</v>
      </c>
      <c r="AF880" s="62">
        <v>9130.7107199999973</v>
      </c>
      <c r="AG880" s="62">
        <v>0</v>
      </c>
      <c r="AH880" s="62"/>
      <c r="AI880" s="62">
        <v>-97313.768220241298</v>
      </c>
      <c r="AJ880" s="62">
        <v>-60874.063903560811</v>
      </c>
      <c r="AK880" s="62">
        <v>-39514.373956378535</v>
      </c>
      <c r="AL880" s="62">
        <v>0</v>
      </c>
      <c r="AM880" s="62">
        <v>0</v>
      </c>
    </row>
    <row r="881" spans="1:39">
      <c r="A881" s="9">
        <v>99613</v>
      </c>
      <c r="B881" s="10" t="s">
        <v>2253</v>
      </c>
      <c r="C881" s="60">
        <v>3.2909999999999998E-4</v>
      </c>
      <c r="E881" s="62">
        <v>123304.06069100868</v>
      </c>
      <c r="F881" s="62">
        <v>236643.45055324936</v>
      </c>
      <c r="G881" s="62">
        <v>139387.68708617287</v>
      </c>
      <c r="H881" s="62">
        <v>-6809.1158199999845</v>
      </c>
      <c r="I881" s="62">
        <v>0</v>
      </c>
      <c r="J881" s="62"/>
      <c r="K881" s="62">
        <v>-1980.1946999999998</v>
      </c>
      <c r="L881" s="62">
        <v>4168.3805999999995</v>
      </c>
      <c r="M881" s="62">
        <v>7734.5081999999993</v>
      </c>
      <c r="N881" s="62">
        <v>4809.7964999999995</v>
      </c>
      <c r="O881" s="62">
        <v>0</v>
      </c>
      <c r="P881" s="62"/>
      <c r="Q881" s="62">
        <v>7245.1364999999996</v>
      </c>
      <c r="R881" s="62">
        <v>120200.484</v>
      </c>
      <c r="S881" s="62">
        <v>45995.674199999994</v>
      </c>
      <c r="T881" s="62">
        <v>-51367.244399999996</v>
      </c>
      <c r="U881" s="62">
        <v>0</v>
      </c>
      <c r="V881" s="62"/>
      <c r="W881" s="62">
        <v>21482.660699999997</v>
      </c>
      <c r="X881" s="62">
        <v>21482.660699999997</v>
      </c>
      <c r="Y881" s="62">
        <v>19747.974599999998</v>
      </c>
      <c r="Z881" s="62">
        <v>9089.7420000000002</v>
      </c>
      <c r="AA881" s="62">
        <v>0</v>
      </c>
      <c r="AB881" s="62"/>
      <c r="AC881" s="62">
        <v>96556.458191008685</v>
      </c>
      <c r="AD881" s="62">
        <v>90791.925253249356</v>
      </c>
      <c r="AE881" s="62">
        <v>65909.530086172876</v>
      </c>
      <c r="AF881" s="62">
        <v>30658.590080000016</v>
      </c>
      <c r="AG881" s="62">
        <v>0</v>
      </c>
      <c r="AH881" s="62"/>
      <c r="AI881" s="62">
        <v>0</v>
      </c>
      <c r="AJ881" s="62">
        <v>0</v>
      </c>
      <c r="AK881" s="62">
        <v>0</v>
      </c>
      <c r="AL881" s="62">
        <v>0</v>
      </c>
      <c r="AM881" s="62">
        <v>0</v>
      </c>
    </row>
    <row r="882" spans="1:39">
      <c r="A882" s="9">
        <v>99621</v>
      </c>
      <c r="B882" s="10" t="s">
        <v>2254</v>
      </c>
      <c r="C882" s="60">
        <v>3.7060000000000001E-4</v>
      </c>
      <c r="E882" s="62">
        <v>42900.978966354189</v>
      </c>
      <c r="F882" s="62">
        <v>172694.36158618823</v>
      </c>
      <c r="G882" s="62">
        <v>92705.679082716058</v>
      </c>
      <c r="H882" s="62">
        <v>-35873.550199999991</v>
      </c>
      <c r="I882" s="62">
        <v>0</v>
      </c>
      <c r="J882" s="62"/>
      <c r="K882" s="62">
        <v>-2229.9002</v>
      </c>
      <c r="L882" s="62">
        <v>4694.0196000000005</v>
      </c>
      <c r="M882" s="62">
        <v>8709.8412000000008</v>
      </c>
      <c r="N882" s="62">
        <v>5416.3190000000004</v>
      </c>
      <c r="O882" s="62">
        <v>0</v>
      </c>
      <c r="P882" s="62"/>
      <c r="Q882" s="62">
        <v>8158.759</v>
      </c>
      <c r="R882" s="62">
        <v>135357.94400000002</v>
      </c>
      <c r="S882" s="62">
        <v>51795.797200000001</v>
      </c>
      <c r="T882" s="62">
        <v>-57844.7304</v>
      </c>
      <c r="U882" s="62">
        <v>0</v>
      </c>
      <c r="V882" s="62"/>
      <c r="W882" s="62">
        <v>24191.656200000001</v>
      </c>
      <c r="X882" s="62">
        <v>24191.656200000001</v>
      </c>
      <c r="Y882" s="62">
        <v>22238.223600000001</v>
      </c>
      <c r="Z882" s="62">
        <v>10235.972</v>
      </c>
      <c r="AA882" s="62">
        <v>0</v>
      </c>
      <c r="AB882" s="62"/>
      <c r="AC882" s="62">
        <v>15346.451854320992</v>
      </c>
      <c r="AD882" s="62">
        <v>10554.85185432099</v>
      </c>
      <c r="AE882" s="62">
        <v>9961.8170827160538</v>
      </c>
      <c r="AF882" s="62">
        <v>6318.8892000000051</v>
      </c>
      <c r="AG882" s="62">
        <v>0</v>
      </c>
      <c r="AH882" s="62"/>
      <c r="AI882" s="62">
        <v>-2565.9878879668004</v>
      </c>
      <c r="AJ882" s="62">
        <v>-2104.1100681327771</v>
      </c>
      <c r="AK882" s="62">
        <v>0</v>
      </c>
      <c r="AL882" s="62">
        <v>0</v>
      </c>
      <c r="AM882" s="62">
        <v>0</v>
      </c>
    </row>
    <row r="883" spans="1:39">
      <c r="A883" s="9">
        <v>99623</v>
      </c>
      <c r="B883" s="10" t="s">
        <v>2255</v>
      </c>
      <c r="C883" s="60">
        <v>2.6400000000000001E-5</v>
      </c>
      <c r="E883" s="62">
        <v>2463.7877592117875</v>
      </c>
      <c r="F883" s="62">
        <v>12031.161838049964</v>
      </c>
      <c r="G883" s="62">
        <v>5519.1639000823043</v>
      </c>
      <c r="H883" s="62">
        <v>-3678.3381600000007</v>
      </c>
      <c r="I883" s="62">
        <v>0</v>
      </c>
      <c r="J883" s="62"/>
      <c r="K883" s="62">
        <v>-158.84880000000001</v>
      </c>
      <c r="L883" s="62">
        <v>334.38240000000002</v>
      </c>
      <c r="M883" s="62">
        <v>620.45280000000002</v>
      </c>
      <c r="N883" s="62">
        <v>385.83600000000001</v>
      </c>
      <c r="O883" s="62">
        <v>0</v>
      </c>
      <c r="P883" s="62"/>
      <c r="Q883" s="62">
        <v>581.19600000000003</v>
      </c>
      <c r="R883" s="62">
        <v>9642.3360000000011</v>
      </c>
      <c r="S883" s="62">
        <v>3689.7168000000001</v>
      </c>
      <c r="T883" s="62">
        <v>-4120.6176000000005</v>
      </c>
      <c r="U883" s="62">
        <v>0</v>
      </c>
      <c r="V883" s="62"/>
      <c r="W883" s="62">
        <v>1723.3128000000002</v>
      </c>
      <c r="X883" s="62">
        <v>1723.3128000000002</v>
      </c>
      <c r="Y883" s="62">
        <v>1584.1584</v>
      </c>
      <c r="Z883" s="62">
        <v>729.16800000000001</v>
      </c>
      <c r="AA883" s="62">
        <v>0</v>
      </c>
      <c r="AB883" s="62"/>
      <c r="AC883" s="62">
        <v>1148.2623192117881</v>
      </c>
      <c r="AD883" s="62">
        <v>1003.8551980499627</v>
      </c>
      <c r="AE883" s="62">
        <v>297.56046008230453</v>
      </c>
      <c r="AF883" s="62">
        <v>0</v>
      </c>
      <c r="AG883" s="62">
        <v>0</v>
      </c>
      <c r="AH883" s="62"/>
      <c r="AI883" s="62">
        <v>-830.13456000000065</v>
      </c>
      <c r="AJ883" s="62">
        <v>-672.72456000000057</v>
      </c>
      <c r="AK883" s="62">
        <v>-672.72456000000057</v>
      </c>
      <c r="AL883" s="62">
        <v>-672.72456000000057</v>
      </c>
      <c r="AM883" s="62">
        <v>0</v>
      </c>
    </row>
    <row r="884" spans="1:39">
      <c r="A884" s="9">
        <v>99631</v>
      </c>
      <c r="B884" s="10" t="s">
        <v>2256</v>
      </c>
      <c r="C884" s="60">
        <v>1.102E-4</v>
      </c>
      <c r="E884" s="62">
        <v>5036.6442854437064</v>
      </c>
      <c r="F884" s="62">
        <v>48417.509858389763</v>
      </c>
      <c r="G884" s="62">
        <v>24589.628503868309</v>
      </c>
      <c r="H884" s="62">
        <v>-12278.396920000003</v>
      </c>
      <c r="I884" s="62">
        <v>0</v>
      </c>
      <c r="J884" s="62"/>
      <c r="K884" s="62">
        <v>-663.07339999999999</v>
      </c>
      <c r="L884" s="62">
        <v>1395.7931999999998</v>
      </c>
      <c r="M884" s="62">
        <v>2589.9204</v>
      </c>
      <c r="N884" s="62">
        <v>1610.5729999999999</v>
      </c>
      <c r="O884" s="62">
        <v>0</v>
      </c>
      <c r="P884" s="62"/>
      <c r="Q884" s="62">
        <v>2426.0529999999999</v>
      </c>
      <c r="R884" s="62">
        <v>40249.447999999997</v>
      </c>
      <c r="S884" s="62">
        <v>15401.7724</v>
      </c>
      <c r="T884" s="62">
        <v>-17200.4568</v>
      </c>
      <c r="U884" s="62">
        <v>0</v>
      </c>
      <c r="V884" s="62"/>
      <c r="W884" s="62">
        <v>7193.5253999999995</v>
      </c>
      <c r="X884" s="62">
        <v>7193.5253999999995</v>
      </c>
      <c r="Y884" s="62">
        <v>6612.6611999999996</v>
      </c>
      <c r="Z884" s="62">
        <v>3043.7239999999997</v>
      </c>
      <c r="AA884" s="62">
        <v>0</v>
      </c>
      <c r="AB884" s="62"/>
      <c r="AC884" s="62">
        <v>267.76287999999636</v>
      </c>
      <c r="AD884" s="62">
        <v>267.76287999999636</v>
      </c>
      <c r="AE884" s="62">
        <v>267.76287999999636</v>
      </c>
      <c r="AF884" s="62">
        <v>267.76287999999636</v>
      </c>
      <c r="AG884" s="62">
        <v>0</v>
      </c>
      <c r="AH884" s="62"/>
      <c r="AI884" s="62">
        <v>-4187.6235945562894</v>
      </c>
      <c r="AJ884" s="62">
        <v>-689.01962161023005</v>
      </c>
      <c r="AK884" s="62">
        <v>-282.48837613168547</v>
      </c>
      <c r="AL884" s="62">
        <v>0</v>
      </c>
      <c r="AM884" s="62">
        <v>0</v>
      </c>
    </row>
    <row r="885" spans="1:39">
      <c r="A885" s="9">
        <v>99651</v>
      </c>
      <c r="B885" s="10" t="s">
        <v>2257</v>
      </c>
      <c r="C885" s="60">
        <v>6.7199999999999994E-5</v>
      </c>
      <c r="E885" s="62">
        <v>6788.0579549264867</v>
      </c>
      <c r="F885" s="62">
        <v>32140.905037084161</v>
      </c>
      <c r="G885" s="62">
        <v>15528.345454567901</v>
      </c>
      <c r="H885" s="62">
        <v>-7757.7640799999972</v>
      </c>
      <c r="I885" s="62">
        <v>0</v>
      </c>
      <c r="J885" s="62"/>
      <c r="K885" s="62">
        <v>-404.34239999999994</v>
      </c>
      <c r="L885" s="62">
        <v>851.15519999999992</v>
      </c>
      <c r="M885" s="62">
        <v>1579.3344</v>
      </c>
      <c r="N885" s="62">
        <v>982.12799999999993</v>
      </c>
      <c r="O885" s="62">
        <v>0</v>
      </c>
      <c r="P885" s="62"/>
      <c r="Q885" s="62">
        <v>1479.4079999999999</v>
      </c>
      <c r="R885" s="62">
        <v>24544.127999999997</v>
      </c>
      <c r="S885" s="62">
        <v>9392.0063999999984</v>
      </c>
      <c r="T885" s="62">
        <v>-10488.844799999999</v>
      </c>
      <c r="U885" s="62">
        <v>0</v>
      </c>
      <c r="V885" s="62"/>
      <c r="W885" s="62">
        <v>4386.6143999999995</v>
      </c>
      <c r="X885" s="62">
        <v>4386.6143999999995</v>
      </c>
      <c r="Y885" s="62">
        <v>4032.4031999999997</v>
      </c>
      <c r="Z885" s="62">
        <v>1856.0639999999999</v>
      </c>
      <c r="AA885" s="62">
        <v>0</v>
      </c>
      <c r="AB885" s="62"/>
      <c r="AC885" s="62">
        <v>2846.2192349264874</v>
      </c>
      <c r="AD885" s="62">
        <v>2466.1187170841649</v>
      </c>
      <c r="AE885" s="62">
        <v>631.71273456790107</v>
      </c>
      <c r="AF885" s="62">
        <v>0</v>
      </c>
      <c r="AG885" s="62">
        <v>0</v>
      </c>
      <c r="AH885" s="62"/>
      <c r="AI885" s="62">
        <v>-1519.8412799999999</v>
      </c>
      <c r="AJ885" s="62">
        <v>-107.11127999999954</v>
      </c>
      <c r="AK885" s="62">
        <v>-107.11127999999954</v>
      </c>
      <c r="AL885" s="62">
        <v>-107.11127999999954</v>
      </c>
      <c r="AM885" s="62">
        <v>0</v>
      </c>
    </row>
    <row r="886" spans="1:39">
      <c r="A886" s="9">
        <v>99661</v>
      </c>
      <c r="B886" s="10" t="s">
        <v>2258</v>
      </c>
      <c r="C886" s="60">
        <v>3.26E-5</v>
      </c>
      <c r="E886" s="62">
        <v>15482.706925171184</v>
      </c>
      <c r="F886" s="62">
        <v>25932.968003677408</v>
      </c>
      <c r="G886" s="62">
        <v>14262.48663251029</v>
      </c>
      <c r="H886" s="62">
        <v>-288.13579999999911</v>
      </c>
      <c r="I886" s="62">
        <v>0</v>
      </c>
      <c r="J886" s="62"/>
      <c r="K886" s="62">
        <v>-196.1542</v>
      </c>
      <c r="L886" s="62">
        <v>412.91160000000002</v>
      </c>
      <c r="M886" s="62">
        <v>766.16520000000003</v>
      </c>
      <c r="N886" s="62">
        <v>476.44900000000001</v>
      </c>
      <c r="O886" s="62">
        <v>0</v>
      </c>
      <c r="P886" s="62"/>
      <c r="Q886" s="62">
        <v>717.68899999999996</v>
      </c>
      <c r="R886" s="62">
        <v>11906.824000000001</v>
      </c>
      <c r="S886" s="62">
        <v>4556.2412000000004</v>
      </c>
      <c r="T886" s="62">
        <v>-5088.3383999999996</v>
      </c>
      <c r="U886" s="62">
        <v>0</v>
      </c>
      <c r="V886" s="62"/>
      <c r="W886" s="62">
        <v>2128.0302000000001</v>
      </c>
      <c r="X886" s="62">
        <v>2128.0302000000001</v>
      </c>
      <c r="Y886" s="62">
        <v>1956.1956</v>
      </c>
      <c r="Z886" s="62">
        <v>900.41200000000003</v>
      </c>
      <c r="AA886" s="62">
        <v>0</v>
      </c>
      <c r="AB886" s="62"/>
      <c r="AC886" s="62">
        <v>12833.141925171183</v>
      </c>
      <c r="AD886" s="62">
        <v>11485.202203677409</v>
      </c>
      <c r="AE886" s="62">
        <v>6983.8846325102895</v>
      </c>
      <c r="AF886" s="62">
        <v>3423.3416000000007</v>
      </c>
      <c r="AG886" s="62">
        <v>0</v>
      </c>
      <c r="AH886" s="62"/>
      <c r="AI886" s="62">
        <v>0</v>
      </c>
      <c r="AJ886" s="62">
        <v>0</v>
      </c>
      <c r="AK886" s="62">
        <v>0</v>
      </c>
      <c r="AL886" s="62">
        <v>0</v>
      </c>
      <c r="AM886" s="62">
        <v>0</v>
      </c>
    </row>
    <row r="887" spans="1:39">
      <c r="A887" s="9">
        <v>99701</v>
      </c>
      <c r="B887" s="10" t="s">
        <v>2259</v>
      </c>
      <c r="C887" s="60">
        <v>2.9190000000000002E-3</v>
      </c>
      <c r="E887" s="62">
        <v>235364.3797166443</v>
      </c>
      <c r="F887" s="62">
        <v>1300334.4231952336</v>
      </c>
      <c r="G887" s="62">
        <v>652395.98074255127</v>
      </c>
      <c r="H887" s="62">
        <v>-334291.48132000008</v>
      </c>
      <c r="I887" s="62">
        <v>0</v>
      </c>
      <c r="J887" s="62"/>
      <c r="K887" s="62">
        <v>-17563.623</v>
      </c>
      <c r="L887" s="62">
        <v>36972.054000000004</v>
      </c>
      <c r="M887" s="62">
        <v>68602.338000000003</v>
      </c>
      <c r="N887" s="62">
        <v>42661.185000000005</v>
      </c>
      <c r="O887" s="62">
        <v>0</v>
      </c>
      <c r="P887" s="62"/>
      <c r="Q887" s="62">
        <v>64261.785000000003</v>
      </c>
      <c r="R887" s="62">
        <v>1066135.56</v>
      </c>
      <c r="S887" s="62">
        <v>407965.27800000005</v>
      </c>
      <c r="T887" s="62">
        <v>-455609.196</v>
      </c>
      <c r="U887" s="62">
        <v>0</v>
      </c>
      <c r="V887" s="62"/>
      <c r="W887" s="62">
        <v>190543.56300000002</v>
      </c>
      <c r="X887" s="62">
        <v>190543.56300000002</v>
      </c>
      <c r="Y887" s="62">
        <v>175157.514</v>
      </c>
      <c r="Z887" s="62">
        <v>80622.78</v>
      </c>
      <c r="AA887" s="62">
        <v>0</v>
      </c>
      <c r="AB887" s="62"/>
      <c r="AC887" s="62">
        <v>9875.055036644344</v>
      </c>
      <c r="AD887" s="62">
        <v>8649.496515233539</v>
      </c>
      <c r="AE887" s="62">
        <v>2637.1010625513891</v>
      </c>
      <c r="AF887" s="62">
        <v>0</v>
      </c>
      <c r="AG887" s="62">
        <v>0</v>
      </c>
      <c r="AH887" s="62"/>
      <c r="AI887" s="62">
        <v>-11752.400320000062</v>
      </c>
      <c r="AJ887" s="62">
        <v>-1966.2503200000619</v>
      </c>
      <c r="AK887" s="62">
        <v>-1966.2503200000619</v>
      </c>
      <c r="AL887" s="62">
        <v>-1966.2503200000619</v>
      </c>
      <c r="AM887" s="62">
        <v>0</v>
      </c>
    </row>
    <row r="888" spans="1:39">
      <c r="A888" s="9">
        <v>99705</v>
      </c>
      <c r="B888" s="10" t="s">
        <v>2260</v>
      </c>
      <c r="C888" s="60">
        <v>1.7229999999999999E-4</v>
      </c>
      <c r="E888" s="62">
        <v>19873.250527631102</v>
      </c>
      <c r="F888" s="62">
        <v>77953.503941738978</v>
      </c>
      <c r="G888" s="62">
        <v>40220.878598189294</v>
      </c>
      <c r="H888" s="62">
        <v>-18396.358380000005</v>
      </c>
      <c r="I888" s="62">
        <v>0</v>
      </c>
      <c r="J888" s="62"/>
      <c r="K888" s="62">
        <v>-1036.7291</v>
      </c>
      <c r="L888" s="62">
        <v>2182.3517999999999</v>
      </c>
      <c r="M888" s="62">
        <v>4049.3945999999996</v>
      </c>
      <c r="N888" s="62">
        <v>2518.1644999999999</v>
      </c>
      <c r="O888" s="62">
        <v>0</v>
      </c>
      <c r="P888" s="62"/>
      <c r="Q888" s="62">
        <v>3793.1844999999998</v>
      </c>
      <c r="R888" s="62">
        <v>62930.851999999992</v>
      </c>
      <c r="S888" s="62">
        <v>24080.992599999998</v>
      </c>
      <c r="T888" s="62">
        <v>-26893.2732</v>
      </c>
      <c r="U888" s="62">
        <v>0</v>
      </c>
      <c r="V888" s="62"/>
      <c r="W888" s="62">
        <v>11247.227099999998</v>
      </c>
      <c r="X888" s="62">
        <v>11247.227099999998</v>
      </c>
      <c r="Y888" s="62">
        <v>10339.033799999999</v>
      </c>
      <c r="Z888" s="62">
        <v>4758.9259999999995</v>
      </c>
      <c r="AA888" s="62">
        <v>0</v>
      </c>
      <c r="AB888" s="62"/>
      <c r="AC888" s="62">
        <v>6168.2625504526759</v>
      </c>
      <c r="AD888" s="62">
        <v>1838.0025504526748</v>
      </c>
      <c r="AE888" s="62">
        <v>1751.4575981892999</v>
      </c>
      <c r="AF888" s="62">
        <v>1219.8243199999968</v>
      </c>
      <c r="AG888" s="62">
        <v>0</v>
      </c>
      <c r="AH888" s="62"/>
      <c r="AI888" s="62">
        <v>-298.69452282157249</v>
      </c>
      <c r="AJ888" s="62">
        <v>-244.92950871368953</v>
      </c>
      <c r="AK888" s="62">
        <v>0</v>
      </c>
      <c r="AL888" s="62">
        <v>0</v>
      </c>
      <c r="AM888" s="62">
        <v>0</v>
      </c>
    </row>
    <row r="889" spans="1:39">
      <c r="A889" s="9">
        <v>99711</v>
      </c>
      <c r="B889" s="10" t="s">
        <v>2261</v>
      </c>
      <c r="C889" s="60">
        <v>4.5459999999999999E-4</v>
      </c>
      <c r="E889" s="62">
        <v>35895.680898718303</v>
      </c>
      <c r="F889" s="62">
        <v>200297.572787349</v>
      </c>
      <c r="G889" s="62">
        <v>104170.90570222221</v>
      </c>
      <c r="H889" s="62">
        <v>-48378.720120000013</v>
      </c>
      <c r="I889" s="62">
        <v>0</v>
      </c>
      <c r="J889" s="62"/>
      <c r="K889" s="62">
        <v>-2735.3281999999999</v>
      </c>
      <c r="L889" s="62">
        <v>5757.9636</v>
      </c>
      <c r="M889" s="62">
        <v>10684.0092</v>
      </c>
      <c r="N889" s="62">
        <v>6643.9790000000003</v>
      </c>
      <c r="O889" s="62">
        <v>0</v>
      </c>
      <c r="P889" s="62"/>
      <c r="Q889" s="62">
        <v>10008.019</v>
      </c>
      <c r="R889" s="62">
        <v>166038.10399999999</v>
      </c>
      <c r="S889" s="62">
        <v>63535.805199999995</v>
      </c>
      <c r="T889" s="62">
        <v>-70955.786399999997</v>
      </c>
      <c r="U889" s="62">
        <v>0</v>
      </c>
      <c r="V889" s="62"/>
      <c r="W889" s="62">
        <v>29674.924199999998</v>
      </c>
      <c r="X889" s="62">
        <v>29674.924199999998</v>
      </c>
      <c r="Y889" s="62">
        <v>27278.727599999998</v>
      </c>
      <c r="Z889" s="62">
        <v>12556.052</v>
      </c>
      <c r="AA889" s="62">
        <v>0</v>
      </c>
      <c r="AB889" s="62"/>
      <c r="AC889" s="62">
        <v>4317.5352799999819</v>
      </c>
      <c r="AD889" s="62">
        <v>3377.0352799999819</v>
      </c>
      <c r="AE889" s="62">
        <v>3377.0352799999819</v>
      </c>
      <c r="AF889" s="62">
        <v>3377.0352799999819</v>
      </c>
      <c r="AG889" s="62">
        <v>0</v>
      </c>
      <c r="AH889" s="62"/>
      <c r="AI889" s="62">
        <v>-5369.4693812816759</v>
      </c>
      <c r="AJ889" s="62">
        <v>-4550.454292650973</v>
      </c>
      <c r="AK889" s="62">
        <v>-704.67157777776731</v>
      </c>
      <c r="AL889" s="62">
        <v>0</v>
      </c>
      <c r="AM889" s="62">
        <v>0</v>
      </c>
    </row>
    <row r="890" spans="1:39">
      <c r="A890" s="9">
        <v>99717</v>
      </c>
      <c r="B890" s="10" t="s">
        <v>2262</v>
      </c>
      <c r="C890" s="60">
        <v>2.19E-5</v>
      </c>
      <c r="E890" s="62">
        <v>510.42024842682008</v>
      </c>
      <c r="F890" s="62">
        <v>8515.1382791322139</v>
      </c>
      <c r="G890" s="62">
        <v>4030.4591017283933</v>
      </c>
      <c r="H890" s="62">
        <v>-3109.9108600000018</v>
      </c>
      <c r="I890" s="62">
        <v>0</v>
      </c>
      <c r="J890" s="62"/>
      <c r="K890" s="62">
        <v>-131.7723</v>
      </c>
      <c r="L890" s="62">
        <v>277.3854</v>
      </c>
      <c r="M890" s="62">
        <v>514.69380000000001</v>
      </c>
      <c r="N890" s="62">
        <v>320.06850000000003</v>
      </c>
      <c r="O890" s="62">
        <v>0</v>
      </c>
      <c r="P890" s="62"/>
      <c r="Q890" s="62">
        <v>482.12850000000003</v>
      </c>
      <c r="R890" s="62">
        <v>7998.7560000000003</v>
      </c>
      <c r="S890" s="62">
        <v>3060.7878000000001</v>
      </c>
      <c r="T890" s="62">
        <v>-3418.2395999999999</v>
      </c>
      <c r="U890" s="62">
        <v>0</v>
      </c>
      <c r="V890" s="62"/>
      <c r="W890" s="62">
        <v>1429.5663</v>
      </c>
      <c r="X890" s="62">
        <v>1429.5663</v>
      </c>
      <c r="Y890" s="62">
        <v>1314.1314</v>
      </c>
      <c r="Z890" s="62">
        <v>604.87800000000004</v>
      </c>
      <c r="AA890" s="62">
        <v>0</v>
      </c>
      <c r="AB890" s="62"/>
      <c r="AC890" s="62">
        <v>0</v>
      </c>
      <c r="AD890" s="62">
        <v>0</v>
      </c>
      <c r="AE890" s="62">
        <v>0</v>
      </c>
      <c r="AF890" s="62">
        <v>0</v>
      </c>
      <c r="AG890" s="62">
        <v>0</v>
      </c>
      <c r="AH890" s="62"/>
      <c r="AI890" s="62">
        <v>-1269.50225157318</v>
      </c>
      <c r="AJ890" s="62">
        <v>-1190.569420867786</v>
      </c>
      <c r="AK890" s="62">
        <v>-859.15389827160709</v>
      </c>
      <c r="AL890" s="62">
        <v>-616.61776000000191</v>
      </c>
      <c r="AM890" s="62">
        <v>0</v>
      </c>
    </row>
    <row r="891" spans="1:39">
      <c r="A891" s="9">
        <v>99721</v>
      </c>
      <c r="B891" s="10" t="s">
        <v>2263</v>
      </c>
      <c r="C891" s="60">
        <v>5.7779999999999995E-4</v>
      </c>
      <c r="E891" s="62">
        <v>32755.787794771459</v>
      </c>
      <c r="F891" s="62">
        <v>243720.28555112</v>
      </c>
      <c r="G891" s="62">
        <v>117106.6673798354</v>
      </c>
      <c r="H891" s="62">
        <v>-76116.405799999979</v>
      </c>
      <c r="I891" s="62">
        <v>0</v>
      </c>
      <c r="J891" s="62"/>
      <c r="K891" s="62">
        <v>-3476.6225999999997</v>
      </c>
      <c r="L891" s="62">
        <v>7318.4147999999996</v>
      </c>
      <c r="M891" s="62">
        <v>13579.455599999999</v>
      </c>
      <c r="N891" s="62">
        <v>8444.5469999999987</v>
      </c>
      <c r="O891" s="62">
        <v>0</v>
      </c>
      <c r="P891" s="62"/>
      <c r="Q891" s="62">
        <v>12720.266999999998</v>
      </c>
      <c r="R891" s="62">
        <v>211035.67199999999</v>
      </c>
      <c r="S891" s="62">
        <v>80754.483599999992</v>
      </c>
      <c r="T891" s="62">
        <v>-90185.335199999987</v>
      </c>
      <c r="U891" s="62">
        <v>0</v>
      </c>
      <c r="V891" s="62"/>
      <c r="W891" s="62">
        <v>37717.050599999995</v>
      </c>
      <c r="X891" s="62">
        <v>37717.050599999995</v>
      </c>
      <c r="Y891" s="62">
        <v>34671.466799999995</v>
      </c>
      <c r="Z891" s="62">
        <v>15958.835999999999</v>
      </c>
      <c r="AA891" s="62">
        <v>0</v>
      </c>
      <c r="AB891" s="62"/>
      <c r="AC891" s="62">
        <v>0</v>
      </c>
      <c r="AD891" s="62">
        <v>0</v>
      </c>
      <c r="AE891" s="62">
        <v>0</v>
      </c>
      <c r="AF891" s="62">
        <v>0</v>
      </c>
      <c r="AG891" s="62">
        <v>0</v>
      </c>
      <c r="AH891" s="62"/>
      <c r="AI891" s="62">
        <v>-14204.907205228536</v>
      </c>
      <c r="AJ891" s="62">
        <v>-12350.851848879985</v>
      </c>
      <c r="AK891" s="62">
        <v>-11898.738620164588</v>
      </c>
      <c r="AL891" s="62">
        <v>-10334.45359999999</v>
      </c>
      <c r="AM891" s="62">
        <v>0</v>
      </c>
    </row>
    <row r="892" spans="1:39">
      <c r="A892" s="9">
        <v>99727</v>
      </c>
      <c r="B892" s="10" t="s">
        <v>2264</v>
      </c>
      <c r="C892" s="60">
        <v>2.3900000000000002E-5</v>
      </c>
      <c r="E892" s="62">
        <v>22918.588251335826</v>
      </c>
      <c r="F892" s="62">
        <v>29643.196614821303</v>
      </c>
      <c r="G892" s="62">
        <v>17958.783083868315</v>
      </c>
      <c r="H892" s="62">
        <v>4112.8498599999984</v>
      </c>
      <c r="I892" s="62">
        <v>0</v>
      </c>
      <c r="J892" s="62"/>
      <c r="K892" s="62">
        <v>-143.80630000000002</v>
      </c>
      <c r="L892" s="62">
        <v>302.7174</v>
      </c>
      <c r="M892" s="62">
        <v>561.69780000000003</v>
      </c>
      <c r="N892" s="62">
        <v>349.29850000000005</v>
      </c>
      <c r="O892" s="62">
        <v>0</v>
      </c>
      <c r="P892" s="62"/>
      <c r="Q892" s="62">
        <v>526.1585</v>
      </c>
      <c r="R892" s="62">
        <v>8729.2360000000008</v>
      </c>
      <c r="S892" s="62">
        <v>3340.3118000000004</v>
      </c>
      <c r="T892" s="62">
        <v>-3730.4076000000005</v>
      </c>
      <c r="U892" s="62">
        <v>0</v>
      </c>
      <c r="V892" s="62"/>
      <c r="W892" s="62">
        <v>1560.1203</v>
      </c>
      <c r="X892" s="62">
        <v>1560.1203</v>
      </c>
      <c r="Y892" s="62">
        <v>1434.1434000000002</v>
      </c>
      <c r="Z892" s="62">
        <v>660.11800000000005</v>
      </c>
      <c r="AA892" s="62">
        <v>0</v>
      </c>
      <c r="AB892" s="62"/>
      <c r="AC892" s="62">
        <v>20976.115751335827</v>
      </c>
      <c r="AD892" s="62">
        <v>19051.122914821302</v>
      </c>
      <c r="AE892" s="62">
        <v>12622.630083868313</v>
      </c>
      <c r="AF892" s="62">
        <v>6833.8409599999986</v>
      </c>
      <c r="AG892" s="62">
        <v>0</v>
      </c>
      <c r="AH892" s="62"/>
      <c r="AI892" s="62">
        <v>0</v>
      </c>
      <c r="AJ892" s="62">
        <v>0</v>
      </c>
      <c r="AK892" s="62">
        <v>0</v>
      </c>
      <c r="AL892" s="62">
        <v>0</v>
      </c>
      <c r="AM892" s="62">
        <v>0</v>
      </c>
    </row>
    <row r="893" spans="1:39">
      <c r="A893" s="9">
        <v>99801</v>
      </c>
      <c r="B893" s="10" t="s">
        <v>2265</v>
      </c>
      <c r="C893" s="60">
        <v>5.1866000000000004E-3</v>
      </c>
      <c r="E893" s="62">
        <v>391812.35902260535</v>
      </c>
      <c r="F893" s="62">
        <v>2254119.2098302403</v>
      </c>
      <c r="G893" s="62">
        <v>1125052.5111954736</v>
      </c>
      <c r="H893" s="62">
        <v>-616307.61379999982</v>
      </c>
      <c r="I893" s="62">
        <v>0</v>
      </c>
      <c r="J893" s="62"/>
      <c r="K893" s="62">
        <v>-31207.772200000003</v>
      </c>
      <c r="L893" s="62">
        <v>65693.475600000005</v>
      </c>
      <c r="M893" s="62">
        <v>121895.47320000001</v>
      </c>
      <c r="N893" s="62">
        <v>75802.159</v>
      </c>
      <c r="O893" s="62">
        <v>0</v>
      </c>
      <c r="P893" s="62"/>
      <c r="Q893" s="62">
        <v>114182.99900000001</v>
      </c>
      <c r="R893" s="62">
        <v>1894353.7840000002</v>
      </c>
      <c r="S893" s="62">
        <v>724889.58920000005</v>
      </c>
      <c r="T893" s="62">
        <v>-809545.27440000011</v>
      </c>
      <c r="U893" s="62">
        <v>0</v>
      </c>
      <c r="V893" s="62"/>
      <c r="W893" s="62">
        <v>338565.68820000003</v>
      </c>
      <c r="X893" s="62">
        <v>338565.68820000003</v>
      </c>
      <c r="Y893" s="62">
        <v>311227.11960000003</v>
      </c>
      <c r="Z893" s="62">
        <v>143253.89200000002</v>
      </c>
      <c r="AA893" s="62">
        <v>0</v>
      </c>
      <c r="AB893" s="62"/>
      <c r="AC893" s="62">
        <v>17041.860000000004</v>
      </c>
      <c r="AD893" s="62">
        <v>0</v>
      </c>
      <c r="AE893" s="62">
        <v>0</v>
      </c>
      <c r="AF893" s="62">
        <v>0</v>
      </c>
      <c r="AG893" s="62">
        <v>0</v>
      </c>
      <c r="AH893" s="62"/>
      <c r="AI893" s="62">
        <v>-46770.415977394689</v>
      </c>
      <c r="AJ893" s="62">
        <v>-44493.737969759866</v>
      </c>
      <c r="AK893" s="62">
        <v>-32959.670804526315</v>
      </c>
      <c r="AL893" s="62">
        <v>-25818.390399999731</v>
      </c>
      <c r="AM893" s="62">
        <v>0</v>
      </c>
    </row>
    <row r="894" spans="1:39">
      <c r="A894" s="9">
        <v>99802</v>
      </c>
      <c r="B894" s="10" t="s">
        <v>2266</v>
      </c>
      <c r="C894" s="60">
        <v>6.0000000000000002E-6</v>
      </c>
      <c r="E894" s="62">
        <v>822.0297135631713</v>
      </c>
      <c r="F894" s="62">
        <v>3037.8710239366155</v>
      </c>
      <c r="G894" s="62">
        <v>1669.2480374485599</v>
      </c>
      <c r="H894" s="62">
        <v>-401.63319999999982</v>
      </c>
      <c r="I894" s="62">
        <v>0</v>
      </c>
      <c r="J894" s="62"/>
      <c r="K894" s="62">
        <v>-36.102000000000004</v>
      </c>
      <c r="L894" s="62">
        <v>75.995999999999995</v>
      </c>
      <c r="M894" s="62">
        <v>141.012</v>
      </c>
      <c r="N894" s="62">
        <v>87.69</v>
      </c>
      <c r="O894" s="62">
        <v>0</v>
      </c>
      <c r="P894" s="62"/>
      <c r="Q894" s="62">
        <v>132.09</v>
      </c>
      <c r="R894" s="62">
        <v>2191.44</v>
      </c>
      <c r="S894" s="62">
        <v>838.572</v>
      </c>
      <c r="T894" s="62">
        <v>-936.50400000000002</v>
      </c>
      <c r="U894" s="62">
        <v>0</v>
      </c>
      <c r="V894" s="62"/>
      <c r="W894" s="62">
        <v>391.66200000000003</v>
      </c>
      <c r="X894" s="62">
        <v>391.66200000000003</v>
      </c>
      <c r="Y894" s="62">
        <v>360.036</v>
      </c>
      <c r="Z894" s="62">
        <v>165.72</v>
      </c>
      <c r="AA894" s="62">
        <v>0</v>
      </c>
      <c r="AB894" s="62"/>
      <c r="AC894" s="62">
        <v>387.8397135631713</v>
      </c>
      <c r="AD894" s="62">
        <v>378.77302393661535</v>
      </c>
      <c r="AE894" s="62">
        <v>329.62803744855984</v>
      </c>
      <c r="AF894" s="62">
        <v>281.46080000000023</v>
      </c>
      <c r="AG894" s="62">
        <v>0</v>
      </c>
      <c r="AH894" s="62"/>
      <c r="AI894" s="62">
        <v>-53.460000000000008</v>
      </c>
      <c r="AJ894" s="62">
        <v>0</v>
      </c>
      <c r="AK894" s="62">
        <v>0</v>
      </c>
      <c r="AL894" s="62">
        <v>0</v>
      </c>
      <c r="AM894" s="62">
        <v>0</v>
      </c>
    </row>
    <row r="895" spans="1:39">
      <c r="A895" s="9">
        <v>99804</v>
      </c>
      <c r="B895" s="10" t="s">
        <v>2267</v>
      </c>
      <c r="C895" s="60">
        <v>9.0500000000000004E-5</v>
      </c>
      <c r="E895" s="62">
        <v>12271.761495330835</v>
      </c>
      <c r="F895" s="62">
        <v>44598.00553184536</v>
      </c>
      <c r="G895" s="62">
        <v>22793.031029465019</v>
      </c>
      <c r="H895" s="62">
        <v>-8607.767380000003</v>
      </c>
      <c r="I895" s="62">
        <v>0</v>
      </c>
      <c r="J895" s="62"/>
      <c r="K895" s="62">
        <v>-544.5385</v>
      </c>
      <c r="L895" s="62">
        <v>1146.2730000000001</v>
      </c>
      <c r="M895" s="62">
        <v>2126.931</v>
      </c>
      <c r="N895" s="62">
        <v>1322.6575</v>
      </c>
      <c r="O895" s="62">
        <v>0</v>
      </c>
      <c r="P895" s="62"/>
      <c r="Q895" s="62">
        <v>1992.3575000000001</v>
      </c>
      <c r="R895" s="62">
        <v>33054.22</v>
      </c>
      <c r="S895" s="62">
        <v>12648.461000000001</v>
      </c>
      <c r="T895" s="62">
        <v>-14125.602000000001</v>
      </c>
      <c r="U895" s="62">
        <v>0</v>
      </c>
      <c r="V895" s="62"/>
      <c r="W895" s="62">
        <v>5907.5685000000003</v>
      </c>
      <c r="X895" s="62">
        <v>5907.5685000000003</v>
      </c>
      <c r="Y895" s="62">
        <v>5430.5430000000006</v>
      </c>
      <c r="Z895" s="62">
        <v>2499.61</v>
      </c>
      <c r="AA895" s="62">
        <v>0</v>
      </c>
      <c r="AB895" s="62"/>
      <c r="AC895" s="62">
        <v>4916.3739953308341</v>
      </c>
      <c r="AD895" s="62">
        <v>4489.944031845358</v>
      </c>
      <c r="AE895" s="62">
        <v>2587.0960294650158</v>
      </c>
      <c r="AF895" s="62">
        <v>1695.5671199999983</v>
      </c>
      <c r="AG895" s="62">
        <v>0</v>
      </c>
      <c r="AH895" s="62"/>
      <c r="AI895" s="62">
        <v>0</v>
      </c>
      <c r="AJ895" s="62">
        <v>0</v>
      </c>
      <c r="AK895" s="62">
        <v>0</v>
      </c>
      <c r="AL895" s="62">
        <v>0</v>
      </c>
      <c r="AM895" s="62">
        <v>0</v>
      </c>
    </row>
    <row r="896" spans="1:39">
      <c r="A896" s="9">
        <v>99811</v>
      </c>
      <c r="B896" s="10" t="s">
        <v>2268</v>
      </c>
      <c r="C896" s="60">
        <v>6.7026999999999998E-3</v>
      </c>
      <c r="E896" s="62">
        <v>308268.77793268627</v>
      </c>
      <c r="F896" s="62">
        <v>2790573.4983558399</v>
      </c>
      <c r="G896" s="62">
        <v>1376088.4792547324</v>
      </c>
      <c r="H896" s="62">
        <v>-824910.19750000013</v>
      </c>
      <c r="I896" s="62">
        <v>0</v>
      </c>
      <c r="J896" s="62"/>
      <c r="K896" s="62">
        <v>-40330.145899999996</v>
      </c>
      <c r="L896" s="62">
        <v>84896.398199999996</v>
      </c>
      <c r="M896" s="62">
        <v>157526.8554</v>
      </c>
      <c r="N896" s="62">
        <v>97959.960500000001</v>
      </c>
      <c r="O896" s="62">
        <v>0</v>
      </c>
      <c r="P896" s="62"/>
      <c r="Q896" s="62">
        <v>147559.9405</v>
      </c>
      <c r="R896" s="62">
        <v>2448094.148</v>
      </c>
      <c r="S896" s="62">
        <v>936782.7574</v>
      </c>
      <c r="T896" s="62">
        <v>-1046184.2267999999</v>
      </c>
      <c r="U896" s="62">
        <v>0</v>
      </c>
      <c r="V896" s="62"/>
      <c r="W896" s="62">
        <v>437532.14789999998</v>
      </c>
      <c r="X896" s="62">
        <v>437532.14789999998</v>
      </c>
      <c r="Y896" s="62">
        <v>402202.21619999997</v>
      </c>
      <c r="Z896" s="62">
        <v>185128.57399999999</v>
      </c>
      <c r="AA896" s="62">
        <v>0</v>
      </c>
      <c r="AB896" s="62"/>
      <c r="AC896" s="62">
        <v>0</v>
      </c>
      <c r="AD896" s="62">
        <v>0</v>
      </c>
      <c r="AE896" s="62">
        <v>0</v>
      </c>
      <c r="AF896" s="62">
        <v>0</v>
      </c>
      <c r="AG896" s="62">
        <v>0</v>
      </c>
      <c r="AH896" s="62"/>
      <c r="AI896" s="62">
        <v>-236493.16456731374</v>
      </c>
      <c r="AJ896" s="62">
        <v>-179949.19574416027</v>
      </c>
      <c r="AK896" s="62">
        <v>-120423.34974526761</v>
      </c>
      <c r="AL896" s="62">
        <v>-61814.505200000203</v>
      </c>
      <c r="AM896" s="62">
        <v>0</v>
      </c>
    </row>
    <row r="897" spans="1:39">
      <c r="A897" s="9">
        <v>99812</v>
      </c>
      <c r="B897" s="10" t="s">
        <v>2269</v>
      </c>
      <c r="C897" s="60">
        <v>2.2099999999999998E-5</v>
      </c>
      <c r="E897" s="62">
        <v>6028.0633348950741</v>
      </c>
      <c r="F897" s="62">
        <v>13312.403836139885</v>
      </c>
      <c r="G897" s="62">
        <v>7437.8346994238709</v>
      </c>
      <c r="H897" s="62">
        <v>-1118.0649799999994</v>
      </c>
      <c r="I897" s="62">
        <v>0</v>
      </c>
      <c r="J897" s="62"/>
      <c r="K897" s="62">
        <v>-132.97569999999999</v>
      </c>
      <c r="L897" s="62">
        <v>279.91859999999997</v>
      </c>
      <c r="M897" s="62">
        <v>519.39419999999996</v>
      </c>
      <c r="N897" s="62">
        <v>322.99149999999997</v>
      </c>
      <c r="O897" s="62">
        <v>0</v>
      </c>
      <c r="P897" s="62"/>
      <c r="Q897" s="62">
        <v>486.53149999999999</v>
      </c>
      <c r="R897" s="62">
        <v>8071.8039999999992</v>
      </c>
      <c r="S897" s="62">
        <v>3088.7401999999997</v>
      </c>
      <c r="T897" s="62">
        <v>-3449.4563999999996</v>
      </c>
      <c r="U897" s="62">
        <v>0</v>
      </c>
      <c r="V897" s="62"/>
      <c r="W897" s="62">
        <v>1442.6216999999999</v>
      </c>
      <c r="X897" s="62">
        <v>1442.6216999999999</v>
      </c>
      <c r="Y897" s="62">
        <v>1326.1325999999999</v>
      </c>
      <c r="Z897" s="62">
        <v>610.40199999999993</v>
      </c>
      <c r="AA897" s="62">
        <v>0</v>
      </c>
      <c r="AB897" s="62"/>
      <c r="AC897" s="62">
        <v>4231.8858348950744</v>
      </c>
      <c r="AD897" s="62">
        <v>3518.0595361398873</v>
      </c>
      <c r="AE897" s="62">
        <v>2503.5676994238711</v>
      </c>
      <c r="AF897" s="62">
        <v>1397.99792</v>
      </c>
      <c r="AG897" s="62">
        <v>0</v>
      </c>
      <c r="AH897" s="62"/>
      <c r="AI897" s="62">
        <v>0</v>
      </c>
      <c r="AJ897" s="62">
        <v>0</v>
      </c>
      <c r="AK897" s="62">
        <v>0</v>
      </c>
      <c r="AL897" s="62">
        <v>0</v>
      </c>
      <c r="AM897" s="62">
        <v>0</v>
      </c>
    </row>
    <row r="898" spans="1:39">
      <c r="A898" s="9">
        <v>99818</v>
      </c>
      <c r="B898" s="10" t="s">
        <v>2270</v>
      </c>
      <c r="C898" s="60">
        <v>3.1600000000000002E-5</v>
      </c>
      <c r="E898" s="62">
        <v>3244.9564222345157</v>
      </c>
      <c r="F898" s="62">
        <v>12734.158614765636</v>
      </c>
      <c r="G898" s="62">
        <v>5339.6415770370349</v>
      </c>
      <c r="H898" s="62">
        <v>-4647.5977600000042</v>
      </c>
      <c r="I898" s="62">
        <v>0</v>
      </c>
      <c r="J898" s="62"/>
      <c r="K898" s="62">
        <v>-190.13720000000001</v>
      </c>
      <c r="L898" s="62">
        <v>400.24560000000002</v>
      </c>
      <c r="M898" s="62">
        <v>742.66320000000007</v>
      </c>
      <c r="N898" s="62">
        <v>461.83400000000006</v>
      </c>
      <c r="O898" s="62">
        <v>0</v>
      </c>
      <c r="P898" s="62"/>
      <c r="Q898" s="62">
        <v>695.67400000000009</v>
      </c>
      <c r="R898" s="62">
        <v>11541.584000000001</v>
      </c>
      <c r="S898" s="62">
        <v>4416.4792000000007</v>
      </c>
      <c r="T898" s="62">
        <v>-4932.2544000000007</v>
      </c>
      <c r="U898" s="62">
        <v>0</v>
      </c>
      <c r="V898" s="62"/>
      <c r="W898" s="62">
        <v>2062.7532000000001</v>
      </c>
      <c r="X898" s="62">
        <v>2062.7532000000001</v>
      </c>
      <c r="Y898" s="62">
        <v>1896.1896000000002</v>
      </c>
      <c r="Z898" s="62">
        <v>872.79200000000003</v>
      </c>
      <c r="AA898" s="62">
        <v>0</v>
      </c>
      <c r="AB898" s="62"/>
      <c r="AC898" s="62">
        <v>2500.7300414937777</v>
      </c>
      <c r="AD898" s="62">
        <v>553.63943402489747</v>
      </c>
      <c r="AE898" s="62">
        <v>0</v>
      </c>
      <c r="AF898" s="62">
        <v>0</v>
      </c>
      <c r="AG898" s="62">
        <v>0</v>
      </c>
      <c r="AH898" s="62"/>
      <c r="AI898" s="62">
        <v>-1824.0636192592615</v>
      </c>
      <c r="AJ898" s="62">
        <v>-1824.0636192592615</v>
      </c>
      <c r="AK898" s="62">
        <v>-1715.6904229629654</v>
      </c>
      <c r="AL898" s="62">
        <v>-1049.9693600000028</v>
      </c>
      <c r="AM898" s="62">
        <v>0</v>
      </c>
    </row>
    <row r="899" spans="1:39">
      <c r="A899" s="9">
        <v>99821</v>
      </c>
      <c r="B899" s="10" t="s">
        <v>2271</v>
      </c>
      <c r="C899" s="60">
        <v>9.1100000000000005E-5</v>
      </c>
      <c r="E899" s="62">
        <v>17299.786780529343</v>
      </c>
      <c r="F899" s="62">
        <v>44478.579418952577</v>
      </c>
      <c r="G899" s="62">
        <v>24472.866435144031</v>
      </c>
      <c r="H899" s="62">
        <v>-7601.4506199999996</v>
      </c>
      <c r="I899" s="62">
        <v>0</v>
      </c>
      <c r="J899" s="62"/>
      <c r="K899" s="62">
        <v>-548.14870000000008</v>
      </c>
      <c r="L899" s="62">
        <v>1153.8726000000001</v>
      </c>
      <c r="M899" s="62">
        <v>2141.0322000000001</v>
      </c>
      <c r="N899" s="62">
        <v>1331.4265</v>
      </c>
      <c r="O899" s="62">
        <v>0</v>
      </c>
      <c r="P899" s="62"/>
      <c r="Q899" s="62">
        <v>2005.5665000000001</v>
      </c>
      <c r="R899" s="62">
        <v>33273.364000000001</v>
      </c>
      <c r="S899" s="62">
        <v>12732.318200000002</v>
      </c>
      <c r="T899" s="62">
        <v>-14219.252400000001</v>
      </c>
      <c r="U899" s="62">
        <v>0</v>
      </c>
      <c r="V899" s="62"/>
      <c r="W899" s="62">
        <v>5946.7347</v>
      </c>
      <c r="X899" s="62">
        <v>5946.7347</v>
      </c>
      <c r="Y899" s="62">
        <v>5466.5466000000006</v>
      </c>
      <c r="Z899" s="62">
        <v>2516.1820000000002</v>
      </c>
      <c r="AA899" s="62">
        <v>0</v>
      </c>
      <c r="AB899" s="62"/>
      <c r="AC899" s="62">
        <v>10200.766716213991</v>
      </c>
      <c r="AD899" s="62">
        <v>4354.8167162139889</v>
      </c>
      <c r="AE899" s="62">
        <v>4132.9694351440303</v>
      </c>
      <c r="AF899" s="62">
        <v>2770.1932800000013</v>
      </c>
      <c r="AG899" s="62">
        <v>0</v>
      </c>
      <c r="AH899" s="62"/>
      <c r="AI899" s="62">
        <v>-305.13243568464964</v>
      </c>
      <c r="AJ899" s="62">
        <v>-250.20859726141279</v>
      </c>
      <c r="AK899" s="62">
        <v>0</v>
      </c>
      <c r="AL899" s="62">
        <v>0</v>
      </c>
      <c r="AM899" s="62">
        <v>0</v>
      </c>
    </row>
    <row r="900" spans="1:39">
      <c r="A900" s="9">
        <v>99831</v>
      </c>
      <c r="B900" s="10" t="s">
        <v>2272</v>
      </c>
      <c r="C900" s="60">
        <v>6.3299999999999994E-5</v>
      </c>
      <c r="E900" s="62">
        <v>7047.5324002516991</v>
      </c>
      <c r="F900" s="62">
        <v>29725.932477347134</v>
      </c>
      <c r="G900" s="62">
        <v>15941.287541316873</v>
      </c>
      <c r="H900" s="62">
        <v>-6123.5088199999964</v>
      </c>
      <c r="I900" s="62">
        <v>0</v>
      </c>
      <c r="J900" s="62"/>
      <c r="K900" s="62">
        <v>-380.87609999999995</v>
      </c>
      <c r="L900" s="62">
        <v>801.75779999999997</v>
      </c>
      <c r="M900" s="62">
        <v>1487.6765999999998</v>
      </c>
      <c r="N900" s="62">
        <v>925.12949999999989</v>
      </c>
      <c r="O900" s="62">
        <v>0</v>
      </c>
      <c r="P900" s="62"/>
      <c r="Q900" s="62">
        <v>1393.5494999999999</v>
      </c>
      <c r="R900" s="62">
        <v>23119.691999999999</v>
      </c>
      <c r="S900" s="62">
        <v>8846.9345999999987</v>
      </c>
      <c r="T900" s="62">
        <v>-9880.1171999999988</v>
      </c>
      <c r="U900" s="62">
        <v>0</v>
      </c>
      <c r="V900" s="62"/>
      <c r="W900" s="62">
        <v>4132.0340999999999</v>
      </c>
      <c r="X900" s="62">
        <v>4132.0340999999999</v>
      </c>
      <c r="Y900" s="62">
        <v>3798.3797999999997</v>
      </c>
      <c r="Z900" s="62">
        <v>1748.3459999999998</v>
      </c>
      <c r="AA900" s="62">
        <v>0</v>
      </c>
      <c r="AB900" s="62"/>
      <c r="AC900" s="62">
        <v>2212.4564396707851</v>
      </c>
      <c r="AD900" s="62">
        <v>1926.346439670785</v>
      </c>
      <c r="AE900" s="62">
        <v>1808.2965413168758</v>
      </c>
      <c r="AF900" s="62">
        <v>1083.132880000004</v>
      </c>
      <c r="AG900" s="62">
        <v>0</v>
      </c>
      <c r="AH900" s="62"/>
      <c r="AI900" s="62">
        <v>-309.63153941908604</v>
      </c>
      <c r="AJ900" s="62">
        <v>-253.89786232365063</v>
      </c>
      <c r="AK900" s="62">
        <v>0</v>
      </c>
      <c r="AL900" s="62">
        <v>0</v>
      </c>
      <c r="AM900" s="62">
        <v>0</v>
      </c>
    </row>
    <row r="901" spans="1:39">
      <c r="A901" s="9">
        <v>99841</v>
      </c>
      <c r="B901" s="10" t="s">
        <v>2273</v>
      </c>
      <c r="C901" s="60">
        <v>4.3399999999999998E-5</v>
      </c>
      <c r="E901" s="62">
        <v>2324.4144638526013</v>
      </c>
      <c r="F901" s="62">
        <v>18985.56077339617</v>
      </c>
      <c r="G901" s="62">
        <v>8906.041776954733</v>
      </c>
      <c r="H901" s="62">
        <v>-5494.1333999999997</v>
      </c>
      <c r="I901" s="62">
        <v>0</v>
      </c>
      <c r="J901" s="62"/>
      <c r="K901" s="62">
        <v>-261.13779999999997</v>
      </c>
      <c r="L901" s="62">
        <v>549.70439999999996</v>
      </c>
      <c r="M901" s="62">
        <v>1019.9867999999999</v>
      </c>
      <c r="N901" s="62">
        <v>634.29099999999994</v>
      </c>
      <c r="O901" s="62">
        <v>0</v>
      </c>
      <c r="P901" s="62"/>
      <c r="Q901" s="62">
        <v>955.45099999999991</v>
      </c>
      <c r="R901" s="62">
        <v>15851.415999999999</v>
      </c>
      <c r="S901" s="62">
        <v>6065.6707999999999</v>
      </c>
      <c r="T901" s="62">
        <v>-6774.0455999999995</v>
      </c>
      <c r="U901" s="62">
        <v>0</v>
      </c>
      <c r="V901" s="62"/>
      <c r="W901" s="62">
        <v>2833.0218</v>
      </c>
      <c r="X901" s="62">
        <v>2833.0218</v>
      </c>
      <c r="Y901" s="62">
        <v>2604.2603999999997</v>
      </c>
      <c r="Z901" s="62">
        <v>1198.7079999999999</v>
      </c>
      <c r="AA901" s="62">
        <v>0</v>
      </c>
      <c r="AB901" s="62"/>
      <c r="AC901" s="62">
        <v>698.61605809128378</v>
      </c>
      <c r="AD901" s="62">
        <v>572.86516763485292</v>
      </c>
      <c r="AE901" s="62">
        <v>0</v>
      </c>
      <c r="AF901" s="62">
        <v>0</v>
      </c>
      <c r="AG901" s="62">
        <v>0</v>
      </c>
      <c r="AH901" s="62"/>
      <c r="AI901" s="62">
        <v>-1901.5365942386825</v>
      </c>
      <c r="AJ901" s="62">
        <v>-821.44659423868234</v>
      </c>
      <c r="AK901" s="62">
        <v>-783.8762230452669</v>
      </c>
      <c r="AL901" s="62">
        <v>-553.08680000000027</v>
      </c>
      <c r="AM901" s="62">
        <v>0</v>
      </c>
    </row>
    <row r="902" spans="1:39">
      <c r="A902" s="9">
        <v>99851</v>
      </c>
      <c r="B902" s="10" t="s">
        <v>2274</v>
      </c>
      <c r="C902" s="60">
        <v>2.23E-5</v>
      </c>
      <c r="E902" s="62">
        <v>966.2510091815667</v>
      </c>
      <c r="F902" s="62">
        <v>9057.3650813807362</v>
      </c>
      <c r="G902" s="62">
        <v>4138.5666255144042</v>
      </c>
      <c r="H902" s="62">
        <v>-3075.5862999999999</v>
      </c>
      <c r="I902" s="62">
        <v>0</v>
      </c>
      <c r="J902" s="62"/>
      <c r="K902" s="62">
        <v>-134.17910000000001</v>
      </c>
      <c r="L902" s="62">
        <v>282.45179999999999</v>
      </c>
      <c r="M902" s="62">
        <v>524.09460000000001</v>
      </c>
      <c r="N902" s="62">
        <v>325.91449999999998</v>
      </c>
      <c r="O902" s="62">
        <v>0</v>
      </c>
      <c r="P902" s="62"/>
      <c r="Q902" s="62">
        <v>490.93450000000001</v>
      </c>
      <c r="R902" s="62">
        <v>8144.8519999999999</v>
      </c>
      <c r="S902" s="62">
        <v>3116.6925999999999</v>
      </c>
      <c r="T902" s="62">
        <v>-3480.6732000000002</v>
      </c>
      <c r="U902" s="62">
        <v>0</v>
      </c>
      <c r="V902" s="62"/>
      <c r="W902" s="62">
        <v>1455.6771000000001</v>
      </c>
      <c r="X902" s="62">
        <v>1455.6771000000001</v>
      </c>
      <c r="Y902" s="62">
        <v>1338.1338000000001</v>
      </c>
      <c r="Z902" s="62">
        <v>615.92600000000004</v>
      </c>
      <c r="AA902" s="62">
        <v>0</v>
      </c>
      <c r="AB902" s="62"/>
      <c r="AC902" s="62">
        <v>78.246265560166478</v>
      </c>
      <c r="AD902" s="62">
        <v>64.161937759336539</v>
      </c>
      <c r="AE902" s="62">
        <v>0</v>
      </c>
      <c r="AF902" s="62">
        <v>0</v>
      </c>
      <c r="AG902" s="62">
        <v>0</v>
      </c>
      <c r="AH902" s="62"/>
      <c r="AI902" s="62">
        <v>-924.42775637859984</v>
      </c>
      <c r="AJ902" s="62">
        <v>-889.77775637859986</v>
      </c>
      <c r="AK902" s="62">
        <v>-840.35437448559594</v>
      </c>
      <c r="AL902" s="62">
        <v>-536.75359999999978</v>
      </c>
      <c r="AM902" s="62">
        <v>0</v>
      </c>
    </row>
    <row r="903" spans="1:39">
      <c r="A903" s="9">
        <v>99901</v>
      </c>
      <c r="B903" s="10" t="s">
        <v>2275</v>
      </c>
      <c r="C903" s="60">
        <v>1.6707E-3</v>
      </c>
      <c r="E903" s="62">
        <v>149021.36295312765</v>
      </c>
      <c r="F903" s="62">
        <v>763306.43123802403</v>
      </c>
      <c r="G903" s="62">
        <v>383990.52296757203</v>
      </c>
      <c r="H903" s="62">
        <v>-185910.67926000003</v>
      </c>
      <c r="I903" s="62">
        <v>0</v>
      </c>
      <c r="J903" s="62"/>
      <c r="K903" s="62">
        <v>-10052.6019</v>
      </c>
      <c r="L903" s="62">
        <v>21161.086200000002</v>
      </c>
      <c r="M903" s="62">
        <v>39264.791400000002</v>
      </c>
      <c r="N903" s="62">
        <v>24417.280500000001</v>
      </c>
      <c r="O903" s="62">
        <v>0</v>
      </c>
      <c r="P903" s="62"/>
      <c r="Q903" s="62">
        <v>36780.460500000001</v>
      </c>
      <c r="R903" s="62">
        <v>610206.46799999999</v>
      </c>
      <c r="S903" s="62">
        <v>233500.37340000001</v>
      </c>
      <c r="T903" s="62">
        <v>-260769.53880000001</v>
      </c>
      <c r="U903" s="62">
        <v>0</v>
      </c>
      <c r="V903" s="62"/>
      <c r="W903" s="62">
        <v>109058.28389999999</v>
      </c>
      <c r="X903" s="62">
        <v>109058.28389999999</v>
      </c>
      <c r="Y903" s="62">
        <v>100252.0242</v>
      </c>
      <c r="Z903" s="62">
        <v>46144.733999999997</v>
      </c>
      <c r="AA903" s="62">
        <v>0</v>
      </c>
      <c r="AB903" s="62"/>
      <c r="AC903" s="62">
        <v>25255.800453127697</v>
      </c>
      <c r="AD903" s="62">
        <v>22880.593138023974</v>
      </c>
      <c r="AE903" s="62">
        <v>10973.333967572009</v>
      </c>
      <c r="AF903" s="62">
        <v>4296.8450399999747</v>
      </c>
      <c r="AG903" s="62">
        <v>0</v>
      </c>
      <c r="AH903" s="62"/>
      <c r="AI903" s="62">
        <v>-12020.580000000002</v>
      </c>
      <c r="AJ903" s="62">
        <v>0</v>
      </c>
      <c r="AK903" s="62">
        <v>0</v>
      </c>
      <c r="AL903" s="62">
        <v>0</v>
      </c>
      <c r="AM903" s="62">
        <v>0</v>
      </c>
    </row>
    <row r="904" spans="1:39">
      <c r="A904" s="9">
        <v>99911</v>
      </c>
      <c r="B904" s="10" t="s">
        <v>2276</v>
      </c>
      <c r="C904" s="60">
        <v>2.5980000000000003E-4</v>
      </c>
      <c r="E904" s="62">
        <v>15646.652572329302</v>
      </c>
      <c r="F904" s="62">
        <v>114695.97774228783</v>
      </c>
      <c r="G904" s="62">
        <v>57094.789222716056</v>
      </c>
      <c r="H904" s="62">
        <v>-28247.831560000006</v>
      </c>
      <c r="I904" s="62">
        <v>0</v>
      </c>
      <c r="J904" s="62"/>
      <c r="K904" s="62">
        <v>-1563.2166000000002</v>
      </c>
      <c r="L904" s="62">
        <v>3290.6268000000005</v>
      </c>
      <c r="M904" s="62">
        <v>6105.8196000000007</v>
      </c>
      <c r="N904" s="62">
        <v>3796.9770000000003</v>
      </c>
      <c r="O904" s="62">
        <v>0</v>
      </c>
      <c r="P904" s="62"/>
      <c r="Q904" s="62">
        <v>5719.4970000000003</v>
      </c>
      <c r="R904" s="62">
        <v>94889.352000000014</v>
      </c>
      <c r="S904" s="62">
        <v>36310.167600000001</v>
      </c>
      <c r="T904" s="62">
        <v>-40550.623200000002</v>
      </c>
      <c r="U904" s="62">
        <v>0</v>
      </c>
      <c r="V904" s="62"/>
      <c r="W904" s="62">
        <v>16958.964600000003</v>
      </c>
      <c r="X904" s="62">
        <v>16958.964600000003</v>
      </c>
      <c r="Y904" s="62">
        <v>15589.558800000001</v>
      </c>
      <c r="Z904" s="62">
        <v>7175.6760000000004</v>
      </c>
      <c r="AA904" s="62">
        <v>0</v>
      </c>
      <c r="AB904" s="62"/>
      <c r="AC904" s="62">
        <v>2345.489918008303</v>
      </c>
      <c r="AD904" s="62">
        <v>2162.7266879668086</v>
      </c>
      <c r="AE904" s="62">
        <v>1330.1386399999988</v>
      </c>
      <c r="AF904" s="62">
        <v>1330.1386399999988</v>
      </c>
      <c r="AG904" s="62">
        <v>0</v>
      </c>
      <c r="AH904" s="62"/>
      <c r="AI904" s="62">
        <v>-7814.0823456790013</v>
      </c>
      <c r="AJ904" s="62">
        <v>-2605.692345679</v>
      </c>
      <c r="AK904" s="62">
        <v>-2240.8954172839408</v>
      </c>
      <c r="AL904" s="62">
        <v>0</v>
      </c>
      <c r="AM904" s="62">
        <v>0</v>
      </c>
    </row>
    <row r="905" spans="1:39">
      <c r="A905" s="9">
        <v>99921</v>
      </c>
      <c r="B905" s="10" t="s">
        <v>2272</v>
      </c>
      <c r="C905" s="60">
        <v>1.506E-4</v>
      </c>
      <c r="E905" s="62">
        <v>9220.419373513645</v>
      </c>
      <c r="F905" s="62">
        <v>67178.258843970092</v>
      </c>
      <c r="G905" s="62">
        <v>33073.310373580243</v>
      </c>
      <c r="H905" s="62">
        <v>-18057.661240000005</v>
      </c>
      <c r="I905" s="62">
        <v>0</v>
      </c>
      <c r="J905" s="62"/>
      <c r="K905" s="62">
        <v>-906.16020000000003</v>
      </c>
      <c r="L905" s="62">
        <v>1907.4996000000001</v>
      </c>
      <c r="M905" s="62">
        <v>3539.4012000000002</v>
      </c>
      <c r="N905" s="62">
        <v>2201.0190000000002</v>
      </c>
      <c r="O905" s="62">
        <v>0</v>
      </c>
      <c r="P905" s="62"/>
      <c r="Q905" s="62">
        <v>3315.4589999999998</v>
      </c>
      <c r="R905" s="62">
        <v>55005.144</v>
      </c>
      <c r="S905" s="62">
        <v>21048.157200000001</v>
      </c>
      <c r="T905" s="62">
        <v>-23506.250400000001</v>
      </c>
      <c r="U905" s="62">
        <v>0</v>
      </c>
      <c r="V905" s="62"/>
      <c r="W905" s="62">
        <v>9830.7162000000008</v>
      </c>
      <c r="X905" s="62">
        <v>9830.7162000000008</v>
      </c>
      <c r="Y905" s="62">
        <v>9036.9035999999996</v>
      </c>
      <c r="Z905" s="62">
        <v>4159.5720000000001</v>
      </c>
      <c r="AA905" s="62">
        <v>0</v>
      </c>
      <c r="AB905" s="62"/>
      <c r="AC905" s="62">
        <v>1550.4562135136489</v>
      </c>
      <c r="AD905" s="62">
        <v>1346.9008839700823</v>
      </c>
      <c r="AE905" s="62">
        <v>360.85021358025176</v>
      </c>
      <c r="AF905" s="62">
        <v>0</v>
      </c>
      <c r="AG905" s="62">
        <v>0</v>
      </c>
      <c r="AH905" s="62"/>
      <c r="AI905" s="62">
        <v>-4570.0518400000037</v>
      </c>
      <c r="AJ905" s="62">
        <v>-912.00184000000297</v>
      </c>
      <c r="AK905" s="62">
        <v>-912.00184000000297</v>
      </c>
      <c r="AL905" s="62">
        <v>-912.00184000000297</v>
      </c>
      <c r="AM905" s="62">
        <v>0</v>
      </c>
    </row>
    <row r="906" spans="1:39">
      <c r="A906" s="9">
        <v>99931</v>
      </c>
      <c r="B906" s="10" t="s">
        <v>2273</v>
      </c>
      <c r="C906" s="60">
        <v>1.5800000000000001E-5</v>
      </c>
      <c r="E906" s="62">
        <v>-1980.9365379137012</v>
      </c>
      <c r="F906" s="62">
        <v>4529.0178446589125</v>
      </c>
      <c r="G906" s="62">
        <v>2022.3467055967069</v>
      </c>
      <c r="H906" s="62">
        <v>-3032.1338800000017</v>
      </c>
      <c r="I906" s="62">
        <v>0</v>
      </c>
      <c r="J906" s="62"/>
      <c r="K906" s="62">
        <v>-95.068600000000004</v>
      </c>
      <c r="L906" s="62">
        <v>200.12280000000001</v>
      </c>
      <c r="M906" s="62">
        <v>371.33160000000004</v>
      </c>
      <c r="N906" s="62">
        <v>230.91700000000003</v>
      </c>
      <c r="O906" s="62">
        <v>0</v>
      </c>
      <c r="P906" s="62"/>
      <c r="Q906" s="62">
        <v>347.83700000000005</v>
      </c>
      <c r="R906" s="62">
        <v>5770.7920000000004</v>
      </c>
      <c r="S906" s="62">
        <v>2208.2396000000003</v>
      </c>
      <c r="T906" s="62">
        <v>-2466.1272000000004</v>
      </c>
      <c r="U906" s="62">
        <v>0</v>
      </c>
      <c r="V906" s="62"/>
      <c r="W906" s="62">
        <v>1031.3766000000001</v>
      </c>
      <c r="X906" s="62">
        <v>1031.3766000000001</v>
      </c>
      <c r="Y906" s="62">
        <v>948.09480000000008</v>
      </c>
      <c r="Z906" s="62">
        <v>436.39600000000002</v>
      </c>
      <c r="AA906" s="62">
        <v>0</v>
      </c>
      <c r="AB906" s="62"/>
      <c r="AC906" s="62">
        <v>0</v>
      </c>
      <c r="AD906" s="62">
        <v>0</v>
      </c>
      <c r="AE906" s="62">
        <v>0</v>
      </c>
      <c r="AF906" s="62">
        <v>0</v>
      </c>
      <c r="AG906" s="62">
        <v>0</v>
      </c>
      <c r="AH906" s="62"/>
      <c r="AI906" s="62">
        <v>-3265.0815379137011</v>
      </c>
      <c r="AJ906" s="62">
        <v>-2473.2735553410871</v>
      </c>
      <c r="AK906" s="62">
        <v>-1505.3192944032933</v>
      </c>
      <c r="AL906" s="62">
        <v>-1233.3196800000012</v>
      </c>
      <c r="AM906" s="62">
        <v>0</v>
      </c>
    </row>
    <row r="907" spans="1:39">
      <c r="A907" s="9">
        <v>99941</v>
      </c>
      <c r="B907" s="10" t="s">
        <v>2274</v>
      </c>
      <c r="C907" s="60">
        <v>7.5400000000000003E-5</v>
      </c>
      <c r="E907" s="62">
        <v>1603.0912511503911</v>
      </c>
      <c r="F907" s="62">
        <v>29925.774117291472</v>
      </c>
      <c r="G907" s="62">
        <v>14062.736414485598</v>
      </c>
      <c r="H907" s="62">
        <v>-9443.9243599999991</v>
      </c>
      <c r="I907" s="62">
        <v>0</v>
      </c>
      <c r="J907" s="62"/>
      <c r="K907" s="62">
        <v>-453.68180000000001</v>
      </c>
      <c r="L907" s="62">
        <v>955.01640000000009</v>
      </c>
      <c r="M907" s="62">
        <v>1772.0508</v>
      </c>
      <c r="N907" s="62">
        <v>1101.971</v>
      </c>
      <c r="O907" s="62">
        <v>0</v>
      </c>
      <c r="P907" s="62"/>
      <c r="Q907" s="62">
        <v>1659.931</v>
      </c>
      <c r="R907" s="62">
        <v>27539.096000000001</v>
      </c>
      <c r="S907" s="62">
        <v>10538.0548</v>
      </c>
      <c r="T907" s="62">
        <v>-11768.733600000001</v>
      </c>
      <c r="U907" s="62">
        <v>0</v>
      </c>
      <c r="V907" s="62"/>
      <c r="W907" s="62">
        <v>4921.8858</v>
      </c>
      <c r="X907" s="62">
        <v>4921.8858</v>
      </c>
      <c r="Y907" s="62">
        <v>4524.4524000000001</v>
      </c>
      <c r="Z907" s="62">
        <v>2082.5480000000002</v>
      </c>
      <c r="AA907" s="62">
        <v>0</v>
      </c>
      <c r="AB907" s="62"/>
      <c r="AC907" s="62">
        <v>0</v>
      </c>
      <c r="AD907" s="62">
        <v>0</v>
      </c>
      <c r="AE907" s="62">
        <v>0</v>
      </c>
      <c r="AF907" s="62">
        <v>0</v>
      </c>
      <c r="AG907" s="62">
        <v>0</v>
      </c>
      <c r="AH907" s="62"/>
      <c r="AI907" s="62">
        <v>-4525.0437488496091</v>
      </c>
      <c r="AJ907" s="62">
        <v>-3490.2240827085307</v>
      </c>
      <c r="AK907" s="62">
        <v>-2771.821585514399</v>
      </c>
      <c r="AL907" s="62">
        <v>-859.70975999999723</v>
      </c>
      <c r="AM907" s="62">
        <v>0</v>
      </c>
    </row>
    <row r="908" spans="1:39">
      <c r="A908" s="9">
        <v>99991</v>
      </c>
      <c r="B908" s="10" t="s">
        <v>2275</v>
      </c>
      <c r="C908" s="60">
        <v>5.3450000000000004E-4</v>
      </c>
      <c r="E908" s="62">
        <v>55679.187274376971</v>
      </c>
      <c r="F908" s="62">
        <v>236319.3828403521</v>
      </c>
      <c r="G908" s="62">
        <v>115392.83146971191</v>
      </c>
      <c r="H908" s="62">
        <v>-67905.776820000043</v>
      </c>
      <c r="I908" s="62">
        <v>0</v>
      </c>
      <c r="J908" s="62"/>
      <c r="K908" s="62">
        <v>-3216.0865000000003</v>
      </c>
      <c r="L908" s="62">
        <v>6769.9770000000008</v>
      </c>
      <c r="M908" s="62">
        <v>12561.819000000001</v>
      </c>
      <c r="N908" s="62">
        <v>7811.7175000000007</v>
      </c>
      <c r="O908" s="62">
        <v>0</v>
      </c>
      <c r="P908" s="62"/>
      <c r="Q908" s="62">
        <v>11767.0175</v>
      </c>
      <c r="R908" s="62">
        <v>195220.78</v>
      </c>
      <c r="S908" s="62">
        <v>74702.789000000004</v>
      </c>
      <c r="T908" s="62">
        <v>-83426.898000000001</v>
      </c>
      <c r="U908" s="62">
        <v>0</v>
      </c>
      <c r="V908" s="62"/>
      <c r="W908" s="62">
        <v>34890.556499999999</v>
      </c>
      <c r="X908" s="62">
        <v>34890.556499999999</v>
      </c>
      <c r="Y908" s="62">
        <v>32073.207000000002</v>
      </c>
      <c r="Z908" s="62">
        <v>14762.890000000001</v>
      </c>
      <c r="AA908" s="62">
        <v>0</v>
      </c>
      <c r="AB908" s="62"/>
      <c r="AC908" s="62">
        <v>19291.186094377008</v>
      </c>
      <c r="AD908" s="62">
        <v>6491.5556603521072</v>
      </c>
      <c r="AE908" s="62">
        <v>3108.5027897119371</v>
      </c>
      <c r="AF908" s="62">
        <v>0</v>
      </c>
      <c r="AG908" s="62">
        <v>0</v>
      </c>
      <c r="AH908" s="62"/>
      <c r="AI908" s="62">
        <v>-7053.4863200000373</v>
      </c>
      <c r="AJ908" s="62">
        <v>-7053.4863200000373</v>
      </c>
      <c r="AK908" s="62">
        <v>-7053.4863200000373</v>
      </c>
      <c r="AL908" s="62">
        <v>-7053.4863200000373</v>
      </c>
      <c r="AM908" s="62">
        <v>0</v>
      </c>
    </row>
    <row r="909" spans="1:39">
      <c r="A909" s="9">
        <v>99999</v>
      </c>
      <c r="B909" s="10" t="s">
        <v>2276</v>
      </c>
      <c r="C909" s="60">
        <v>8.7509999999999997E-4</v>
      </c>
      <c r="E909" s="62">
        <v>81993.639520356839</v>
      </c>
      <c r="F909" s="62">
        <v>417157.28495355177</v>
      </c>
      <c r="G909" s="62">
        <v>207779.68439201641</v>
      </c>
      <c r="H909" s="62">
        <v>-100771.22358000003</v>
      </c>
      <c r="I909" s="62">
        <v>0</v>
      </c>
      <c r="J909" s="62"/>
      <c r="K909" s="62">
        <v>-5265.4767000000002</v>
      </c>
      <c r="L909" s="62">
        <v>11084.016599999999</v>
      </c>
      <c r="M909" s="62">
        <v>20566.600200000001</v>
      </c>
      <c r="N909" s="62">
        <v>12789.586499999999</v>
      </c>
      <c r="O909" s="62">
        <v>0</v>
      </c>
      <c r="P909" s="62"/>
      <c r="Q909" s="62">
        <v>19265.326499999999</v>
      </c>
      <c r="R909" s="62">
        <v>319621.52399999998</v>
      </c>
      <c r="S909" s="62">
        <v>122305.72619999999</v>
      </c>
      <c r="T909" s="62">
        <v>-136589.1084</v>
      </c>
      <c r="U909" s="62">
        <v>0</v>
      </c>
      <c r="V909" s="62"/>
      <c r="W909" s="62">
        <v>57123.902699999999</v>
      </c>
      <c r="X909" s="62">
        <v>57123.902699999999</v>
      </c>
      <c r="Y909" s="62">
        <v>52511.250599999999</v>
      </c>
      <c r="Z909" s="62">
        <v>24170.261999999999</v>
      </c>
      <c r="AA909" s="62">
        <v>0</v>
      </c>
      <c r="AB909" s="62"/>
      <c r="AC909" s="62">
        <v>33702.75070035689</v>
      </c>
      <c r="AD909" s="62">
        <v>30469.805333551914</v>
      </c>
      <c r="AE909" s="62">
        <v>13538.07107201647</v>
      </c>
      <c r="AF909" s="62">
        <v>0</v>
      </c>
      <c r="AG909" s="62">
        <v>0</v>
      </c>
      <c r="AH909" s="62"/>
      <c r="AI909" s="62">
        <v>-22832.863680000049</v>
      </c>
      <c r="AJ909" s="62">
        <v>-1141.9636800000444</v>
      </c>
      <c r="AK909" s="62">
        <v>-1141.9636800000444</v>
      </c>
      <c r="AL909" s="62">
        <v>-1141.9636800000444</v>
      </c>
      <c r="AM909" s="62">
        <v>0</v>
      </c>
    </row>
    <row r="910" spans="1:39">
      <c r="A910" s="9"/>
      <c r="B910" s="10"/>
      <c r="C910" s="60"/>
    </row>
    <row r="911" spans="1:39" s="52" customFormat="1">
      <c r="A911" s="86"/>
      <c r="B911" s="87" t="s">
        <v>2</v>
      </c>
      <c r="C911" s="119">
        <v>0.99999999999999978</v>
      </c>
      <c r="E911" s="129">
        <v>81275033.97203134</v>
      </c>
      <c r="F911" s="129">
        <v>443183007.37112623</v>
      </c>
      <c r="G911" s="129">
        <v>223269997.79309437</v>
      </c>
      <c r="H911" s="129">
        <v>-113849064.65600008</v>
      </c>
      <c r="I911" s="129">
        <v>0</v>
      </c>
      <c r="J911" s="129"/>
      <c r="K911" s="129">
        <v>-6017000.0000000084</v>
      </c>
      <c r="L911" s="129">
        <v>12665999.999999996</v>
      </c>
      <c r="M911" s="129">
        <v>23502000</v>
      </c>
      <c r="N911" s="129">
        <v>14614999.999999998</v>
      </c>
      <c r="O911" s="129">
        <v>0</v>
      </c>
      <c r="P911" s="129"/>
      <c r="Q911" s="129">
        <v>22014999.999999981</v>
      </c>
      <c r="R911" s="129">
        <v>365239999.99999982</v>
      </c>
      <c r="S911" s="129">
        <v>139762000.00000006</v>
      </c>
      <c r="T911" s="129">
        <v>-156084000.00000009</v>
      </c>
      <c r="U911" s="129">
        <v>0</v>
      </c>
      <c r="V911" s="129"/>
      <c r="W911" s="129">
        <v>65276999.99999997</v>
      </c>
      <c r="X911" s="129">
        <v>65276999.99999997</v>
      </c>
      <c r="Y911" s="129">
        <v>60006000</v>
      </c>
      <c r="Z911" s="129">
        <v>27620000.000000022</v>
      </c>
      <c r="AA911" s="129">
        <v>0</v>
      </c>
      <c r="AB911" s="129"/>
      <c r="AC911" s="129">
        <v>19486893.211915445</v>
      </c>
      <c r="AD911" s="129">
        <v>13173962.752376447</v>
      </c>
      <c r="AE911" s="129">
        <v>8362234.9193493938</v>
      </c>
      <c r="AF911" s="129">
        <v>3376252.3796000062</v>
      </c>
      <c r="AG911" s="129">
        <v>0</v>
      </c>
      <c r="AH911" s="129"/>
      <c r="AI911" s="129">
        <v>-19486859.239884127</v>
      </c>
      <c r="AJ911" s="129">
        <v>-13173955.381250035</v>
      </c>
      <c r="AK911" s="129">
        <v>-8362237.1262547439</v>
      </c>
      <c r="AL911" s="129">
        <v>-3376317.0356000015</v>
      </c>
      <c r="AM911" s="129">
        <v>0</v>
      </c>
    </row>
  </sheetData>
  <pageMargins left="0.25" right="0.25" top="0.75" bottom="0.75" header="0.3" footer="0.3"/>
  <pageSetup scale="60" fitToHeight="0" orientation="landscape" r:id="rId1"/>
  <headerFooter>
    <oddHeader>&amp;C&amp;"-,Bold"&amp;28Appendix C: Allocation of Deferred Inflows and Outflows</oddHeader>
    <oddFooter>&amp;R&amp;G</oddFooter>
  </headerFooter>
  <colBreaks count="5" manualBreakCount="5">
    <brk id="10" max="1048575" man="1"/>
    <brk id="16" max="1048575" man="1"/>
    <brk id="22" max="1048575" man="1"/>
    <brk id="28" max="1048575" man="1"/>
    <brk id="34" max="104857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ort_x0020_Order xmlns="b0d8bf0e-b15b-456f-8ae4-2bdf59acac1f" xsi:nil="true"/>
    <Resource_x0020_Category xmlns="b0d8bf0e-b15b-456f-8ae4-2bdf59acac1f" xsi:nil="true"/>
    <Publication_x0020_Date xmlns="b0d8bf0e-b15b-456f-8ae4-2bdf59acac1f" xsi:nil="true"/>
    <Resource_x0020_Group xmlns="b0d8bf0e-b15b-456f-8ae4-2bdf59acac1f" xsi:nil="true"/>
    <Category xmlns="b0d8bf0e-b15b-456f-8ae4-2bdf59acac1f" xsi:nil="true"/>
    <Description0 xmlns="b0d8bf0e-b15b-456f-8ae4-2bdf59acac1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63E6D748AC7C9C43A96C5224165110D7" ma:contentTypeVersion="14" ma:contentTypeDescription="Create a new document." ma:contentTypeScope="" ma:versionID="04c839d3a56f026a73d1cf96db788e9e">
  <xsd:schema xmlns:xsd="http://www.w3.org/2001/XMLSchema" xmlns:xs="http://www.w3.org/2001/XMLSchema" xmlns:p="http://schemas.microsoft.com/office/2006/metadata/properties" xmlns:ns2="b0d8bf0e-b15b-456f-8ae4-2bdf59acac1f" xmlns:ns3="d4ea4015-5b02-447c-9074-d5807a41497e" targetNamespace="http://schemas.microsoft.com/office/2006/metadata/properties" ma:root="true" ma:fieldsID="9e4fe7c83c102520a0fb93416c304af6" ns2:_="" ns3:_="">
    <xsd:import namespace="b0d8bf0e-b15b-456f-8ae4-2bdf59acac1f"/>
    <xsd:import namespace="d4ea4015-5b02-447c-9074-d5807a41497e"/>
    <xsd:element name="properties">
      <xsd:complexType>
        <xsd:sequence>
          <xsd:element name="documentManagement">
            <xsd:complexType>
              <xsd:all>
                <xsd:element ref="ns2:Category" minOccurs="0"/>
                <xsd:element ref="ns2:Description0" minOccurs="0"/>
                <xsd:element ref="ns2:Publication_x0020_Date" minOccurs="0"/>
                <xsd:element ref="ns2:Resource_x0020_Category" minOccurs="0"/>
                <xsd:element ref="ns2:Resource_x0020_Group" minOccurs="0"/>
                <xsd:element ref="ns2:Sort_x0020_Order" minOccurs="0"/>
                <xsd:element ref="ns3:_dlc_DocId" minOccurs="0"/>
                <xsd:element ref="ns3:_dlc_DocIdUrl" minOccurs="0"/>
                <xsd:element ref="ns3: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8bf0e-b15b-456f-8ae4-2bdf59acac1f" elementFormDefault="qualified">
    <xsd:import namespace="http://schemas.microsoft.com/office/2006/documentManagement/types"/>
    <xsd:import namespace="http://schemas.microsoft.com/office/infopath/2007/PartnerControls"/>
    <xsd:element name="Category" ma:index="4" nillable="true" ma:displayName="Category" ma:description="Category" ma:internalName="Category" ma:readOnly="false">
      <xsd:simpleType>
        <xsd:restriction base="dms:Text">
          <xsd:maxLength value="255"/>
        </xsd:restriction>
      </xsd:simpleType>
    </xsd:element>
    <xsd:element name="Description0" ma:index="5" nillable="true" ma:displayName="Description" ma:description="Description" ma:internalName="Description0" ma:readOnly="false">
      <xsd:simpleType>
        <xsd:restriction base="dms:Text">
          <xsd:maxLength value="255"/>
        </xsd:restriction>
      </xsd:simpleType>
    </xsd:element>
    <xsd:element name="Publication_x0020_Date" ma:index="7" nillable="true" ma:displayName="Publication Date" ma:description="Publication Date" ma:internalName="Publication_x0020_Date" ma:readOnly="false">
      <xsd:simpleType>
        <xsd:restriction base="dms:Text">
          <xsd:maxLength value="255"/>
        </xsd:restriction>
      </xsd:simpleType>
    </xsd:element>
    <xsd:element name="Resource_x0020_Category" ma:index="8" nillable="true" ma:displayName="Resource Category" ma:description="Determines if the item appears on the Sample Financial Statements page OR the Aids to Financial Statement Preparation page" ma:format="Dropdown" ma:internalName="Resource_x0020_Category" ma:readOnly="false">
      <xsd:simpleType>
        <xsd:restriction base="dms:Choice">
          <xsd:enumeration value="Sample Financial Statement"/>
          <xsd:enumeration value="Preparation Aid"/>
        </xsd:restriction>
      </xsd:simpleType>
    </xsd:element>
    <xsd:element name="Resource_x0020_Group" ma:index="9" nillable="true" ma:displayName="Resource Group" ma:format="Dropdown" ma:internalName="Resource_x0020_Group" ma:readOnly="false">
      <xsd:simpleType>
        <xsd:restriction base="dms:Choice">
          <xsd:enumeration value="Board of Education Specific Worksheets"/>
          <xsd:enumeration value="Charter School Specific Worksheets"/>
          <xsd:enumeration value="County Specific Worksheets"/>
          <xsd:enumeration value="Municipal Specific Worksheets"/>
          <xsd:enumeration value="Writing a Management Discussion &amp; Analysis"/>
        </xsd:restriction>
      </xsd:simpleType>
    </xsd:element>
    <xsd:element name="Sort_x0020_Order" ma:index="10" nillable="true" ma:displayName="Sort Order" ma:internalName="Sort_x0020_Order"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d4ea4015-5b02-447c-9074-d5807a41497e" elementFormDefault="qualified">
    <xsd:import namespace="http://schemas.microsoft.com/office/2006/documentManagement/types"/>
    <xsd:import namespace="http://schemas.microsoft.com/office/infopath/2007/PartnerControls"/>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SharedWithUsers" ma:index="1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3" ma:displayName="Title"/>
        <xsd:element ref="dc:subject" minOccurs="0" maxOccurs="1"/>
        <xsd:element ref="dc:description" minOccurs="0" maxOccurs="1"/>
        <xsd:element name="keywords" minOccurs="0" maxOccurs="1" type="xsd:string" ma:index="6"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225A94-039F-4E8A-ACEC-6E90F0905C6A}"/>
</file>

<file path=customXml/itemProps2.xml><?xml version="1.0" encoding="utf-8"?>
<ds:datastoreItem xmlns:ds="http://schemas.openxmlformats.org/officeDocument/2006/customXml" ds:itemID="{90FCD502-94B4-4588-AA47-87587211E1F2}"/>
</file>

<file path=customXml/itemProps3.xml><?xml version="1.0" encoding="utf-8"?>
<ds:datastoreItem xmlns:ds="http://schemas.openxmlformats.org/officeDocument/2006/customXml" ds:itemID="{C2F88404-3C9C-4304-965C-3C5BE9BBF2B7}"/>
</file>

<file path=customXml/itemProps4.xml><?xml version="1.0" encoding="utf-8"?>
<ds:datastoreItem xmlns:ds="http://schemas.openxmlformats.org/officeDocument/2006/customXml" ds:itemID="{53493DB8-B5E4-459F-B9C8-C2D84EE3DC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Info</vt:lpstr>
      <vt:lpstr>JE Template 2018</vt:lpstr>
      <vt:lpstr>2018 summary</vt:lpstr>
      <vt:lpstr>2017 summary</vt:lpstr>
      <vt:lpstr>LGERS Contributions FY 2017</vt:lpstr>
      <vt:lpstr>Deferred Amort MD 6-30-17</vt:lpstr>
      <vt:lpstr>'Deferred Amort MD 6-30-17'!Print_Area</vt:lpstr>
      <vt:lpstr>'JE Template 2018'!Print_Area</vt:lpstr>
      <vt:lpstr>'2017 summary'!Print_Titles</vt:lpstr>
      <vt:lpstr>'Deferred Amort MD 6-30-17'!Print_Titles</vt:lpstr>
    </vt:vector>
  </TitlesOfParts>
  <Company>NCDST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Tarlton</dc:creator>
  <cp:lastModifiedBy>Preeta Nayak</cp:lastModifiedBy>
  <cp:lastPrinted>2018-03-15T12:09:07Z</cp:lastPrinted>
  <dcterms:created xsi:type="dcterms:W3CDTF">2015-01-07T18:39:17Z</dcterms:created>
  <dcterms:modified xsi:type="dcterms:W3CDTF">2018-06-20T12:12:17Z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0x01010063E6D748AC7C9C43A96C5224165110D7</vt:lpwstr>
  </property>
</Properties>
</file>