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5.xml" ContentType="application/vnd.openxmlformats-officedocument.spreadsheetml.worksheet+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Nayak Preeta\Illustratives 2017\"/>
    </mc:Choice>
  </mc:AlternateContent>
  <bookViews>
    <workbookView xWindow="0" yWindow="0" windowWidth="19200" windowHeight="11580"/>
  </bookViews>
  <sheets>
    <sheet name="Info" sheetId="6" r:id="rId1"/>
    <sheet name="JE Template" sheetId="10" r:id="rId2"/>
    <sheet name="CY - Summary Exhibit" sheetId="8" r:id="rId3"/>
    <sheet name="PY1 - Summary Exhibit" sheetId="7" r:id="rId4"/>
    <sheet name="PY2 - Summary Exhibit" sheetId="4" r:id="rId5"/>
  </sheets>
  <externalReferences>
    <externalReference r:id="rId6"/>
  </externalReferences>
  <definedNames>
    <definedName name="_xlnm._FilterDatabase" localSheetId="3" hidden="1">'PY1 - Summary Exhibit'!$A$2:$U$296</definedName>
    <definedName name="AgencyCode" localSheetId="2">#REF!</definedName>
    <definedName name="AgencyCode" localSheetId="0">#REF!</definedName>
    <definedName name="AgencyCode" localSheetId="1">#REF!</definedName>
    <definedName name="AgencyCode" localSheetId="3">#REF!</definedName>
    <definedName name="AgencyCode">#REF!</definedName>
    <definedName name="Annuity" localSheetId="2">'[1]Assets Input'!$L$37:$L$56</definedName>
    <definedName name="Annuity" localSheetId="0">#REF!</definedName>
    <definedName name="Annuity" localSheetId="1">#REF!</definedName>
    <definedName name="Annuity" localSheetId="3">'[1]Assets Input'!$L$37:$L$56</definedName>
    <definedName name="Annuity">#REF!</definedName>
    <definedName name="AnnuityLY">#REF!</definedName>
    <definedName name="EmployerRates" localSheetId="2">#REF!</definedName>
    <definedName name="EmployerRates" localSheetId="0">#REF!</definedName>
    <definedName name="EmployerRates" localSheetId="1">#REF!</definedName>
    <definedName name="EmployerRates" localSheetId="3">#REF!</definedName>
    <definedName name="EmployerRates">#REF!</definedName>
    <definedName name="EmployerRatesLEO" localSheetId="2">#REF!</definedName>
    <definedName name="EmployerRatesLEO" localSheetId="1">#REF!</definedName>
    <definedName name="EmployerRatesLEO" localSheetId="3">#REF!</definedName>
    <definedName name="EmployerRatesLEO">#REF!</definedName>
    <definedName name="Pension" localSheetId="2">'[1]Assets Input'!$L$60:$L$95</definedName>
    <definedName name="Pension" localSheetId="1">#REF!</definedName>
    <definedName name="Pension" localSheetId="3">'[1]Assets Input'!$L$60:$L$95</definedName>
    <definedName name="Pension">#REF!</definedName>
    <definedName name="PensionLY">#REF!</definedName>
    <definedName name="_xlnm.Print_Area" localSheetId="3">'PY1 - Summary Exhibit'!$A$1:$U$298</definedName>
    <definedName name="_xlnm.Print_Area" localSheetId="4">'PY2 - Summary Exhibit'!$B$4:$U$304</definedName>
    <definedName name="_xlnm.Print_Titles" localSheetId="2">'CY - Summary Exhibit'!$2:$2</definedName>
    <definedName name="_xlnm.Print_Titles" localSheetId="3">'PY1 - Summary Exhibit'!$1:$2</definedName>
    <definedName name="_xlnm.Print_Titles" localSheetId="4">'PY2 - Summary Exhibit'!$4:$5</definedName>
    <definedName name="ProValResults" localSheetId="2">#REF!</definedName>
    <definedName name="ProValResults" localSheetId="1">#REF!</definedName>
    <definedName name="ProValResults" localSheetId="3">#REF!</definedName>
    <definedName name="ProValResults">#REF!</definedName>
    <definedName name="TableData" localSheetId="2">#REF!</definedName>
    <definedName name="TableData" localSheetId="1">#REF!</definedName>
    <definedName name="TableData" localSheetId="3">#REF!</definedName>
    <definedName name="TableData">#REF!</definedName>
    <definedName name="Type">#REF!</definedName>
    <definedName name="TypeAnnuity" localSheetId="2">'[1]Assets Input'!$K$37:$K$56</definedName>
    <definedName name="TypeAnnuity" localSheetId="1">#REF!</definedName>
    <definedName name="TypeAnnuity" localSheetId="3">'[1]Assets Input'!$K$37:$K$56</definedName>
    <definedName name="TypeAnnuity">#REF!</definedName>
    <definedName name="TypePension" localSheetId="2">'[1]Assets Input'!$K$60:$K$95</definedName>
    <definedName name="TypePension" localSheetId="1">#REF!</definedName>
    <definedName name="TypePension" localSheetId="3">'[1]Assets Input'!$K$60:$K$95</definedName>
    <definedName name="TypePension">#REF!</definedName>
    <definedName name="UnfundedData" localSheetId="2">#REF!</definedName>
    <definedName name="UnfundedData" localSheetId="1">#REF!</definedName>
    <definedName name="UnfundedData" localSheetId="3">#REF!</definedName>
    <definedName name="UnfundedData">#REF!</definedName>
    <definedName name="UnfundedLY" localSheetId="2">#REF!</definedName>
    <definedName name="UnfundedLY" localSheetId="1">#REF!</definedName>
    <definedName name="UnfundedLY" localSheetId="3">#REF!</definedName>
    <definedName name="UnfundedLY">#REF!</definedName>
    <definedName name="UnfunedLYLEO" localSheetId="2">#REF!</definedName>
    <definedName name="UnfunedLYLEO" localSheetId="1">#REF!</definedName>
    <definedName name="UnfunedLYLEO" localSheetId="3">#REF!</definedName>
    <definedName name="UnfunedLYLEO">#REF!</definedName>
  </definedNames>
  <calcPr calcId="152511"/>
</workbook>
</file>

<file path=xl/calcChain.xml><?xml version="1.0" encoding="utf-8"?>
<calcChain xmlns="http://schemas.openxmlformats.org/spreadsheetml/2006/main">
  <c r="E196" i="10" l="1"/>
  <c r="U230" i="4" l="1"/>
  <c r="U137" i="4"/>
  <c r="U136" i="4"/>
  <c r="U135" i="4"/>
  <c r="Z227" i="7"/>
  <c r="AB227" i="7"/>
  <c r="F227" i="7"/>
  <c r="C20" i="6"/>
  <c r="G20" i="10" l="1"/>
  <c r="V15" i="10"/>
  <c r="U15" i="10"/>
  <c r="T15" i="10"/>
  <c r="R15" i="10"/>
  <c r="Q15" i="10"/>
  <c r="P15" i="10"/>
  <c r="O15" i="10"/>
  <c r="M15" i="10"/>
  <c r="L15" i="10"/>
  <c r="K15" i="10"/>
  <c r="J15" i="10"/>
  <c r="H15" i="10"/>
  <c r="G15" i="10"/>
  <c r="F15" i="10"/>
  <c r="O37" i="10"/>
  <c r="R37" i="10" s="1"/>
  <c r="I37" i="10"/>
  <c r="M37" i="10" s="1"/>
  <c r="C37" i="10"/>
  <c r="H37" i="10" s="1"/>
  <c r="F249" i="10"/>
  <c r="F302" i="8"/>
  <c r="E302" i="8"/>
  <c r="F37" i="10" l="1"/>
  <c r="G37" i="10"/>
  <c r="E37" i="10"/>
  <c r="K37" i="10"/>
  <c r="Q37" i="10"/>
  <c r="L37" i="10"/>
  <c r="S37" i="10"/>
  <c r="N37" i="10"/>
  <c r="T37" i="10"/>
  <c r="E231" i="10"/>
  <c r="F197" i="10"/>
  <c r="U302" i="8"/>
  <c r="T302" i="8"/>
  <c r="S302" i="8"/>
  <c r="Q302" i="8"/>
  <c r="P302" i="8"/>
  <c r="O302" i="8"/>
  <c r="N302" i="8"/>
  <c r="L302" i="8"/>
  <c r="K302" i="8"/>
  <c r="J302" i="8"/>
  <c r="I302" i="8"/>
  <c r="G302" i="8"/>
  <c r="D302" i="8"/>
  <c r="C302" i="8"/>
  <c r="E298" i="7" l="1"/>
  <c r="F20" i="10" s="1"/>
  <c r="F295" i="7"/>
  <c r="F294" i="7"/>
  <c r="F293" i="7"/>
  <c r="F292" i="7"/>
  <c r="F291" i="7"/>
  <c r="F290" i="7"/>
  <c r="F289" i="7"/>
  <c r="F288" i="7"/>
  <c r="F287" i="7"/>
  <c r="F286" i="7"/>
  <c r="F285" i="7"/>
  <c r="F284" i="7"/>
  <c r="F283" i="7"/>
  <c r="F282" i="7"/>
  <c r="F281" i="7"/>
  <c r="F280" i="7"/>
  <c r="F279" i="7"/>
  <c r="F278" i="7"/>
  <c r="F277" i="7"/>
  <c r="F276" i="7"/>
  <c r="F275" i="7"/>
  <c r="F274" i="7"/>
  <c r="F273" i="7"/>
  <c r="F272" i="7"/>
  <c r="F271" i="7"/>
  <c r="F270" i="7"/>
  <c r="F269" i="7"/>
  <c r="F268" i="7"/>
  <c r="F267" i="7"/>
  <c r="F266" i="7"/>
  <c r="F265" i="7"/>
  <c r="F264" i="7"/>
  <c r="F263" i="7"/>
  <c r="F262" i="7"/>
  <c r="F261" i="7"/>
  <c r="F260" i="7"/>
  <c r="F259" i="7"/>
  <c r="F258" i="7"/>
  <c r="F257" i="7"/>
  <c r="F256" i="7"/>
  <c r="F255" i="7"/>
  <c r="F254" i="7"/>
  <c r="F253" i="7"/>
  <c r="F252" i="7"/>
  <c r="F251" i="7"/>
  <c r="F250" i="7"/>
  <c r="F249" i="7"/>
  <c r="F248" i="7"/>
  <c r="F247" i="7"/>
  <c r="F246" i="7"/>
  <c r="F245" i="7"/>
  <c r="F244" i="7"/>
  <c r="F243" i="7"/>
  <c r="F242" i="7"/>
  <c r="F241" i="7"/>
  <c r="F240" i="7"/>
  <c r="F239" i="7"/>
  <c r="F238" i="7"/>
  <c r="F237" i="7"/>
  <c r="F236" i="7"/>
  <c r="F235" i="7"/>
  <c r="F234" i="7"/>
  <c r="F233" i="7"/>
  <c r="F232" i="7"/>
  <c r="F231" i="7"/>
  <c r="F230" i="7"/>
  <c r="F229" i="7"/>
  <c r="F228" i="7"/>
  <c r="F226" i="7"/>
  <c r="F225" i="7"/>
  <c r="F224" i="7"/>
  <c r="F223" i="7"/>
  <c r="F222" i="7"/>
  <c r="F221" i="7"/>
  <c r="F220" i="7"/>
  <c r="F219" i="7"/>
  <c r="F218" i="7"/>
  <c r="F217" i="7"/>
  <c r="F216" i="7"/>
  <c r="F215" i="7"/>
  <c r="F214" i="7"/>
  <c r="F213" i="7"/>
  <c r="F212" i="7"/>
  <c r="F211" i="7"/>
  <c r="F210" i="7"/>
  <c r="F209" i="7"/>
  <c r="F208" i="7"/>
  <c r="F207" i="7"/>
  <c r="F206" i="7"/>
  <c r="F205" i="7"/>
  <c r="F204" i="7"/>
  <c r="F203" i="7"/>
  <c r="F202" i="7"/>
  <c r="F201" i="7"/>
  <c r="F200" i="7"/>
  <c r="F199" i="7"/>
  <c r="F198" i="7"/>
  <c r="F197" i="7"/>
  <c r="F196" i="7"/>
  <c r="F195"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F296" i="7"/>
  <c r="C2" i="10"/>
  <c r="U298" i="7"/>
  <c r="V20" i="10" s="1"/>
  <c r="T298" i="7"/>
  <c r="U20" i="10" s="1"/>
  <c r="S298" i="7"/>
  <c r="T20" i="10" s="1"/>
  <c r="Q298" i="7"/>
  <c r="R20" i="10" s="1"/>
  <c r="P298" i="7"/>
  <c r="Q20" i="10" s="1"/>
  <c r="O298" i="7"/>
  <c r="P20" i="10" s="1"/>
  <c r="N298" i="7"/>
  <c r="O20" i="10" s="1"/>
  <c r="L298" i="7"/>
  <c r="M20" i="10" s="1"/>
  <c r="K298" i="7"/>
  <c r="L20" i="10" s="1"/>
  <c r="J298" i="7"/>
  <c r="K20" i="10" s="1"/>
  <c r="I298" i="7"/>
  <c r="J20" i="10" s="1"/>
  <c r="G298" i="7"/>
  <c r="H20" i="10" s="1"/>
  <c r="AB296" i="7"/>
  <c r="Z296" i="7"/>
  <c r="Y296" i="7"/>
  <c r="AB295" i="7"/>
  <c r="Z295" i="7"/>
  <c r="Y295" i="7"/>
  <c r="AB294" i="7"/>
  <c r="Z294" i="7"/>
  <c r="Y294" i="7"/>
  <c r="AB293" i="7"/>
  <c r="Z293" i="7"/>
  <c r="Y293" i="7"/>
  <c r="AB292" i="7"/>
  <c r="Z292" i="7"/>
  <c r="Y292" i="7"/>
  <c r="AB291" i="7"/>
  <c r="Z291" i="7"/>
  <c r="Y291" i="7"/>
  <c r="AB290" i="7"/>
  <c r="Z290" i="7"/>
  <c r="Y290" i="7"/>
  <c r="AB289" i="7"/>
  <c r="Z289" i="7"/>
  <c r="Y289" i="7"/>
  <c r="AB288" i="7"/>
  <c r="Z288" i="7"/>
  <c r="Y288" i="7"/>
  <c r="AB287" i="7"/>
  <c r="Z287" i="7"/>
  <c r="Y287" i="7"/>
  <c r="AB286" i="7"/>
  <c r="Z286" i="7"/>
  <c r="Y286" i="7"/>
  <c r="AB285" i="7"/>
  <c r="Z285" i="7"/>
  <c r="Y285" i="7"/>
  <c r="AB284" i="7"/>
  <c r="Z284" i="7"/>
  <c r="Y284" i="7"/>
  <c r="AB283" i="7"/>
  <c r="Z283" i="7"/>
  <c r="Y283" i="7"/>
  <c r="AB282" i="7"/>
  <c r="Z282" i="7"/>
  <c r="Y282" i="7"/>
  <c r="AB281" i="7"/>
  <c r="Z281" i="7"/>
  <c r="Y281" i="7"/>
  <c r="AB280" i="7"/>
  <c r="Z280" i="7"/>
  <c r="Y280" i="7"/>
  <c r="AB279" i="7"/>
  <c r="Z279" i="7"/>
  <c r="Y279" i="7"/>
  <c r="AB278" i="7"/>
  <c r="Z278" i="7"/>
  <c r="Y278" i="7"/>
  <c r="AB277" i="7"/>
  <c r="Z277" i="7"/>
  <c r="Y277" i="7"/>
  <c r="AB276" i="7"/>
  <c r="Z276" i="7"/>
  <c r="Y276" i="7"/>
  <c r="AB275" i="7"/>
  <c r="Z275" i="7"/>
  <c r="Y275" i="7"/>
  <c r="AB274" i="7"/>
  <c r="Z274" i="7"/>
  <c r="Y274" i="7"/>
  <c r="AB273" i="7"/>
  <c r="Z273" i="7"/>
  <c r="Y273" i="7"/>
  <c r="AB272" i="7"/>
  <c r="Z272" i="7"/>
  <c r="Y272" i="7"/>
  <c r="AB271" i="7"/>
  <c r="Z271" i="7"/>
  <c r="Y271" i="7"/>
  <c r="AB270" i="7"/>
  <c r="Z270" i="7"/>
  <c r="Y270" i="7"/>
  <c r="AB269" i="7"/>
  <c r="Z269" i="7"/>
  <c r="Y269" i="7"/>
  <c r="AB268" i="7"/>
  <c r="Z268" i="7"/>
  <c r="Y268" i="7"/>
  <c r="AB267" i="7"/>
  <c r="Z267" i="7"/>
  <c r="Y267" i="7"/>
  <c r="AB266" i="7"/>
  <c r="Z266" i="7"/>
  <c r="Y266" i="7"/>
  <c r="AB265" i="7"/>
  <c r="Z265" i="7"/>
  <c r="Y265" i="7"/>
  <c r="AB264" i="7"/>
  <c r="Z264" i="7"/>
  <c r="Y264" i="7"/>
  <c r="AB263" i="7"/>
  <c r="Z263" i="7"/>
  <c r="Y263" i="7"/>
  <c r="AB262" i="7"/>
  <c r="Z262" i="7"/>
  <c r="Y262" i="7"/>
  <c r="AB261" i="7"/>
  <c r="Z261" i="7"/>
  <c r="Y261" i="7"/>
  <c r="AB260" i="7"/>
  <c r="Z260" i="7"/>
  <c r="Y260" i="7"/>
  <c r="AB259" i="7"/>
  <c r="Z259" i="7"/>
  <c r="Y259" i="7"/>
  <c r="AB258" i="7"/>
  <c r="Z258" i="7"/>
  <c r="Y258" i="7"/>
  <c r="AB257" i="7"/>
  <c r="Z257" i="7"/>
  <c r="Y257" i="7"/>
  <c r="AB256" i="7"/>
  <c r="Z256" i="7"/>
  <c r="Y256" i="7"/>
  <c r="AB255" i="7"/>
  <c r="Z255" i="7"/>
  <c r="Y255" i="7"/>
  <c r="AB254" i="7"/>
  <c r="Z254" i="7"/>
  <c r="Y254" i="7"/>
  <c r="AB253" i="7"/>
  <c r="Z253" i="7"/>
  <c r="Y253" i="7"/>
  <c r="AB252" i="7"/>
  <c r="Z252" i="7"/>
  <c r="Y252" i="7"/>
  <c r="AB251" i="7"/>
  <c r="Z251" i="7"/>
  <c r="Y251" i="7"/>
  <c r="AB250" i="7"/>
  <c r="Z250" i="7"/>
  <c r="Y250" i="7"/>
  <c r="AB249" i="7"/>
  <c r="Z249" i="7"/>
  <c r="Y249" i="7"/>
  <c r="AB248" i="7"/>
  <c r="Z248" i="7"/>
  <c r="Y248" i="7"/>
  <c r="AB247" i="7"/>
  <c r="Z247" i="7"/>
  <c r="Y247" i="7"/>
  <c r="AB246" i="7"/>
  <c r="Z246" i="7"/>
  <c r="Y246" i="7"/>
  <c r="AB245" i="7"/>
  <c r="Z245" i="7"/>
  <c r="Y245" i="7"/>
  <c r="AB244" i="7"/>
  <c r="Z244" i="7"/>
  <c r="Y244" i="7"/>
  <c r="AB243" i="7"/>
  <c r="Z243" i="7"/>
  <c r="Y243" i="7"/>
  <c r="AB242" i="7"/>
  <c r="Z242" i="7"/>
  <c r="Y242" i="7"/>
  <c r="AB241" i="7"/>
  <c r="Z241" i="7"/>
  <c r="Y241" i="7"/>
  <c r="AB240" i="7"/>
  <c r="Z240" i="7"/>
  <c r="Y240" i="7"/>
  <c r="AB239" i="7"/>
  <c r="Z239" i="7"/>
  <c r="Y239" i="7"/>
  <c r="AB238" i="7"/>
  <c r="Z238" i="7"/>
  <c r="Y238" i="7"/>
  <c r="AB237" i="7"/>
  <c r="Z237" i="7"/>
  <c r="Y237" i="7"/>
  <c r="AB236" i="7"/>
  <c r="Z236" i="7"/>
  <c r="Y236" i="7"/>
  <c r="AB235" i="7"/>
  <c r="Z235" i="7"/>
  <c r="Y235" i="7"/>
  <c r="AB234" i="7"/>
  <c r="Z234" i="7"/>
  <c r="Y234" i="7"/>
  <c r="AB233" i="7"/>
  <c r="Z233" i="7"/>
  <c r="Y233" i="7"/>
  <c r="AB232" i="7"/>
  <c r="Z232" i="7"/>
  <c r="Y232" i="7"/>
  <c r="AB231" i="7"/>
  <c r="Z231" i="7"/>
  <c r="Y231" i="7"/>
  <c r="AB230" i="7"/>
  <c r="Z230" i="7"/>
  <c r="Y230" i="7"/>
  <c r="AB229" i="7"/>
  <c r="Z229" i="7"/>
  <c r="Y229" i="7"/>
  <c r="AB228" i="7"/>
  <c r="Z228" i="7"/>
  <c r="Y228" i="7"/>
  <c r="AB226" i="7"/>
  <c r="Z226" i="7"/>
  <c r="Y226" i="7"/>
  <c r="AB225" i="7"/>
  <c r="Z225" i="7"/>
  <c r="Y225" i="7"/>
  <c r="AB224" i="7"/>
  <c r="Z224" i="7"/>
  <c r="Y224" i="7"/>
  <c r="AB223" i="7"/>
  <c r="Z223" i="7"/>
  <c r="Y223" i="7"/>
  <c r="AB222" i="7"/>
  <c r="Z222" i="7"/>
  <c r="Y222" i="7"/>
  <c r="AB221" i="7"/>
  <c r="Z221" i="7"/>
  <c r="Y221" i="7"/>
  <c r="AB220" i="7"/>
  <c r="Z220" i="7"/>
  <c r="Y220" i="7"/>
  <c r="AB219" i="7"/>
  <c r="Z219" i="7"/>
  <c r="Y219" i="7"/>
  <c r="AB218" i="7"/>
  <c r="Z218" i="7"/>
  <c r="Y218" i="7"/>
  <c r="AB217" i="7"/>
  <c r="Z217" i="7"/>
  <c r="Y217" i="7"/>
  <c r="AB216" i="7"/>
  <c r="Z216" i="7"/>
  <c r="Y216" i="7"/>
  <c r="AB215" i="7"/>
  <c r="Z215" i="7"/>
  <c r="Y215" i="7"/>
  <c r="AB214" i="7"/>
  <c r="Z214" i="7"/>
  <c r="Y214" i="7"/>
  <c r="AB213" i="7"/>
  <c r="Z213" i="7"/>
  <c r="Y213" i="7"/>
  <c r="AB212" i="7"/>
  <c r="Z212" i="7"/>
  <c r="Y212" i="7"/>
  <c r="AB211" i="7"/>
  <c r="Z211" i="7"/>
  <c r="Y211" i="7"/>
  <c r="AB210" i="7"/>
  <c r="Z210" i="7"/>
  <c r="Y210" i="7"/>
  <c r="AB209" i="7"/>
  <c r="Z209" i="7"/>
  <c r="Y209" i="7"/>
  <c r="AB208" i="7"/>
  <c r="Z208" i="7"/>
  <c r="Y208" i="7"/>
  <c r="AB207" i="7"/>
  <c r="Z207" i="7"/>
  <c r="Y207" i="7"/>
  <c r="AB206" i="7"/>
  <c r="Z206" i="7"/>
  <c r="Y206" i="7"/>
  <c r="AB205" i="7"/>
  <c r="Z205" i="7"/>
  <c r="Y205" i="7"/>
  <c r="AB204" i="7"/>
  <c r="Z204" i="7"/>
  <c r="Y204" i="7"/>
  <c r="AB203" i="7"/>
  <c r="Z203" i="7"/>
  <c r="Y203" i="7"/>
  <c r="AB202" i="7"/>
  <c r="Z202" i="7"/>
  <c r="Y202" i="7"/>
  <c r="AB201" i="7"/>
  <c r="Z201" i="7"/>
  <c r="Y201" i="7"/>
  <c r="AB200" i="7"/>
  <c r="Z200" i="7"/>
  <c r="Y200" i="7"/>
  <c r="AB199" i="7"/>
  <c r="Z199" i="7"/>
  <c r="Y199" i="7"/>
  <c r="AB198" i="7"/>
  <c r="Z198" i="7"/>
  <c r="Y198" i="7"/>
  <c r="AB197" i="7"/>
  <c r="Z197" i="7"/>
  <c r="Y197" i="7"/>
  <c r="AB196" i="7"/>
  <c r="Z196" i="7"/>
  <c r="Y196" i="7"/>
  <c r="AB195" i="7"/>
  <c r="Z195" i="7"/>
  <c r="Y195" i="7"/>
  <c r="AB194" i="7"/>
  <c r="Z194" i="7"/>
  <c r="Y194" i="7"/>
  <c r="AB193" i="7"/>
  <c r="Z193" i="7"/>
  <c r="Y193" i="7"/>
  <c r="AB192" i="7"/>
  <c r="Z192" i="7"/>
  <c r="Y192" i="7"/>
  <c r="AB191" i="7"/>
  <c r="Z191" i="7"/>
  <c r="Y191" i="7"/>
  <c r="AB190" i="7"/>
  <c r="Z190" i="7"/>
  <c r="Y190" i="7"/>
  <c r="AB189" i="7"/>
  <c r="Z189" i="7"/>
  <c r="Y189" i="7"/>
  <c r="AB188" i="7"/>
  <c r="Z188" i="7"/>
  <c r="Y188" i="7"/>
  <c r="AB187" i="7"/>
  <c r="Z187" i="7"/>
  <c r="Y187" i="7"/>
  <c r="AB186" i="7"/>
  <c r="Z186" i="7"/>
  <c r="Y186" i="7"/>
  <c r="AB185" i="7"/>
  <c r="Z185" i="7"/>
  <c r="Y185" i="7"/>
  <c r="AB184" i="7"/>
  <c r="Z184" i="7"/>
  <c r="Y184" i="7"/>
  <c r="AB183" i="7"/>
  <c r="Z183" i="7"/>
  <c r="Y183" i="7"/>
  <c r="AB182" i="7"/>
  <c r="Z182" i="7"/>
  <c r="Y182" i="7"/>
  <c r="AB181" i="7"/>
  <c r="Z181" i="7"/>
  <c r="Y181" i="7"/>
  <c r="AB180" i="7"/>
  <c r="Z180" i="7"/>
  <c r="Y180" i="7"/>
  <c r="AB179" i="7"/>
  <c r="Z179" i="7"/>
  <c r="Y179" i="7"/>
  <c r="AB178" i="7"/>
  <c r="Z178" i="7"/>
  <c r="Y178" i="7"/>
  <c r="AB177" i="7"/>
  <c r="Z177" i="7"/>
  <c r="Y177" i="7"/>
  <c r="AB176" i="7"/>
  <c r="Z176" i="7"/>
  <c r="Y176" i="7"/>
  <c r="AB175" i="7"/>
  <c r="Z175" i="7"/>
  <c r="Y175" i="7"/>
  <c r="AB174" i="7"/>
  <c r="Z174" i="7"/>
  <c r="Y174" i="7"/>
  <c r="AB173" i="7"/>
  <c r="Z173" i="7"/>
  <c r="Y173" i="7"/>
  <c r="AB172" i="7"/>
  <c r="Z172" i="7"/>
  <c r="Y172" i="7"/>
  <c r="AB171" i="7"/>
  <c r="Z171" i="7"/>
  <c r="Y171" i="7"/>
  <c r="AB170" i="7"/>
  <c r="Z170" i="7"/>
  <c r="Y170" i="7"/>
  <c r="AB169" i="7"/>
  <c r="Z169" i="7"/>
  <c r="Y169" i="7"/>
  <c r="AB168" i="7"/>
  <c r="Z168" i="7"/>
  <c r="Y168" i="7"/>
  <c r="AB167" i="7"/>
  <c r="Z167" i="7"/>
  <c r="Y167" i="7"/>
  <c r="AB166" i="7"/>
  <c r="Z166" i="7"/>
  <c r="Y166" i="7"/>
  <c r="AB165" i="7"/>
  <c r="Z165" i="7"/>
  <c r="Y165" i="7"/>
  <c r="AB164" i="7"/>
  <c r="Z164" i="7"/>
  <c r="Y164" i="7"/>
  <c r="AB163" i="7"/>
  <c r="Z163" i="7"/>
  <c r="Y163" i="7"/>
  <c r="AB162" i="7"/>
  <c r="Z162" i="7"/>
  <c r="Y162" i="7"/>
  <c r="AB161" i="7"/>
  <c r="Z161" i="7"/>
  <c r="Y161" i="7"/>
  <c r="AB160" i="7"/>
  <c r="Z160" i="7"/>
  <c r="Y160" i="7"/>
  <c r="AB159" i="7"/>
  <c r="Z159" i="7"/>
  <c r="Y159" i="7"/>
  <c r="AB158" i="7"/>
  <c r="Z158" i="7"/>
  <c r="Y158" i="7"/>
  <c r="AB157" i="7"/>
  <c r="Z157" i="7"/>
  <c r="Y157" i="7"/>
  <c r="AB156" i="7"/>
  <c r="Z156" i="7"/>
  <c r="Y156" i="7"/>
  <c r="AB155" i="7"/>
  <c r="Z155" i="7"/>
  <c r="Y155" i="7"/>
  <c r="AB154" i="7"/>
  <c r="Z154" i="7"/>
  <c r="Y154" i="7"/>
  <c r="AB153" i="7"/>
  <c r="Z153" i="7"/>
  <c r="Y153" i="7"/>
  <c r="AB152" i="7"/>
  <c r="Z152" i="7"/>
  <c r="Y152" i="7"/>
  <c r="AB151" i="7"/>
  <c r="Z151" i="7"/>
  <c r="Y151" i="7"/>
  <c r="AB150" i="7"/>
  <c r="Z150" i="7"/>
  <c r="Y150" i="7"/>
  <c r="AB149" i="7"/>
  <c r="Z149" i="7"/>
  <c r="Y149" i="7"/>
  <c r="AB148" i="7"/>
  <c r="Z148" i="7"/>
  <c r="Y148" i="7"/>
  <c r="AB147" i="7"/>
  <c r="Z147" i="7"/>
  <c r="Y147" i="7"/>
  <c r="AB146" i="7"/>
  <c r="Z146" i="7"/>
  <c r="Y146" i="7"/>
  <c r="AB145" i="7"/>
  <c r="Z145" i="7"/>
  <c r="Y145" i="7"/>
  <c r="AB144" i="7"/>
  <c r="Z144" i="7"/>
  <c r="Y144" i="7"/>
  <c r="AB143" i="7"/>
  <c r="Z143" i="7"/>
  <c r="Y143" i="7"/>
  <c r="AB142" i="7"/>
  <c r="Z142" i="7"/>
  <c r="Y142" i="7"/>
  <c r="AB141" i="7"/>
  <c r="Z141" i="7"/>
  <c r="Y141" i="7"/>
  <c r="AB140" i="7"/>
  <c r="Z140" i="7"/>
  <c r="Y140" i="7"/>
  <c r="AB139" i="7"/>
  <c r="Z139" i="7"/>
  <c r="Y139" i="7"/>
  <c r="AB138" i="7"/>
  <c r="Z138" i="7"/>
  <c r="Y138" i="7"/>
  <c r="AB137" i="7"/>
  <c r="Z137" i="7"/>
  <c r="Y137" i="7"/>
  <c r="AB136" i="7"/>
  <c r="Z136" i="7"/>
  <c r="Y136" i="7"/>
  <c r="AB135" i="7"/>
  <c r="Z135" i="7"/>
  <c r="Y135" i="7"/>
  <c r="AB134" i="7"/>
  <c r="Z134" i="7"/>
  <c r="Y134" i="7"/>
  <c r="AB133" i="7"/>
  <c r="Z133" i="7"/>
  <c r="Y133" i="7"/>
  <c r="AB132" i="7"/>
  <c r="Z132" i="7"/>
  <c r="Y132" i="7"/>
  <c r="AB131" i="7"/>
  <c r="Z131" i="7"/>
  <c r="Y131" i="7"/>
  <c r="AB130" i="7"/>
  <c r="Z130" i="7"/>
  <c r="Y130" i="7"/>
  <c r="AB129" i="7"/>
  <c r="Z129" i="7"/>
  <c r="Y129" i="7"/>
  <c r="AB128" i="7"/>
  <c r="Z128" i="7"/>
  <c r="Y128" i="7"/>
  <c r="AB127" i="7"/>
  <c r="Z127" i="7"/>
  <c r="Y127" i="7"/>
  <c r="AB126" i="7"/>
  <c r="Z126" i="7"/>
  <c r="Y126" i="7"/>
  <c r="AB125" i="7"/>
  <c r="Z125" i="7"/>
  <c r="Y125" i="7"/>
  <c r="AB124" i="7"/>
  <c r="Z124" i="7"/>
  <c r="Y124" i="7"/>
  <c r="AB123" i="7"/>
  <c r="Z123" i="7"/>
  <c r="Y123" i="7"/>
  <c r="AB122" i="7"/>
  <c r="Z122" i="7"/>
  <c r="Y122" i="7"/>
  <c r="AB121" i="7"/>
  <c r="Z121" i="7"/>
  <c r="Y121" i="7"/>
  <c r="AB120" i="7"/>
  <c r="Z120" i="7"/>
  <c r="Y120" i="7"/>
  <c r="AB119" i="7"/>
  <c r="Z119" i="7"/>
  <c r="Y119" i="7"/>
  <c r="AB118" i="7"/>
  <c r="Z118" i="7"/>
  <c r="Y118" i="7"/>
  <c r="AB117" i="7"/>
  <c r="Z117" i="7"/>
  <c r="Y117" i="7"/>
  <c r="AB116" i="7"/>
  <c r="Z116" i="7"/>
  <c r="Y116" i="7"/>
  <c r="AB115" i="7"/>
  <c r="Z115" i="7"/>
  <c r="Y115" i="7"/>
  <c r="AB114" i="7"/>
  <c r="Z114" i="7"/>
  <c r="Y114" i="7"/>
  <c r="AB113" i="7"/>
  <c r="Z113" i="7"/>
  <c r="Y113" i="7"/>
  <c r="AB112" i="7"/>
  <c r="Z112" i="7"/>
  <c r="Y112" i="7"/>
  <c r="AB111" i="7"/>
  <c r="Z111" i="7"/>
  <c r="Y111" i="7"/>
  <c r="AB110" i="7"/>
  <c r="Z110" i="7"/>
  <c r="Y110" i="7"/>
  <c r="AB109" i="7"/>
  <c r="Z109" i="7"/>
  <c r="Y109" i="7"/>
  <c r="AB108" i="7"/>
  <c r="Z108" i="7"/>
  <c r="Y108" i="7"/>
  <c r="AB107" i="7"/>
  <c r="Z107" i="7"/>
  <c r="Y107" i="7"/>
  <c r="AB106" i="7"/>
  <c r="Z106" i="7"/>
  <c r="Y106" i="7"/>
  <c r="AB105" i="7"/>
  <c r="Z105" i="7"/>
  <c r="Y105" i="7"/>
  <c r="AB104" i="7"/>
  <c r="Z104" i="7"/>
  <c r="Y104" i="7"/>
  <c r="AB103" i="7"/>
  <c r="Z103" i="7"/>
  <c r="Y103" i="7"/>
  <c r="AB102" i="7"/>
  <c r="Z102" i="7"/>
  <c r="Y102" i="7"/>
  <c r="AB101" i="7"/>
  <c r="Z101" i="7"/>
  <c r="Y101" i="7"/>
  <c r="AB100" i="7"/>
  <c r="Z100" i="7"/>
  <c r="Y100" i="7"/>
  <c r="AB99" i="7"/>
  <c r="Z99" i="7"/>
  <c r="Y99" i="7"/>
  <c r="AB98" i="7"/>
  <c r="Z98" i="7"/>
  <c r="Y98" i="7"/>
  <c r="AB97" i="7"/>
  <c r="Z97" i="7"/>
  <c r="Y97" i="7"/>
  <c r="AB96" i="7"/>
  <c r="Z96" i="7"/>
  <c r="Y96" i="7"/>
  <c r="AB95" i="7"/>
  <c r="Z95" i="7"/>
  <c r="Y95" i="7"/>
  <c r="AB94" i="7"/>
  <c r="Z94" i="7"/>
  <c r="Y94" i="7"/>
  <c r="AB93" i="7"/>
  <c r="Z93" i="7"/>
  <c r="Y93" i="7"/>
  <c r="AB92" i="7"/>
  <c r="Z92" i="7"/>
  <c r="Y92" i="7"/>
  <c r="AB91" i="7"/>
  <c r="Z91" i="7"/>
  <c r="Y91" i="7"/>
  <c r="AB90" i="7"/>
  <c r="Z90" i="7"/>
  <c r="Y90" i="7"/>
  <c r="AB89" i="7"/>
  <c r="Z89" i="7"/>
  <c r="Y89" i="7"/>
  <c r="AB88" i="7"/>
  <c r="Z88" i="7"/>
  <c r="Y88" i="7"/>
  <c r="AB87" i="7"/>
  <c r="Z87" i="7"/>
  <c r="Y87" i="7"/>
  <c r="AB86" i="7"/>
  <c r="Z86" i="7"/>
  <c r="Y86" i="7"/>
  <c r="AB85" i="7"/>
  <c r="Z85" i="7"/>
  <c r="Y85" i="7"/>
  <c r="AB84" i="7"/>
  <c r="Z84" i="7"/>
  <c r="Y84" i="7"/>
  <c r="AB83" i="7"/>
  <c r="Z83" i="7"/>
  <c r="Y83" i="7"/>
  <c r="AB82" i="7"/>
  <c r="Z82" i="7"/>
  <c r="Y82" i="7"/>
  <c r="AB81" i="7"/>
  <c r="Z81" i="7"/>
  <c r="Y81" i="7"/>
  <c r="AB80" i="7"/>
  <c r="Z80" i="7"/>
  <c r="Y80" i="7"/>
  <c r="AB79" i="7"/>
  <c r="Z79" i="7"/>
  <c r="Y79" i="7"/>
  <c r="AB78" i="7"/>
  <c r="Z78" i="7"/>
  <c r="Y78" i="7"/>
  <c r="AB77" i="7"/>
  <c r="Z77" i="7"/>
  <c r="Y77" i="7"/>
  <c r="AB76" i="7"/>
  <c r="Z76" i="7"/>
  <c r="Y76" i="7"/>
  <c r="AB75" i="7"/>
  <c r="Z75" i="7"/>
  <c r="Y75" i="7"/>
  <c r="AB74" i="7"/>
  <c r="Z74" i="7"/>
  <c r="Y74" i="7"/>
  <c r="AB73" i="7"/>
  <c r="Z73" i="7"/>
  <c r="Y73" i="7"/>
  <c r="AB72" i="7"/>
  <c r="Z72" i="7"/>
  <c r="Y72" i="7"/>
  <c r="AB71" i="7"/>
  <c r="Z71" i="7"/>
  <c r="Y71" i="7"/>
  <c r="AB70" i="7"/>
  <c r="Z70" i="7"/>
  <c r="Y70" i="7"/>
  <c r="AB69" i="7"/>
  <c r="Z69" i="7"/>
  <c r="Y69" i="7"/>
  <c r="AB68" i="7"/>
  <c r="Z68" i="7"/>
  <c r="Y68" i="7"/>
  <c r="AB67" i="7"/>
  <c r="Z67" i="7"/>
  <c r="Y67" i="7"/>
  <c r="AB66" i="7"/>
  <c r="Z66" i="7"/>
  <c r="Y66" i="7"/>
  <c r="AB65" i="7"/>
  <c r="Z65" i="7"/>
  <c r="Y65" i="7"/>
  <c r="AB64" i="7"/>
  <c r="Z64" i="7"/>
  <c r="Y64" i="7"/>
  <c r="AB63" i="7"/>
  <c r="Z63" i="7"/>
  <c r="Y63" i="7"/>
  <c r="AB62" i="7"/>
  <c r="Z62" i="7"/>
  <c r="Y62" i="7"/>
  <c r="AB61" i="7"/>
  <c r="Z61" i="7"/>
  <c r="Y61" i="7"/>
  <c r="AB60" i="7"/>
  <c r="Z60" i="7"/>
  <c r="Y60" i="7"/>
  <c r="AB59" i="7"/>
  <c r="Z59" i="7"/>
  <c r="Y59" i="7"/>
  <c r="AB58" i="7"/>
  <c r="Z58" i="7"/>
  <c r="Y58" i="7"/>
  <c r="AB57" i="7"/>
  <c r="Z57" i="7"/>
  <c r="Y57" i="7"/>
  <c r="AB56" i="7"/>
  <c r="Z56" i="7"/>
  <c r="Y56" i="7"/>
  <c r="AB55" i="7"/>
  <c r="Z55" i="7"/>
  <c r="Y55" i="7"/>
  <c r="AB54" i="7"/>
  <c r="Z54" i="7"/>
  <c r="Y54" i="7"/>
  <c r="AB53" i="7"/>
  <c r="Z53" i="7"/>
  <c r="Y53" i="7"/>
  <c r="AB52" i="7"/>
  <c r="Z52" i="7"/>
  <c r="Y52" i="7"/>
  <c r="AB51" i="7"/>
  <c r="Z51" i="7"/>
  <c r="Y51" i="7"/>
  <c r="AB50" i="7"/>
  <c r="Z50" i="7"/>
  <c r="Y50" i="7"/>
  <c r="AB49" i="7"/>
  <c r="Z49" i="7"/>
  <c r="Y49" i="7"/>
  <c r="AB48" i="7"/>
  <c r="Z48" i="7"/>
  <c r="Y48" i="7"/>
  <c r="AB47" i="7"/>
  <c r="Z47" i="7"/>
  <c r="Y47" i="7"/>
  <c r="AB46" i="7"/>
  <c r="Z46" i="7"/>
  <c r="Y46" i="7"/>
  <c r="AB45" i="7"/>
  <c r="Z45" i="7"/>
  <c r="Y45" i="7"/>
  <c r="AB44" i="7"/>
  <c r="Z44" i="7"/>
  <c r="Y44" i="7"/>
  <c r="AB43" i="7"/>
  <c r="Z43" i="7"/>
  <c r="Y43" i="7"/>
  <c r="AB42" i="7"/>
  <c r="Z42" i="7"/>
  <c r="Y42" i="7"/>
  <c r="AB41" i="7"/>
  <c r="Z41" i="7"/>
  <c r="Y41" i="7"/>
  <c r="AB40" i="7"/>
  <c r="Z40" i="7"/>
  <c r="Y40" i="7"/>
  <c r="AB39" i="7"/>
  <c r="Z39" i="7"/>
  <c r="Y39" i="7"/>
  <c r="AB38" i="7"/>
  <c r="Z38" i="7"/>
  <c r="Y38" i="7"/>
  <c r="AB37" i="7"/>
  <c r="Z37" i="7"/>
  <c r="Y37" i="7"/>
  <c r="AB36" i="7"/>
  <c r="Z36" i="7"/>
  <c r="Y36" i="7"/>
  <c r="AB35" i="7"/>
  <c r="Z35" i="7"/>
  <c r="Y35" i="7"/>
  <c r="AB34" i="7"/>
  <c r="Z34" i="7"/>
  <c r="Y34" i="7"/>
  <c r="AB33" i="7"/>
  <c r="Z33" i="7"/>
  <c r="Y33" i="7"/>
  <c r="AB32" i="7"/>
  <c r="Z32" i="7"/>
  <c r="Y32" i="7"/>
  <c r="AB31" i="7"/>
  <c r="Z31" i="7"/>
  <c r="Y31" i="7"/>
  <c r="AB30" i="7"/>
  <c r="Z30" i="7"/>
  <c r="Y30" i="7"/>
  <c r="AB29" i="7"/>
  <c r="Z29" i="7"/>
  <c r="Y29" i="7"/>
  <c r="AB28" i="7"/>
  <c r="Z28" i="7"/>
  <c r="Y28" i="7"/>
  <c r="AB27" i="7"/>
  <c r="Z27" i="7"/>
  <c r="Y27" i="7"/>
  <c r="AB26" i="7"/>
  <c r="Z26" i="7"/>
  <c r="Y26" i="7"/>
  <c r="AB25" i="7"/>
  <c r="Z25" i="7"/>
  <c r="Y25" i="7"/>
  <c r="AB24" i="7"/>
  <c r="Z24" i="7"/>
  <c r="Y24" i="7"/>
  <c r="AB23" i="7"/>
  <c r="Z23" i="7"/>
  <c r="Y23" i="7"/>
  <c r="AB22" i="7"/>
  <c r="Z22" i="7"/>
  <c r="Y22" i="7"/>
  <c r="AB21" i="7"/>
  <c r="Z21" i="7"/>
  <c r="Y21" i="7"/>
  <c r="AB20" i="7"/>
  <c r="Z20" i="7"/>
  <c r="Y20" i="7"/>
  <c r="AB19" i="7"/>
  <c r="Z19" i="7"/>
  <c r="Y19" i="7"/>
  <c r="AB18" i="7"/>
  <c r="Z18" i="7"/>
  <c r="Y18" i="7"/>
  <c r="AB17" i="7"/>
  <c r="Z17" i="7"/>
  <c r="Y17" i="7"/>
  <c r="AB16" i="7"/>
  <c r="Z16" i="7"/>
  <c r="Y16" i="7"/>
  <c r="AB15" i="7"/>
  <c r="Z15" i="7"/>
  <c r="Y15" i="7"/>
  <c r="AB14" i="7"/>
  <c r="Z14" i="7"/>
  <c r="Y14" i="7"/>
  <c r="AB13" i="7"/>
  <c r="Z13" i="7"/>
  <c r="Y13" i="7"/>
  <c r="AB12" i="7"/>
  <c r="Z12" i="7"/>
  <c r="Y12" i="7"/>
  <c r="AB11" i="7"/>
  <c r="Z11" i="7"/>
  <c r="Y11" i="7"/>
  <c r="AB10" i="7"/>
  <c r="Z10" i="7"/>
  <c r="Y10" i="7"/>
  <c r="AB9" i="7"/>
  <c r="Z9" i="7"/>
  <c r="Y9" i="7"/>
  <c r="AB8" i="7"/>
  <c r="Z8" i="7"/>
  <c r="Y8" i="7"/>
  <c r="AB7" i="7"/>
  <c r="Z7" i="7"/>
  <c r="Y7" i="7"/>
  <c r="AB6" i="7"/>
  <c r="Z6" i="7"/>
  <c r="Y6" i="7"/>
  <c r="AB5" i="7"/>
  <c r="Z5" i="7"/>
  <c r="Y5" i="7"/>
  <c r="AB4" i="7"/>
  <c r="Z4" i="7"/>
  <c r="Y4" i="7"/>
  <c r="AB3" i="7"/>
  <c r="Z3" i="7"/>
  <c r="Y3" i="7"/>
  <c r="A18" i="10" l="1"/>
  <c r="A13" i="10"/>
  <c r="A23" i="10"/>
  <c r="L303" i="7"/>
  <c r="Q303" i="7"/>
  <c r="Q306" i="7" s="1"/>
  <c r="Q309" i="7" s="1"/>
  <c r="V23" i="10" l="1"/>
  <c r="Q23" i="10"/>
  <c r="L23" i="10"/>
  <c r="F23" i="10"/>
  <c r="U23" i="10"/>
  <c r="P23" i="10"/>
  <c r="K23" i="10"/>
  <c r="B23" i="10"/>
  <c r="T23" i="10"/>
  <c r="O23" i="10"/>
  <c r="J23" i="10"/>
  <c r="H23" i="10"/>
  <c r="R23" i="10"/>
  <c r="M23" i="10"/>
  <c r="G23" i="10"/>
  <c r="U13" i="10"/>
  <c r="P13" i="10"/>
  <c r="K13" i="10"/>
  <c r="G13" i="10"/>
  <c r="B13" i="10"/>
  <c r="T13" i="10"/>
  <c r="O13" i="10"/>
  <c r="K207" i="10" s="1"/>
  <c r="F227" i="10" s="1"/>
  <c r="J13" i="10"/>
  <c r="F13" i="10"/>
  <c r="R13" i="10"/>
  <c r="K210" i="10" s="1"/>
  <c r="F230" i="10" s="1"/>
  <c r="M13" i="10"/>
  <c r="K206" i="10" s="1"/>
  <c r="E230" i="10" s="1"/>
  <c r="D13" i="10"/>
  <c r="V13" i="10"/>
  <c r="Q13" i="10"/>
  <c r="K209" i="10" s="1"/>
  <c r="F228" i="10" s="1"/>
  <c r="L13" i="10"/>
  <c r="K205" i="10" s="1"/>
  <c r="E228" i="10" s="1"/>
  <c r="H13" i="10"/>
  <c r="C13" i="10"/>
  <c r="V18" i="10"/>
  <c r="Q18" i="10"/>
  <c r="L18" i="10"/>
  <c r="G18" i="10"/>
  <c r="B18" i="10"/>
  <c r="U18" i="10"/>
  <c r="P18" i="10"/>
  <c r="K18" i="10"/>
  <c r="F18" i="10"/>
  <c r="T18" i="10"/>
  <c r="O18" i="10"/>
  <c r="J18" i="10"/>
  <c r="D18" i="10"/>
  <c r="R18" i="10"/>
  <c r="M18" i="10"/>
  <c r="H18" i="10"/>
  <c r="C18" i="10"/>
  <c r="L306" i="7"/>
  <c r="L304" i="7"/>
  <c r="L305" i="7" s="1"/>
  <c r="L307" i="7" s="1"/>
  <c r="Q304" i="7"/>
  <c r="Q305" i="7" s="1"/>
  <c r="Q307" i="7" s="1"/>
  <c r="Q308" i="7" s="1"/>
  <c r="C40" i="10" l="1"/>
  <c r="C42" i="10" s="1"/>
  <c r="C44" i="10" s="1"/>
  <c r="C46" i="10" s="1"/>
  <c r="C50" i="10" s="1"/>
  <c r="C52" i="10" s="1"/>
  <c r="C54" i="10" s="1"/>
  <c r="D40" i="10"/>
  <c r="D42" i="10" s="1"/>
  <c r="D44" i="10" s="1"/>
  <c r="D46" i="10" s="1"/>
  <c r="D50" i="10" s="1"/>
  <c r="D52" i="10" s="1"/>
  <c r="D54" i="10" s="1"/>
  <c r="E40" i="10"/>
  <c r="E42" i="10" s="1"/>
  <c r="E44" i="10" s="1"/>
  <c r="E46" i="10" s="1"/>
  <c r="J50" i="10"/>
  <c r="J52" i="10" s="1"/>
  <c r="J54" i="10" s="1"/>
  <c r="I50" i="10"/>
  <c r="I52" i="10" s="1"/>
  <c r="I54" i="10" s="1"/>
  <c r="L48" i="10"/>
  <c r="K50" i="10"/>
  <c r="K52" i="10" s="1"/>
  <c r="K54" i="10" s="1"/>
  <c r="E18" i="10"/>
  <c r="M50" i="10"/>
  <c r="M52" i="10" s="1"/>
  <c r="M54" i="10" s="1"/>
  <c r="M60" i="10" s="1"/>
  <c r="M62" i="10" s="1"/>
  <c r="M64" i="10" s="1"/>
  <c r="G251" i="10"/>
  <c r="E251" i="10"/>
  <c r="P60" i="10"/>
  <c r="O60" i="10"/>
  <c r="R58" i="10"/>
  <c r="Q60" i="10"/>
  <c r="E13" i="10"/>
  <c r="L92" i="10"/>
  <c r="E97" i="10"/>
  <c r="F98" i="10" s="1"/>
  <c r="F91" i="10"/>
  <c r="E92" i="10" s="1"/>
  <c r="E91" i="10"/>
  <c r="F92" i="10" s="1"/>
  <c r="S60" i="10"/>
  <c r="S62" i="10" s="1"/>
  <c r="S64" i="10" s="1"/>
  <c r="F251" i="10"/>
  <c r="J92" i="10"/>
  <c r="K92" i="10"/>
  <c r="K203" i="10"/>
  <c r="E227" i="10" s="1"/>
  <c r="K208" i="10"/>
  <c r="F229" i="10" s="1"/>
  <c r="F232" i="10" s="1"/>
  <c r="K204" i="10"/>
  <c r="E229" i="10" s="1"/>
  <c r="L308" i="7"/>
  <c r="L309" i="7"/>
  <c r="E232" i="10" l="1"/>
  <c r="D56" i="10"/>
  <c r="D60" i="10" s="1"/>
  <c r="E108" i="10"/>
  <c r="F108" i="10"/>
  <c r="C56" i="10"/>
  <c r="F107" i="10" s="1"/>
  <c r="E106" i="10"/>
  <c r="F106" i="10"/>
  <c r="S68" i="10"/>
  <c r="S69" i="10" s="1"/>
  <c r="S70" i="10" s="1"/>
  <c r="Q62" i="10"/>
  <c r="Q64" i="10" s="1"/>
  <c r="E171" i="10"/>
  <c r="F173" i="10" s="1"/>
  <c r="F172" i="10"/>
  <c r="E173" i="10" s="1"/>
  <c r="L46" i="10"/>
  <c r="L50" i="10" s="1"/>
  <c r="E50" i="10"/>
  <c r="E52" i="10" s="1"/>
  <c r="E54" i="10" s="1"/>
  <c r="L97" i="10"/>
  <c r="F160" i="10"/>
  <c r="E161" i="10" s="1"/>
  <c r="E159" i="10"/>
  <c r="F161" i="10" s="1"/>
  <c r="O62" i="10"/>
  <c r="M68" i="10"/>
  <c r="M69" i="10" s="1"/>
  <c r="I56" i="10"/>
  <c r="E111" i="10" s="1"/>
  <c r="E110" i="10"/>
  <c r="F110" i="10"/>
  <c r="K56" i="10"/>
  <c r="K60" i="10" s="1"/>
  <c r="F166" i="10"/>
  <c r="E167" i="10" s="1"/>
  <c r="E165" i="10"/>
  <c r="F167" i="10" s="1"/>
  <c r="P62" i="10"/>
  <c r="P64" i="10" s="1"/>
  <c r="J56" i="10"/>
  <c r="J60" i="10" s="1"/>
  <c r="J62" i="10" s="1"/>
  <c r="F113" i="10"/>
  <c r="E113" i="10"/>
  <c r="T301" i="4"/>
  <c r="U25" i="10" s="1"/>
  <c r="S301" i="4"/>
  <c r="T25" i="10" s="1"/>
  <c r="Q301" i="4"/>
  <c r="R25" i="10" s="1"/>
  <c r="P301" i="4"/>
  <c r="Q25" i="10" s="1"/>
  <c r="O301" i="4"/>
  <c r="P25" i="10" s="1"/>
  <c r="N301" i="4"/>
  <c r="O25" i="10" s="1"/>
  <c r="L301" i="4"/>
  <c r="M25" i="10" s="1"/>
  <c r="K301" i="4"/>
  <c r="L25" i="10" s="1"/>
  <c r="J301" i="4"/>
  <c r="K25" i="10" s="1"/>
  <c r="I301" i="4"/>
  <c r="J25" i="10" s="1"/>
  <c r="G301" i="4"/>
  <c r="H25" i="10" s="1"/>
  <c r="C23" i="10" s="1"/>
  <c r="F301" i="4"/>
  <c r="G25" i="10" s="1"/>
  <c r="E301" i="4"/>
  <c r="F25" i="10" s="1"/>
  <c r="U299" i="4"/>
  <c r="U298" i="4"/>
  <c r="U297" i="4"/>
  <c r="U296" i="4"/>
  <c r="U295" i="4"/>
  <c r="U294" i="4"/>
  <c r="U293" i="4"/>
  <c r="U292" i="4"/>
  <c r="U291" i="4"/>
  <c r="U290" i="4"/>
  <c r="U289" i="4"/>
  <c r="U288" i="4"/>
  <c r="U287" i="4"/>
  <c r="U286" i="4"/>
  <c r="U285" i="4"/>
  <c r="U284" i="4"/>
  <c r="U283" i="4"/>
  <c r="U282" i="4"/>
  <c r="U281" i="4"/>
  <c r="U280" i="4"/>
  <c r="U279" i="4"/>
  <c r="U278" i="4"/>
  <c r="U277" i="4"/>
  <c r="U276"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50" i="4"/>
  <c r="U249" i="4"/>
  <c r="U248" i="4"/>
  <c r="U247" i="4"/>
  <c r="U246" i="4"/>
  <c r="U245" i="4"/>
  <c r="U244" i="4"/>
  <c r="U243" i="4"/>
  <c r="U242" i="4"/>
  <c r="U241" i="4"/>
  <c r="U240" i="4"/>
  <c r="U239" i="4"/>
  <c r="U238" i="4"/>
  <c r="U237" i="4"/>
  <c r="U236" i="4"/>
  <c r="U235" i="4"/>
  <c r="U234" i="4"/>
  <c r="U233" i="4"/>
  <c r="U232" i="4"/>
  <c r="U231" i="4"/>
  <c r="U229" i="4"/>
  <c r="U228" i="4"/>
  <c r="U227" i="4"/>
  <c r="U226" i="4"/>
  <c r="U225" i="4"/>
  <c r="U224" i="4"/>
  <c r="U223" i="4"/>
  <c r="U222" i="4"/>
  <c r="U221" i="4"/>
  <c r="U220" i="4"/>
  <c r="U219" i="4"/>
  <c r="U218" i="4"/>
  <c r="U217" i="4"/>
  <c r="U216" i="4"/>
  <c r="U215" i="4"/>
  <c r="U214" i="4"/>
  <c r="U213" i="4"/>
  <c r="U212" i="4"/>
  <c r="U211" i="4"/>
  <c r="U210" i="4"/>
  <c r="U209" i="4"/>
  <c r="U208" i="4"/>
  <c r="U207" i="4"/>
  <c r="U20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39" i="4"/>
  <c r="U38" i="4"/>
  <c r="U37" i="4"/>
  <c r="U36" i="4"/>
  <c r="U35" i="4"/>
  <c r="U34" i="4"/>
  <c r="U33" i="4"/>
  <c r="U32" i="4"/>
  <c r="U31" i="4"/>
  <c r="U30" i="4"/>
  <c r="U29" i="4"/>
  <c r="U28" i="4"/>
  <c r="U27" i="4"/>
  <c r="U26" i="4"/>
  <c r="U25" i="4"/>
  <c r="U23" i="4"/>
  <c r="U22" i="4"/>
  <c r="U21" i="4"/>
  <c r="U20" i="4"/>
  <c r="U19" i="4"/>
  <c r="U18" i="4"/>
  <c r="U17" i="4"/>
  <c r="U16" i="4"/>
  <c r="U15" i="4"/>
  <c r="U14" i="4"/>
  <c r="U13" i="4"/>
  <c r="U12" i="4"/>
  <c r="U11" i="4"/>
  <c r="U10" i="4"/>
  <c r="U9" i="4"/>
  <c r="U8" i="4"/>
  <c r="U7" i="4"/>
  <c r="U6" i="4"/>
  <c r="G40" i="10" l="1"/>
  <c r="G42" i="10" s="1"/>
  <c r="G44" i="10" s="1"/>
  <c r="G50" i="10" s="1"/>
  <c r="G52" i="10" s="1"/>
  <c r="G54" i="10" s="1"/>
  <c r="G60" i="10" s="1"/>
  <c r="G62" i="10" s="1"/>
  <c r="G64" i="10" s="1"/>
  <c r="G68" i="10" s="1"/>
  <c r="G69" i="10" s="1"/>
  <c r="G70" i="10" s="1"/>
  <c r="D23" i="10"/>
  <c r="E23" i="10" s="1"/>
  <c r="E109" i="10"/>
  <c r="F109" i="10"/>
  <c r="E112" i="10"/>
  <c r="C60" i="10"/>
  <c r="C62" i="10" s="1"/>
  <c r="E107" i="10"/>
  <c r="F112" i="10"/>
  <c r="I60" i="10"/>
  <c r="I62" i="10" s="1"/>
  <c r="I64" i="10" s="1"/>
  <c r="M70" i="10"/>
  <c r="M71" i="10" s="1"/>
  <c r="M72" i="10" s="1"/>
  <c r="M73" i="10" s="1"/>
  <c r="J64" i="10"/>
  <c r="F129" i="10"/>
  <c r="E130" i="10"/>
  <c r="Q68" i="10"/>
  <c r="S71" i="10"/>
  <c r="S72" i="10" s="1"/>
  <c r="S73" i="10" s="1"/>
  <c r="E178" i="10"/>
  <c r="F177" i="10"/>
  <c r="K62" i="10"/>
  <c r="K64" i="10" s="1"/>
  <c r="F111" i="10"/>
  <c r="P68" i="10"/>
  <c r="P69" i="10" s="1"/>
  <c r="E56" i="10"/>
  <c r="E60" i="10" s="1"/>
  <c r="N50" i="10"/>
  <c r="N52" i="10" s="1"/>
  <c r="N54" i="10" s="1"/>
  <c r="N60" i="10" s="1"/>
  <c r="N62" i="10" s="1"/>
  <c r="L52" i="10"/>
  <c r="L54" i="10" s="1"/>
  <c r="L60" i="10" s="1"/>
  <c r="L62" i="10" s="1"/>
  <c r="L64" i="10" s="1"/>
  <c r="F181" i="10"/>
  <c r="E182" i="10"/>
  <c r="D62" i="10"/>
  <c r="D64" i="10" s="1"/>
  <c r="F179" i="10"/>
  <c r="E180" i="10"/>
  <c r="O64" i="10"/>
  <c r="U301" i="4"/>
  <c r="V25" i="10" s="1"/>
  <c r="F40" i="10" l="1"/>
  <c r="G71" i="10"/>
  <c r="G72" i="10" s="1"/>
  <c r="P70" i="10"/>
  <c r="P71" i="10" s="1"/>
  <c r="P72" i="10" s="1"/>
  <c r="E183" i="10"/>
  <c r="E62" i="10"/>
  <c r="E64" i="10" s="1"/>
  <c r="D68" i="10"/>
  <c r="D69" i="10" s="1"/>
  <c r="L68" i="10"/>
  <c r="F119" i="10"/>
  <c r="E120" i="10"/>
  <c r="J68" i="10"/>
  <c r="J69" i="10" s="1"/>
  <c r="E122" i="10"/>
  <c r="L208" i="10" s="1"/>
  <c r="F121" i="10"/>
  <c r="L204" i="10" s="1"/>
  <c r="N64" i="10"/>
  <c r="E134" i="10"/>
  <c r="F133" i="10"/>
  <c r="I68" i="10"/>
  <c r="I69" i="10" s="1"/>
  <c r="I70" i="10" s="1"/>
  <c r="I71" i="10" s="1"/>
  <c r="R56" i="10"/>
  <c r="R60" i="10" s="1"/>
  <c r="K68" i="10"/>
  <c r="Q69" i="10"/>
  <c r="Q70" i="10" s="1"/>
  <c r="Q71" i="10" s="1"/>
  <c r="Q72" i="10" s="1"/>
  <c r="O68" i="10"/>
  <c r="O69" i="10" s="1"/>
  <c r="F127" i="10"/>
  <c r="E128" i="10"/>
  <c r="E132" i="10"/>
  <c r="F131" i="10"/>
  <c r="F183" i="10"/>
  <c r="C64" i="10"/>
  <c r="G73" i="10" l="1"/>
  <c r="F42" i="10"/>
  <c r="F44" i="10" s="1"/>
  <c r="F50" i="10" s="1"/>
  <c r="F52" i="10" s="1"/>
  <c r="F54" i="10" s="1"/>
  <c r="F60" i="10" s="1"/>
  <c r="F62" i="10" s="1"/>
  <c r="F64" i="10" s="1"/>
  <c r="H40" i="10"/>
  <c r="H42" i="10" s="1"/>
  <c r="H44" i="10" s="1"/>
  <c r="H50" i="10" s="1"/>
  <c r="H52" i="10" s="1"/>
  <c r="H54" i="10" s="1"/>
  <c r="H60" i="10" s="1"/>
  <c r="H62" i="10" s="1"/>
  <c r="O70" i="10"/>
  <c r="O71" i="10" s="1"/>
  <c r="O72" i="10" s="1"/>
  <c r="D70" i="10"/>
  <c r="D71" i="10" s="1"/>
  <c r="D72" i="10" s="1"/>
  <c r="P73" i="10"/>
  <c r="L207" i="10"/>
  <c r="M207" i="10" s="1"/>
  <c r="F207" i="10" s="1"/>
  <c r="J70" i="10"/>
  <c r="J71" i="10" s="1"/>
  <c r="L69" i="10"/>
  <c r="L70" i="10" s="1"/>
  <c r="L71" i="10" s="1"/>
  <c r="E68" i="10"/>
  <c r="R62" i="10"/>
  <c r="R64" i="10" s="1"/>
  <c r="T60" i="10"/>
  <c r="M208" i="10"/>
  <c r="L203" i="10"/>
  <c r="M203" i="10" s="1"/>
  <c r="Q73" i="10"/>
  <c r="K69" i="10"/>
  <c r="K70" i="10" s="1"/>
  <c r="I72" i="10"/>
  <c r="I73" i="10" s="1"/>
  <c r="N68" i="10"/>
  <c r="N69" i="10" s="1"/>
  <c r="C68" i="10"/>
  <c r="M204" i="10"/>
  <c r="F123" i="10"/>
  <c r="E124" i="10"/>
  <c r="H64" i="10" l="1"/>
  <c r="E126" i="10"/>
  <c r="F125" i="10"/>
  <c r="E135" i="10" s="1"/>
  <c r="F68" i="10"/>
  <c r="E207" i="10"/>
  <c r="D73" i="10"/>
  <c r="O73" i="10"/>
  <c r="E69" i="10"/>
  <c r="E70" i="10" s="1"/>
  <c r="N70" i="10"/>
  <c r="N71" i="10" s="1"/>
  <c r="K71" i="10"/>
  <c r="K72" i="10" s="1"/>
  <c r="K73" i="10" s="1"/>
  <c r="J72" i="10"/>
  <c r="J73" i="10" s="1"/>
  <c r="L72" i="10"/>
  <c r="L73" i="10" s="1"/>
  <c r="F203" i="10"/>
  <c r="E203" i="10"/>
  <c r="F204" i="10"/>
  <c r="E204" i="10"/>
  <c r="F208" i="10"/>
  <c r="E208" i="10"/>
  <c r="C69" i="10"/>
  <c r="C70" i="10" s="1"/>
  <c r="C71" i="10" s="1"/>
  <c r="T62" i="10"/>
  <c r="T64" i="10" s="1"/>
  <c r="F147" i="10"/>
  <c r="F114" i="10"/>
  <c r="E141" i="10"/>
  <c r="E148" i="10"/>
  <c r="E147" i="10"/>
  <c r="F141" i="10"/>
  <c r="F115" i="10"/>
  <c r="F142" i="10"/>
  <c r="E114" i="10"/>
  <c r="E115" i="10"/>
  <c r="F148" i="10"/>
  <c r="E142" i="10"/>
  <c r="L205" i="10"/>
  <c r="M205" i="10" s="1"/>
  <c r="L209" i="10"/>
  <c r="M209" i="10" s="1"/>
  <c r="R68" i="10"/>
  <c r="F135" i="10" l="1"/>
  <c r="F69" i="10"/>
  <c r="F70" i="10" s="1"/>
  <c r="H68" i="10"/>
  <c r="H69" i="10" s="1"/>
  <c r="E71" i="10"/>
  <c r="E72" i="10" s="1"/>
  <c r="E73" i="10" s="1"/>
  <c r="E143" i="10"/>
  <c r="C72" i="10"/>
  <c r="C73" i="10" s="1"/>
  <c r="F149" i="10"/>
  <c r="E149" i="10"/>
  <c r="F209" i="10"/>
  <c r="E209" i="10"/>
  <c r="E205" i="10"/>
  <c r="F205" i="10"/>
  <c r="R69" i="10"/>
  <c r="R70" i="10" s="1"/>
  <c r="R71" i="10" s="1"/>
  <c r="R72" i="10" s="1"/>
  <c r="R73" i="10" s="1"/>
  <c r="E154" i="10"/>
  <c r="F155" i="10" s="1"/>
  <c r="F153" i="10"/>
  <c r="E155" i="10" s="1"/>
  <c r="E189" i="10"/>
  <c r="F190" i="10" s="1"/>
  <c r="F189" i="10"/>
  <c r="E190" i="10" s="1"/>
  <c r="T68" i="10"/>
  <c r="F143" i="10"/>
  <c r="N72" i="10"/>
  <c r="N73" i="10" s="1"/>
  <c r="L210" i="10" l="1"/>
  <c r="M210" i="10" s="1"/>
  <c r="E210" i="10" s="1"/>
  <c r="C76" i="10"/>
  <c r="E239" i="10" s="1"/>
  <c r="H70" i="10"/>
  <c r="H71" i="10" s="1"/>
  <c r="H72" i="10" s="1"/>
  <c r="H73" i="10" s="1"/>
  <c r="F71" i="10"/>
  <c r="F72" i="10" s="1"/>
  <c r="F73" i="10" s="1"/>
  <c r="T69" i="10"/>
  <c r="T70" i="10" s="1"/>
  <c r="L93" i="10"/>
  <c r="L206" i="10"/>
  <c r="M206" i="10" s="1"/>
  <c r="F210" i="10" l="1"/>
  <c r="L94" i="10"/>
  <c r="L99" i="10" s="1"/>
  <c r="E221" i="10"/>
  <c r="C78" i="10"/>
  <c r="E241" i="10" s="1"/>
  <c r="C77" i="10"/>
  <c r="E240" i="10" s="1"/>
  <c r="T71" i="10"/>
  <c r="C79" i="10" s="1"/>
  <c r="E242" i="10" s="1"/>
  <c r="E206" i="10"/>
  <c r="F206" i="10"/>
  <c r="M211" i="10"/>
  <c r="T72" i="10" l="1"/>
  <c r="C80" i="10" s="1"/>
  <c r="E243" i="10" s="1"/>
  <c r="F211" i="10"/>
  <c r="E211" i="10"/>
  <c r="T73" i="10" l="1"/>
  <c r="C81" i="10" s="1"/>
  <c r="E244" i="10" s="1"/>
  <c r="E245" i="10" s="1"/>
  <c r="J93" i="10"/>
  <c r="K93" i="10"/>
  <c r="K94" i="10" s="1"/>
  <c r="K99" i="10" s="1"/>
  <c r="J94" i="10" l="1"/>
  <c r="J99" i="10" s="1"/>
  <c r="E222" i="10"/>
</calcChain>
</file>

<file path=xl/sharedStrings.xml><?xml version="1.0" encoding="utf-8"?>
<sst xmlns="http://schemas.openxmlformats.org/spreadsheetml/2006/main" count="2140" uniqueCount="534">
  <si>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</si>
  <si>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</si>
  <si>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</si>
  <si>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</si>
  <si>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</si>
  <si>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</si>
  <si>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</si>
  <si>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</si>
  <si>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</si>
  <si>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</si>
  <si>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</si>
  <si>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</si>
  <si>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</si>
  <si>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</si>
  <si>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</si>
  <si>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</si>
  <si>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</si>
  <si>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</si>
  <si>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</si>
  <si>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</si>
  <si>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</si>
  <si>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</si>
  <si>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</si>
  <si>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</si>
  <si>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</si>
  <si>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DEPARTMENT OF AGRICULTURE</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</si>
  <si>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</si>
  <si>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</si>
  <si>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</si>
  <si>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</si>
  <si>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</si>
  <si>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</si>
  <si>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</si>
  <si>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</si>
  <si>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</si>
  <si>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</si>
  <si>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</si>
  <si>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</si>
  <si>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</si>
  <si>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</si>
  <si>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</si>
  <si>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</si>
  <si>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</si>
  <si>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</si>
  <si>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</si>
  <si>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</si>
  <si>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</si>
  <si>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</si>
  <si>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</si>
  <si>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</si>
  <si>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</si>
  <si>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</si>
  <si>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</si>
  <si>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</si>
  <si>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</si>
  <si>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</si>
  <si>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</si>
  <si>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</si>
  <si>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</si>
  <si>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</si>
  <si>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</si>
  <si>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</si>
  <si>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</si>
  <si>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</si>
  <si>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</si>
  <si>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</si>
  <si>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</si>
  <si>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</si>
  <si>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</si>
  <si>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</si>
  <si>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</si>
  <si>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</si>
  <si>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</si>
  <si>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</si>
  <si>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</si>
  <si>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</si>
  <si>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</si>
  <si>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</si>
  <si>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</si>
  <si>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</si>
  <si>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</si>
  <si>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</si>
  <si>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</si>
  <si>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</si>
  <si>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</si>
  <si>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</si>
  <si>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</si>
  <si>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</si>
  <si>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</si>
  <si>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</si>
  <si>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</si>
  <si>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</si>
  <si>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</si>
  <si>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</si>
  <si>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</si>
  <si>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</si>
  <si>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</si>
  <si>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</si>
  <si>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</si>
  <si>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</si>
  <si>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</si>
  <si>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</si>
  <si>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</si>
  <si>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SEGS ACADEMY</t>
  </si>
  <si>
    <t>NEW BERN/CRAVEN COUNTY BOARD OF EDUCATION</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</si>
  <si>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</si>
  <si>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</si>
  <si>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</si>
  <si>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</si>
  <si>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</si>
  <si>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</si>
  <si>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</si>
  <si>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</si>
  <si>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</si>
  <si>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</si>
  <si>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</si>
  <si>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</si>
  <si>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</si>
  <si>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</si>
  <si>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</si>
  <si>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</si>
  <si>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</si>
  <si>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</si>
  <si>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</si>
  <si>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</si>
  <si>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</si>
  <si>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</si>
  <si>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</si>
  <si>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</si>
  <si>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</si>
  <si>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</si>
  <si>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</si>
  <si>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</si>
  <si>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</si>
  <si>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</si>
  <si>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</si>
  <si>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</si>
  <si>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</si>
  <si>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</si>
  <si>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</si>
  <si>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</si>
  <si>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</si>
  <si>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</si>
  <si>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</si>
  <si>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</si>
  <si>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</si>
  <si>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</si>
  <si>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</si>
  <si>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</si>
  <si>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</si>
  <si>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</si>
  <si>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</si>
  <si>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</si>
  <si>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</si>
  <si>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</si>
  <si>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</si>
  <si>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</si>
  <si>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</si>
  <si>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</si>
  <si>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</si>
  <si>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</si>
  <si>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</si>
  <si>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</si>
  <si>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</si>
  <si>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</si>
  <si>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</si>
  <si>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</si>
  <si>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KINSTON CHARTER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</si>
  <si>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</si>
  <si>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</si>
  <si>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</si>
  <si>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</si>
  <si>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</si>
  <si>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</si>
  <si>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</si>
  <si>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</si>
  <si>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</si>
  <si>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</si>
  <si>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</si>
  <si>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</si>
  <si>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</si>
  <si>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</si>
  <si>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</si>
  <si>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</si>
  <si>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</si>
  <si>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</si>
  <si>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</si>
  <si>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</si>
  <si>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</si>
  <si>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</si>
  <si>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</si>
  <si>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</si>
  <si>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</si>
  <si>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</si>
  <si>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</si>
  <si>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NASH TECHNICAL COLLEGE</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</si>
  <si>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</si>
  <si>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</si>
  <si>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</si>
  <si>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</si>
  <si>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</si>
  <si>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</si>
  <si>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</si>
  <si>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</si>
  <si>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</si>
  <si>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</si>
  <si>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PACE ACADEMY</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</si>
  <si>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</si>
  <si>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</si>
  <si>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</si>
  <si>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</si>
  <si>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</si>
  <si>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</si>
  <si>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</si>
  <si>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</si>
  <si>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</si>
  <si>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</si>
  <si>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</si>
  <si>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</si>
  <si>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</si>
  <si>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</si>
  <si>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</si>
  <si>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</si>
  <si>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</si>
  <si>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</si>
  <si>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</si>
  <si>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</si>
  <si>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</si>
  <si>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</si>
  <si>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</si>
  <si>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</si>
  <si>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</si>
  <si>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</si>
  <si>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</si>
  <si>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</si>
  <si>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</si>
  <si>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</si>
  <si>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</si>
  <si>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</si>
  <si>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</si>
  <si>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</si>
  <si>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</si>
  <si>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</si>
  <si>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</si>
  <si>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</si>
  <si>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</si>
  <si>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</si>
  <si>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</si>
  <si>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</si>
  <si>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</si>
  <si>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</si>
  <si>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</si>
  <si>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</si>
  <si>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</si>
  <si>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</si>
  <si>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</si>
  <si>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</si>
  <si>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</si>
  <si>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</si>
  <si>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</si>
  <si>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</si>
  <si>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</si>
  <si>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</si>
  <si>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</si>
  <si>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</si>
  <si>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</si>
  <si>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</si>
  <si>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</si>
  <si>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</si>
  <si>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</si>
  <si>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</si>
  <si>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</si>
  <si>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</si>
  <si>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</si>
  <si>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</si>
  <si>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</si>
  <si>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</si>
  <si>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</si>
  <si>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</si>
  <si>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</si>
  <si>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</si>
  <si>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Difference</t>
  </si>
  <si>
    <t>Agency Number</t>
  </si>
  <si>
    <t>Agency</t>
  </si>
  <si>
    <t xml:space="preserve">NC CEMETARY COMMISSION </t>
  </si>
  <si>
    <t>STATE BOARD OF EXAMINERS FOR ELECTRICAL CONTRACTOR</t>
  </si>
  <si>
    <t>CAPE LOOKOUT MARINE SCIENCE H.S.</t>
  </si>
  <si>
    <t>INVEST COLLEGIATE CHARTER SCHOOL</t>
  </si>
  <si>
    <t xml:space="preserve">DOWNTOWN MIDDLE </t>
  </si>
  <si>
    <t>IREDELL COUNTY SCHOOLS</t>
  </si>
  <si>
    <t>AMERICAN RENAISSANCE MIDDLE SCH</t>
  </si>
  <si>
    <t>CORVIAN COMMUNITY SCHOOL</t>
  </si>
  <si>
    <t>EAST WAKE ACADEMY</t>
  </si>
  <si>
    <t>TOTAL</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</si>
  <si>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</si>
  <si>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</si>
  <si>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</si>
  <si>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</si>
  <si>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</si>
  <si>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</si>
  <si>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</si>
  <si>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</si>
  <si>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</si>
  <si>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</si>
  <si>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Net Pension Liability - End of Year</t>
  </si>
  <si>
    <t>Net Pension Liability - Beginning of Year</t>
  </si>
  <si>
    <t>FY Contributions</t>
  </si>
  <si>
    <t>Debit</t>
  </si>
  <si>
    <t>Credit</t>
  </si>
  <si>
    <t>Estimated remaining service life of inactive participants (years)</t>
  </si>
  <si>
    <t>Check:</t>
  </si>
  <si>
    <t>Total Expense</t>
  </si>
  <si>
    <t>Per Schedule</t>
  </si>
  <si>
    <t>Per Entries</t>
  </si>
  <si>
    <t>Differences between expected and actual experience</t>
  </si>
  <si>
    <t>Changes of assumptions</t>
  </si>
  <si>
    <t>Net difference between projected and actual earnings on pension plan investments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</si>
  <si>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</si>
  <si>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</si>
  <si>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</si>
  <si>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</si>
  <si>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</si>
  <si>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</si>
  <si>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</si>
  <si>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Sensitivity of the net pension liability (asset) to changes in the discount rate</t>
  </si>
  <si>
    <t>1% Decrease (6.25%)</t>
  </si>
  <si>
    <t>Current Discount Rate (7.25%)</t>
  </si>
  <si>
    <t>1% Increase (8.25%)</t>
  </si>
  <si>
    <t>Choose Your Agency:</t>
  </si>
  <si>
    <t>Agency Number:</t>
  </si>
  <si>
    <t>GASB 68 Accounting Template – TSERS</t>
  </si>
  <si>
    <t>All TSERS Employers</t>
  </si>
  <si>
    <t>See Notes a-g below</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</si>
  <si>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</si>
  <si>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</si>
  <si>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</si>
  <si>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</si>
  <si>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</si>
  <si>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</si>
  <si>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</si>
  <si>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</si>
  <si>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</si>
  <si>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</si>
  <si>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</si>
  <si>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</si>
  <si>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</si>
  <si>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</si>
  <si>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</si>
  <si>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</si>
  <si>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</si>
  <si>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</si>
  <si>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</si>
  <si>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</si>
  <si>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</si>
  <si>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</si>
  <si>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</si>
  <si>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 Amount reported as deferred outflows of resources related to pensions resulting from contributions subsequent to the measurement date will be recognized as a reduction of the net pension liability in the next fiscal year.</t>
  </si>
  <si>
    <t>Current Proportional Share</t>
  </si>
  <si>
    <t>Prior Proportional Share</t>
  </si>
  <si>
    <t>blank</t>
  </si>
  <si>
    <t>Math check QRS</t>
  </si>
  <si>
    <t>Net Inv Earn</t>
  </si>
  <si>
    <t>INVEST COLLEGIATE CHARTER (BUNCOMBE)</t>
  </si>
  <si>
    <t>KIPP HALIFAX COLLEGE PREP CHARTER</t>
  </si>
  <si>
    <t>PIONEER SPRINGS COMMUNITY CHARTER</t>
  </si>
  <si>
    <t>A</t>
  </si>
  <si>
    <t>B</t>
  </si>
  <si>
    <t>C</t>
  </si>
  <si>
    <t>D</t>
  </si>
  <si>
    <t>E</t>
  </si>
  <si>
    <t>F</t>
  </si>
  <si>
    <t>G</t>
  </si>
  <si>
    <t>Prior Year Balance</t>
  </si>
  <si>
    <t>Gross Up</t>
  </si>
  <si>
    <t>Net New</t>
  </si>
  <si>
    <t>Prior Year Amort</t>
  </si>
  <si>
    <t>Current Year Amort</t>
  </si>
  <si>
    <t>Total Period Amort</t>
  </si>
  <si>
    <t>Beginning Period Bal</t>
  </si>
  <si>
    <t>Per Buck valuation letter</t>
  </si>
  <si>
    <t>Amount is zero, nets to zero and is not applicable to reference</t>
  </si>
  <si>
    <t>Difference between Expected and Actual earnings on Plan Assets.  See earlier section IV.</t>
  </si>
  <si>
    <t>Employer specific deferred outflows and deferred inflows and these offset each other</t>
  </si>
  <si>
    <t>See Section III, represents the differences in the Experience of the plan.</t>
  </si>
  <si>
    <t>Per Buck GASB 68 Disclosure letter</t>
  </si>
  <si>
    <t>Is the sum of G and second to last column (rounding differences).</t>
  </si>
  <si>
    <t>Net Pension Liability EOY</t>
  </si>
  <si>
    <t>Net Pension Liability BOY</t>
  </si>
  <si>
    <t>CURRENT YEAR</t>
  </si>
  <si>
    <t xml:space="preserve">Initial balance </t>
  </si>
  <si>
    <t>Deferral - Expected and Actual Experience</t>
  </si>
  <si>
    <t>Deferral - Projected and Actual Earnings</t>
  </si>
  <si>
    <t>Deferral - Change in Assumptions</t>
  </si>
  <si>
    <t>Deferral - Employer Change in Proportion</t>
  </si>
  <si>
    <t>Deferral - Employer Contributions &gt; Proportionate Share</t>
  </si>
  <si>
    <t>Amortization Period</t>
  </si>
  <si>
    <t>Total Employer Deferral</t>
  </si>
  <si>
    <t>Deferred outflow - measurement period contributions</t>
  </si>
  <si>
    <t>Reclassify deferred outflow for measurement period contributions to reduction of net pension liability</t>
  </si>
  <si>
    <t>Net pension liability</t>
  </si>
  <si>
    <t>Deferred Inflow/Outflow Schedule</t>
  </si>
  <si>
    <t>Pension expense</t>
  </si>
  <si>
    <t>Establish employer deferred outflow/inflow related to measurement period contributions in excess of/less than proportionate share of total plan contributions</t>
  </si>
  <si>
    <t>Amortize current year employer deferrals established in entries # 3, # 5, and # 6.</t>
  </si>
  <si>
    <t>Establish deferred outflow/inflow for current year differences in projected and actual earnings on plan investments</t>
  </si>
  <si>
    <t>Establish deferred outflow/inflow for current year changes in assumptions</t>
  </si>
  <si>
    <t>Record current year amortization of deferrals established in entries # 8, # 9, and # 10</t>
  </si>
  <si>
    <t>Record proportionate share of current year pension expense not related to amortization of deferrals</t>
  </si>
  <si>
    <t>Net Pension (Liability)/Asset</t>
  </si>
  <si>
    <t>Total (Inflows)/Outflows</t>
  </si>
  <si>
    <t>Summary Future Amortization</t>
  </si>
  <si>
    <t>Future Amortization (signs reversed)</t>
  </si>
  <si>
    <t>FY16 Deferred Outflows/(Inflows)</t>
  </si>
  <si>
    <t>FY15 Deferred Outflows/(Inflows)</t>
  </si>
  <si>
    <t>Record change in ending deferred outflow and inflow balances related to current year change in proportion</t>
  </si>
  <si>
    <t>Establish deferred outflow/inflow for FY16 differences in expected and actual experience</t>
  </si>
  <si>
    <t>FY15 Amortization</t>
  </si>
  <si>
    <t>Balance at end of FY15</t>
  </si>
  <si>
    <t>FY16 Change in Proportion - Beginning Deferrals</t>
  </si>
  <si>
    <t>FY16 Change in Proportion - Beginning NPL</t>
  </si>
  <si>
    <t>Balance to amortize in FY16</t>
  </si>
  <si>
    <t>FY16 Amortization</t>
  </si>
  <si>
    <t>Balance at end of FY16</t>
  </si>
  <si>
    <t>In accordance with GASB 68, paragraph 33,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</si>
  <si>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FY201X refers to the fiscal year ending June 30, 201X</t>
  </si>
  <si>
    <t>Note:</t>
  </si>
  <si>
    <t>Total Plan - FYE 2016</t>
  </si>
  <si>
    <t>Total Plan - FYE 2015</t>
  </si>
  <si>
    <t>Total Plan</t>
  </si>
  <si>
    <t>Unit's proportionate share (for footnote disclosure)</t>
  </si>
  <si>
    <t>Change in Proportional Share</t>
  </si>
  <si>
    <t>Total Plan FY16</t>
  </si>
  <si>
    <t>Total Plan FY15</t>
  </si>
  <si>
    <t>Establish employer deferred outflow/inflow related to change in proportion of beginning NPL balance (to be combined with current year employer deferrals established in entries # 3 and # 6)</t>
  </si>
  <si>
    <t>Record entry to deferred outflows for contributions subsequent to the measurement date</t>
  </si>
  <si>
    <t>Deferred outflow - contributions subsequent to the measurement date</t>
  </si>
  <si>
    <t>Pension Expenditures</t>
  </si>
  <si>
    <t xml:space="preserve">Employer contributions subsequent to the measurement date * </t>
  </si>
  <si>
    <t>ORBIT Unit Contributions to Plan in Measurement Year</t>
  </si>
  <si>
    <t>Net Pension Liability</t>
  </si>
  <si>
    <t>Deferred outflow - differences in expected versus actual experience - FY15</t>
  </si>
  <si>
    <t>Deferred inflow - differences in expected versus actual experience - FY15</t>
  </si>
  <si>
    <t>Deferred outflow - projected versus actual earnings on plan investments - FY15</t>
  </si>
  <si>
    <t>Deferred inflow - projected versus actual earnings on plan investments - FY15</t>
  </si>
  <si>
    <t>Deferred outflow - changes in assumptions - FY15</t>
  </si>
  <si>
    <t>Deferred inflow - changes in assumptions - FY15</t>
  </si>
  <si>
    <t>Deferred inflow - employer change in proportion and contributions greater than/less than proportionate share of total plan contributions - FY15</t>
  </si>
  <si>
    <t>Deferred outflow - current year change in proportion and differences between contributions and proportionate share of total plan contributions</t>
  </si>
  <si>
    <t>Deferred inflow - current year change in proportion and differences between contributions and proportionate share of total plan contributions</t>
  </si>
  <si>
    <t>Deferred outflow - current year difference between expected and actual experience</t>
  </si>
  <si>
    <t>Deferred inflow - current year difference between expected and actual experience</t>
  </si>
  <si>
    <t>Deferred outflow - current year difference between projected and actual earnings on plan investments</t>
  </si>
  <si>
    <t>Deferred inflow - current year difference between projected and actual earnings on plan investments</t>
  </si>
  <si>
    <t>Deferred outflow - current year changes in assumptions</t>
  </si>
  <si>
    <t>Deferred inflow - current year changes in assumptions</t>
  </si>
  <si>
    <t>Reclassify and consolidate deferred outflow and inflow balances to match schedule</t>
  </si>
  <si>
    <t>Reclassification</t>
  </si>
  <si>
    <t>Deferred outflow - differences between measurement period contributions and proportionate share of contributions</t>
  </si>
  <si>
    <t>Deferred inflow - differences between measurement period contributions and proportionate share of contributions</t>
  </si>
  <si>
    <t>Worksheet Instructions:</t>
  </si>
  <si>
    <t xml:space="preserve">           the resulting entries, see the referenced GASB 68 literature.  Review the entries with applicable staff prior to posting the entries in your general ledger.</t>
  </si>
  <si>
    <t xml:space="preserve">         Advanced, Display Options for this Workbook, and ensure that Show Sheet Tabs is checked.  Consult your IT specialist as needed.</t>
  </si>
  <si>
    <t xml:space="preserve"> &lt;&lt; Click on the cell to see a list of agencies. Step 1.</t>
  </si>
  <si>
    <t xml:space="preserve"> &lt;&lt; Enter your employer contributions for the period indicated. Step 2.</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</si>
  <si>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</si>
  <si>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</si>
  <si>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</si>
  <si>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</si>
  <si>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</si>
  <si>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</si>
  <si>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</si>
  <si>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</si>
  <si>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t>
  </si>
  <si>
    <t>Primary Agency Number</t>
  </si>
  <si>
    <t>Plan measurement period used for FY17 is the twelve months ending June 30, 2016.</t>
  </si>
  <si>
    <t>PRIOR YEAR 1 (1 year ago)</t>
  </si>
  <si>
    <t>PRIOR YEAR 2 (2 years ago)</t>
  </si>
  <si>
    <t>Total Plan FY17</t>
  </si>
  <si>
    <t>FY17 Deferred Outflows/(Inflows)</t>
  </si>
  <si>
    <t>FY17 Change in Proportion - Beginning Deferrals</t>
  </si>
  <si>
    <t>FY17 Change in Proportion - Beginning NPL</t>
  </si>
  <si>
    <t>Balance to amortize in FY17</t>
  </si>
  <si>
    <t>FY17 Amortization</t>
  </si>
  <si>
    <t>Balance at end of FY17</t>
  </si>
  <si>
    <t>True up FY 2016 "Deferred outflow for contributions subsequent to the measurement date" to ORBIT/CY Summary Exhibit ****</t>
  </si>
  <si>
    <t>Deferred outflow - FY16 contributions subsequent to the measurement date</t>
  </si>
  <si>
    <t>****</t>
  </si>
  <si>
    <t>Preliminary Difference</t>
  </si>
  <si>
    <t xml:space="preserve">2
</t>
  </si>
  <si>
    <t xml:space="preserve">Adjustment to FY16 deferral for contributions subsequent to measurement date </t>
  </si>
  <si>
    <t>Note - this is the same deferral that you made in the prior year for contributions subsequent to the measurement date.  After recording this entry, the balance of the deferral related to contributions subsequent to the measurement date recorded last year should be 0.</t>
  </si>
  <si>
    <t>CY change in proportion entries for deferrals established in FY15 and FY16</t>
  </si>
  <si>
    <t>Deferred outflow - differences in expected versus actual experience - FY16</t>
  </si>
  <si>
    <t>Deferred inflow - differences in expected versus actual experience - FY16</t>
  </si>
  <si>
    <t>Deferred outflow - projected versus actual earnings on plan investments - FY16</t>
  </si>
  <si>
    <t>Deferred inflow - projected versus actual earnings on plan investments - FY16</t>
  </si>
  <si>
    <t>Employer deferred outflow - FY17 change in proportion of beginning deferred outflows/inflows (this line combined with employer deferrals established in entries # 6 and # 7)</t>
  </si>
  <si>
    <t>Employer deferred inflow - FY17 change in proportion of beginning deferred outflows/inflows (this line combined with employer deferrals established in entries # 6 and # 7)</t>
  </si>
  <si>
    <t>Record FY17 amortization of FY15 and FY16 deferred outflows/inflows</t>
  </si>
  <si>
    <t>Deferred outflow - employer change in proportion and contributions greater than/less than proportionate share of total plan contributions - FY15</t>
  </si>
  <si>
    <t>Deferred outflow - changes in assumptions - FY16</t>
  </si>
  <si>
    <t>Deferred inflow - changes in assumptions - FY16</t>
  </si>
  <si>
    <t>Deferred outflow - employer change in proportion and contributions greater than/less than proportionate share of total plan contributions - FY16</t>
  </si>
  <si>
    <t>Deferred inflow - employer change in proportion and contributions greater than/less than proportionate share of total plan contributions - FY16</t>
  </si>
  <si>
    <t>Entries for deferrals established in FY17</t>
  </si>
  <si>
    <t>Deferred outflow - change in proportion of beginning NPL/NPA</t>
  </si>
  <si>
    <t>Deferred inflow - change in proportion of beginning NPL/NPA</t>
  </si>
  <si>
    <t>True up deferrals to schedule</t>
  </si>
  <si>
    <t>Per Actuary Schedule</t>
  </si>
  <si>
    <t>Deferred Outflow - Expected and Actual Experience</t>
  </si>
  <si>
    <t>Deferred Outflow - Projected and Actual Earnings</t>
  </si>
  <si>
    <t>Deferred Outflow - Changes in Assumptions</t>
  </si>
  <si>
    <t>Deferred Outflow - Employer Proportions</t>
  </si>
  <si>
    <t>Deferred Inflow - Expected and Actual Experience</t>
  </si>
  <si>
    <t>Deferred Inflow - Projected and Actual Earnings</t>
  </si>
  <si>
    <t>Deferred Inflow - Changes in Assumptions</t>
  </si>
  <si>
    <t>Deferred Inflow - Employer Proportions</t>
  </si>
  <si>
    <t>Total Plan - FYE 2017</t>
  </si>
  <si>
    <t>Fiscal Year Ended June 30, 2017</t>
  </si>
  <si>
    <t>Your employer contributions from 7/1/2016 through 6/30/2017</t>
  </si>
  <si>
    <t>Enter the amount of contributions subsequent to the measurement date that you recorded as a deferred outflow of resources in your June 30, 2016 financial statement for TSERS</t>
  </si>
  <si>
    <t>Record contributions made since July 1, 2016 through unit's FYE of 6/30/2017</t>
  </si>
  <si>
    <t xml:space="preserve"> &lt;&lt; Enter your employer contributions for the period indicated. Step 3 </t>
  </si>
  <si>
    <t>Step 4 - Go to the "JE Template" tab within this workbook.  Review the resulting entries within the workbook for reasonableness.  Should you have any questions regarding</t>
  </si>
  <si>
    <t>Note - If you are unable to see the 5 different tabs in this workbook ("Info", "JE Template", "CY - Summary Exhibit", "PY1 - Summary Exhibit", "PY2 - Summary Exhibit") then go to File, Options,</t>
  </si>
  <si>
    <t>N.E. ACADEMY OF AEROSPACE &amp; ADV. TECH</t>
  </si>
  <si>
    <t>Actuarially Determined Component of Pension Expense</t>
  </si>
  <si>
    <t>Information for notes to the financial statements</t>
  </si>
  <si>
    <t>Step 1 - Click on cell C18 within this tab.  Select your agency from the drop-down menu.  Agencies are listed in alphabetical order.</t>
  </si>
  <si>
    <t>Step 2 - In cell C22, enter your employer contributions made for the period of July 1, 2016 through the date of your fiscal year end.</t>
  </si>
  <si>
    <t xml:space="preserve">Step 3 - In cell C24, enter the amount of deferred outflow you recorded in FY 2016 for TSERS contributions made subsequent to the measurement period (July 1, 2015 through June 30, 2016). </t>
  </si>
  <si>
    <t>This entry adjusts the FY16 deferral for contributions subsequent to the measurement date to the actuary's CY Summary Exhibit contributions amount, which is based on ORBIT.  Differences between the ORBIT system contributions for FY16 and what was recorded to the deferred outflow in prior year can be caused by timing issues or inclusion of non-TSERS contributions in last year's deferral (i.e. contributions for death, health plan, etc.).  If you have material non-TSERS contributions included in the prior year deferral, consider making a prior period adjustment.</t>
  </si>
  <si>
    <t>Total TSERS pension expense reported for fiscal year</t>
  </si>
  <si>
    <t>Ending TSERS net pension liability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</si>
</sst>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_);\(#,##0\);\—\—\—\ \ \ \ "/>
    <numFmt numFmtId="168" formatCode="0.000000%"/>
    <numFmt numFmtId="169" formatCode="0.00000%"/>
  </numFmts>
  <fonts count="18">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9"/>
      <name val="Arial"/>
      <family val="2"/>
    </font>
    <font>
      <sz val="10"/>
      <name val="Arial"/>
      <family val="2"/>
    </font>
    <font>
      <sz val="10"/>
      <name val="Arial MT"/>
    </font>
    <font>
      <b/>
      <sz val="10"/>
      <name val="Arial"/>
      <family val="2"/>
    </font>
    <font>
      <b/>
      <sz val="10"/>
      <color indexed="10"/>
      <name val="Arial"/>
      <family val="2"/>
    </font>
    <font>
      <sz val="10"/>
      <color indexed="10"/>
      <name val="Arial"/>
      <family val="2"/>
    </font>
    <font>
      <i/>
      <sz val="10"/>
      <name val="Arial"/>
      <family val="2"/>
    </font>
    <font>
      <u/>
      <sz val="9"/>
      <name val="Arial Narrow"/>
      <family val="2"/>
    </font>
    <font>
      <sz val="9"/>
      <name val="Arial Narrow"/>
      <family val="2"/>
    </font>
    <font>
      <sz val="11"/>
      <name val="Calibri"/>
      <family val="2"/>
      <scheme val="minor"/>
    </font>
    <font>
      <b/>
      <sz val="11"/>
      <color rgb="FFFF0000"/>
      <name val="Calibri"/>
      <family val="2"/>
      <scheme val="minor"/>
    </font>
    <font>
      <sz val="11"/>
      <color rgb="FFFF0000"/>
      <name val="Calibri"/>
      <family val="2"/>
      <scheme val="minor"/>
    </font>
    <font>
      <sz val="11"/>
      <color rgb="FFFA7D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darkUp">
        <bgColor theme="6" tint="0.59999389629810485"/>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top/>
      <bottom style="double">
        <color rgb="FFFF8001"/>
      </bottom>
      <diagonal/>
    </border>
  </borders>
  <cellStyleXfs count="16">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0" fontId="6" fillId="0" borderId="0"/>
    <xf numFmtId="37" fontId="7" fillId="0" borderId="0"/>
    <xf numFmtId="0" fontId="17" fillId="0" borderId="11" applyNumberFormat="0" applyFill="0" applyAlignment="0" applyProtection="0"/>
  </cellStyleXfs>
  <cellXfs count="240">
    <xf numFmtId="0" fontId="0" fillId="0" borderId="0" xfId="0"/>
    <xf numFmtId="0" fontId="0" fillId="0" borderId="0" xfId="0" applyAlignment="1">
      <alignment wrapText="1"/>
    </xf>
    <xf numFmtId="164" fontId="0" fillId="0" borderId="0" xfId="0" applyNumberFormat="1"/>
    <xf numFmtId="43" fontId="0" fillId="0" borderId="0" xfId="1" applyFont="1"/>
    <xf numFmtId="43" fontId="0" fillId="0" borderId="0" xfId="0" applyNumberFormat="1"/>
    <xf numFmtId="0" fontId="0" fillId="0" borderId="0" xfId="0" applyFill="1"/>
    <xf numFmtId="0" fontId="0" fillId="0" borderId="0" xfId="0" applyFill="1" applyAlignment="1">
      <alignment horizontal="right"/>
    </xf>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applyAlignment="1">
      <alignment horizontal="left"/>
    </xf>
    <xf numFmtId="164" fontId="0" fillId="0" borderId="0" xfId="1" applyNumberFormat="1" applyFont="1"/>
    <xf numFmtId="165" fontId="0" fillId="0" borderId="0" xfId="0" applyNumberFormat="1"/>
    <xf numFmtId="0" fontId="2" fillId="0" borderId="0" xfId="0" applyFont="1"/>
    <xf numFmtId="164" fontId="4" fillId="0" borderId="0" xfId="1" applyNumberFormat="1" applyFont="1" applyFill="1" applyBorder="1" applyAlignment="1">
      <alignment horizontal="right"/>
    </xf>
    <xf numFmtId="164" fontId="2" fillId="0" borderId="0" xfId="0" applyNumberFormat="1" applyFont="1"/>
    <xf numFmtId="0" fontId="0" fillId="0" borderId="0" xfId="0" applyAlignment="1">
      <alignment horizontal="right"/>
    </xf>
    <xf numFmtId="0" fontId="0" fillId="0" borderId="0" xfId="0" applyAlignment="1">
      <alignment vertical="top"/>
    </xf>
    <xf numFmtId="0" fontId="0" fillId="2" borderId="0" xfId="0" applyFill="1" applyBorder="1"/>
    <xf numFmtId="0" fontId="0" fillId="2" borderId="6" xfId="0" applyFill="1" applyBorder="1"/>
    <xf numFmtId="164" fontId="0" fillId="2" borderId="0" xfId="1" applyNumberFormat="1"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164" fontId="0" fillId="2" borderId="6" xfId="1" applyNumberFormat="1" applyFont="1" applyFill="1" applyBorder="1"/>
    <xf numFmtId="0" fontId="0" fillId="2" borderId="7" xfId="0" applyFill="1" applyBorder="1"/>
    <xf numFmtId="0" fontId="0" fillId="3" borderId="2" xfId="0" applyFill="1" applyBorder="1"/>
    <xf numFmtId="0" fontId="0" fillId="3" borderId="3" xfId="0" applyFill="1" applyBorder="1"/>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xf numFmtId="0" fontId="0" fillId="3" borderId="0" xfId="0" applyFill="1" applyBorder="1"/>
    <xf numFmtId="0" fontId="0" fillId="3" borderId="5" xfId="0" applyFill="1" applyBorder="1" applyAlignment="1">
      <alignment vertical="top"/>
    </xf>
    <xf numFmtId="0" fontId="0" fillId="3" borderId="0" xfId="0" applyFill="1" applyBorder="1" applyAlignment="1">
      <alignment wrapText="1"/>
    </xf>
    <xf numFmtId="164" fontId="0" fillId="3" borderId="0" xfId="1" applyNumberFormat="1" applyFont="1" applyFill="1" applyBorder="1"/>
    <xf numFmtId="164" fontId="0" fillId="3" borderId="6" xfId="1" applyNumberFormat="1" applyFont="1" applyFill="1" applyBorder="1"/>
    <xf numFmtId="43" fontId="0" fillId="3" borderId="0" xfId="1" applyFont="1" applyFill="1" applyBorder="1"/>
    <xf numFmtId="43" fontId="0" fillId="3" borderId="6" xfId="1" applyFont="1" applyFill="1" applyBorder="1"/>
    <xf numFmtId="0" fontId="0" fillId="3" borderId="0" xfId="0" applyFill="1" applyBorder="1" applyAlignment="1"/>
    <xf numFmtId="0" fontId="0" fillId="3" borderId="7" xfId="0" applyFill="1" applyBorder="1" applyAlignment="1">
      <alignment vertical="top"/>
    </xf>
    <xf numFmtId="0" fontId="0" fillId="3" borderId="1" xfId="0" applyFill="1" applyBorder="1" applyAlignment="1">
      <alignment wrapText="1"/>
    </xf>
    <xf numFmtId="43" fontId="0" fillId="3" borderId="1" xfId="1" applyFont="1" applyFill="1" applyBorder="1"/>
    <xf numFmtId="43" fontId="0" fillId="3" borderId="8" xfId="1" applyFont="1" applyFill="1" applyBorder="1"/>
    <xf numFmtId="0" fontId="0" fillId="0" borderId="0" xfId="0" applyFill="1" applyAlignment="1"/>
    <xf numFmtId="0" fontId="0" fillId="3" borderId="0" xfId="0" applyFill="1" applyAlignment="1">
      <alignment vertical="top"/>
    </xf>
    <xf numFmtId="0" fontId="0" fillId="3" borderId="0" xfId="0" applyFill="1" applyAlignment="1">
      <alignment wrapText="1"/>
    </xf>
    <xf numFmtId="43" fontId="0" fillId="3" borderId="0" xfId="1" applyFont="1" applyFill="1"/>
    <xf numFmtId="43" fontId="2" fillId="3" borderId="1" xfId="1" applyFont="1" applyFill="1" applyBorder="1" applyAlignment="1">
      <alignment horizontal="center" wrapText="1"/>
    </xf>
    <xf numFmtId="164" fontId="0" fillId="3" borderId="0" xfId="1" applyNumberFormat="1" applyFont="1" applyFill="1"/>
    <xf numFmtId="0" fontId="0" fillId="3" borderId="0" xfId="0" applyFill="1"/>
    <xf numFmtId="43" fontId="0" fillId="4" borderId="0" xfId="1" applyFont="1" applyFill="1"/>
    <xf numFmtId="0" fontId="0" fillId="3" borderId="0" xfId="0" quotePrefix="1" applyFill="1" applyAlignment="1">
      <alignment wrapText="1"/>
    </xf>
    <xf numFmtId="166" fontId="0" fillId="3" borderId="9" xfId="8" applyNumberFormat="1" applyFont="1" applyFill="1" applyBorder="1"/>
    <xf numFmtId="0" fontId="2" fillId="3" borderId="0" xfId="0" applyFont="1" applyFill="1"/>
    <xf numFmtId="0" fontId="0" fillId="3" borderId="0" xfId="0" applyFill="1" applyAlignment="1">
      <alignment horizontal="left"/>
    </xf>
    <xf numFmtId="166" fontId="0" fillId="3" borderId="0" xfId="8" applyNumberFormat="1" applyFont="1" applyFill="1"/>
    <xf numFmtId="166" fontId="0" fillId="3" borderId="9" xfId="0" applyNumberFormat="1" applyFill="1" applyBorder="1"/>
    <xf numFmtId="0" fontId="2" fillId="3" borderId="1" xfId="0" applyFont="1" applyFill="1" applyBorder="1" applyAlignment="1">
      <alignment horizontal="center" wrapText="1"/>
    </xf>
    <xf numFmtId="0" fontId="8" fillId="5" borderId="0" xfId="4" quotePrefix="1" applyFont="1" applyFill="1"/>
    <xf numFmtId="0" fontId="6" fillId="5" borderId="0" xfId="4" applyFill="1"/>
    <xf numFmtId="0" fontId="6" fillId="0" borderId="0" xfId="4" applyFont="1"/>
    <xf numFmtId="0" fontId="6" fillId="0" borderId="0" xfId="4"/>
    <xf numFmtId="0" fontId="8" fillId="5" borderId="0" xfId="4" applyFont="1" applyFill="1"/>
    <xf numFmtId="0" fontId="8" fillId="5" borderId="0" xfId="4" applyFont="1" applyFill="1" applyAlignment="1">
      <alignment horizontal="left"/>
    </xf>
    <xf numFmtId="0" fontId="6" fillId="5" borderId="10" xfId="4" applyFont="1" applyFill="1" applyBorder="1" applyAlignment="1" applyProtection="1">
      <alignment horizontal="center"/>
      <protection locked="0"/>
    </xf>
    <xf numFmtId="0" fontId="9" fillId="5" borderId="0" xfId="4" applyFont="1" applyFill="1" applyAlignment="1" applyProtection="1">
      <alignment horizontal="left" indent="1"/>
    </xf>
    <xf numFmtId="0" fontId="6" fillId="5" borderId="0" xfId="4" applyFill="1" applyBorder="1"/>
    <xf numFmtId="0" fontId="9" fillId="5" borderId="0" xfId="4" applyFont="1" applyFill="1" applyAlignment="1" applyProtection="1">
      <alignment horizontal="left" indent="3"/>
    </xf>
    <xf numFmtId="0" fontId="6" fillId="5" borderId="1" xfId="4" applyFill="1" applyBorder="1"/>
    <xf numFmtId="0" fontId="10" fillId="5" borderId="0" xfId="4" applyFont="1" applyFill="1" applyAlignment="1" applyProtection="1">
      <alignment horizontal="left" indent="4"/>
    </xf>
    <xf numFmtId="0" fontId="6" fillId="0" borderId="0" xfId="4" applyFont="1" applyAlignment="1">
      <alignment horizontal="center"/>
    </xf>
    <xf numFmtId="0" fontId="0" fillId="0" borderId="0" xfId="0" applyFill="1" applyBorder="1"/>
    <xf numFmtId="164" fontId="4" fillId="0" borderId="0" xfId="1" applyNumberFormat="1" applyFont="1" applyFill="1" applyBorder="1" applyAlignment="1">
      <alignment horizontal="left"/>
    </xf>
    <xf numFmtId="165" fontId="0" fillId="0" borderId="0" xfId="0" applyNumberFormat="1" applyFill="1"/>
    <xf numFmtId="0" fontId="13" fillId="5" borderId="0" xfId="0" applyFont="1" applyFill="1" applyAlignment="1" applyProtection="1">
      <alignment horizontal="center"/>
    </xf>
    <xf numFmtId="167" fontId="13" fillId="5" borderId="0" xfId="0" applyNumberFormat="1" applyFont="1" applyFill="1" applyProtection="1"/>
    <xf numFmtId="0" fontId="0" fillId="5" borderId="0" xfId="0" applyFill="1"/>
    <xf numFmtId="0" fontId="13" fillId="5" borderId="0" xfId="0" applyFont="1" applyFill="1" applyAlignment="1">
      <alignment horizontal="center" vertical="top"/>
    </xf>
    <xf numFmtId="0" fontId="13" fillId="5" borderId="0" xfId="0" applyFont="1" applyFill="1"/>
    <xf numFmtId="0" fontId="13" fillId="5" borderId="0" xfId="0" applyNumberFormat="1" applyFont="1" applyFill="1" applyAlignment="1" applyProtection="1">
      <alignment horizontal="left" vertical="top"/>
    </xf>
    <xf numFmtId="0" fontId="13" fillId="5" borderId="0" xfId="0" applyFont="1" applyFill="1" applyAlignment="1">
      <alignment vertical="top"/>
    </xf>
    <xf numFmtId="49" fontId="13" fillId="5" borderId="0" xfId="0" quotePrefix="1" applyNumberFormat="1" applyFont="1" applyFill="1" applyAlignment="1" applyProtection="1">
      <alignment horizontal="center" vertical="top"/>
    </xf>
    <xf numFmtId="49" fontId="13" fillId="5" borderId="0" xfId="0" quotePrefix="1" applyNumberFormat="1" applyFont="1" applyFill="1" applyAlignment="1">
      <alignment horizontal="center" vertical="top"/>
    </xf>
    <xf numFmtId="0" fontId="2" fillId="0" borderId="0" xfId="0" applyFont="1" applyFill="1"/>
    <xf numFmtId="0" fontId="2" fillId="0" borderId="1" xfId="0" applyFont="1" applyFill="1" applyBorder="1" applyAlignment="1">
      <alignment horizontal="centerContinuous"/>
    </xf>
    <xf numFmtId="0" fontId="3" fillId="0" borderId="0" xfId="0" applyFont="1" applyFill="1" applyBorder="1" applyAlignment="1">
      <alignment wrapText="1"/>
    </xf>
    <xf numFmtId="164" fontId="0" fillId="0" borderId="0" xfId="0" applyNumberFormat="1" applyFill="1"/>
    <xf numFmtId="0" fontId="14" fillId="0" borderId="0" xfId="0" applyFont="1" applyFill="1" applyBorder="1" applyAlignment="1">
      <alignment horizontal="center"/>
    </xf>
    <xf numFmtId="0" fontId="14" fillId="0" borderId="0" xfId="0" applyFont="1" applyFill="1" applyBorder="1" applyAlignment="1">
      <alignment horizontal="left"/>
    </xf>
    <xf numFmtId="168" fontId="14" fillId="0" borderId="0" xfId="9" applyNumberFormat="1" applyFont="1" applyFill="1"/>
    <xf numFmtId="164" fontId="14" fillId="0" borderId="0" xfId="1" applyNumberFormat="1" applyFont="1" applyFill="1"/>
    <xf numFmtId="165" fontId="14" fillId="0" borderId="0" xfId="0" applyNumberFormat="1" applyFont="1" applyFill="1"/>
    <xf numFmtId="164" fontId="14" fillId="0" borderId="0" xfId="0" applyNumberFormat="1" applyFont="1" applyFill="1"/>
    <xf numFmtId="168" fontId="0" fillId="0" borderId="0" xfId="9" applyNumberFormat="1" applyFont="1" applyFill="1"/>
    <xf numFmtId="43" fontId="0" fillId="0" borderId="0" xfId="0" applyNumberFormat="1" applyFill="1"/>
    <xf numFmtId="169" fontId="14" fillId="0" borderId="0" xfId="9" applyNumberFormat="1" applyFont="1" applyFill="1"/>
    <xf numFmtId="0" fontId="14" fillId="0" borderId="0" xfId="0" applyFont="1" applyFill="1" applyAlignment="1">
      <alignment horizontal="center"/>
    </xf>
    <xf numFmtId="164" fontId="2" fillId="0" borderId="0" xfId="0" applyNumberFormat="1" applyFont="1" applyFill="1"/>
    <xf numFmtId="43" fontId="2" fillId="0" borderId="0" xfId="0" applyNumberFormat="1" applyFont="1" applyFill="1"/>
    <xf numFmtId="0" fontId="15" fillId="0" borderId="0" xfId="0" applyFont="1" applyFill="1" applyAlignment="1">
      <alignment horizontal="center"/>
    </xf>
    <xf numFmtId="164" fontId="15" fillId="0" borderId="0" xfId="1" applyNumberFormat="1" applyFont="1" applyFill="1" applyAlignment="1">
      <alignment horizontal="center"/>
    </xf>
    <xf numFmtId="43" fontId="0" fillId="0" borderId="0" xfId="1" applyFont="1" applyFill="1"/>
    <xf numFmtId="0" fontId="0" fillId="6" borderId="0" xfId="0" applyFill="1"/>
    <xf numFmtId="43" fontId="0" fillId="6" borderId="0" xfId="1" applyFont="1" applyFill="1"/>
    <xf numFmtId="169" fontId="0" fillId="0" borderId="0" xfId="9" applyNumberFormat="1" applyFont="1" applyFill="1"/>
    <xf numFmtId="169" fontId="0" fillId="0" borderId="0" xfId="9" applyNumberFormat="1" applyFont="1"/>
    <xf numFmtId="164" fontId="2" fillId="0" borderId="0" xfId="1" applyNumberFormat="1" applyFont="1" applyFill="1"/>
    <xf numFmtId="0" fontId="0" fillId="3" borderId="0" xfId="0" quotePrefix="1" applyFill="1" applyBorder="1" applyAlignment="1">
      <alignment wrapText="1"/>
    </xf>
    <xf numFmtId="0" fontId="2" fillId="0" borderId="2" xfId="0" applyFont="1" applyBorder="1"/>
    <xf numFmtId="0" fontId="0" fillId="0" borderId="3" xfId="0" applyBorder="1"/>
    <xf numFmtId="164" fontId="0" fillId="0" borderId="3" xfId="1" applyNumberFormat="1" applyFont="1" applyBorder="1"/>
    <xf numFmtId="164" fontId="0" fillId="0" borderId="4" xfId="1" applyNumberFormat="1" applyFont="1" applyBorder="1"/>
    <xf numFmtId="0" fontId="0" fillId="0" borderId="5" xfId="0" applyBorder="1"/>
    <xf numFmtId="0" fontId="0" fillId="7" borderId="0" xfId="0" applyFill="1" applyBorder="1"/>
    <xf numFmtId="0" fontId="0" fillId="8" borderId="0" xfId="0" applyFill="1" applyBorder="1"/>
    <xf numFmtId="0" fontId="0" fillId="0" borderId="5" xfId="0" applyBorder="1" applyAlignment="1">
      <alignment horizontal="center" wrapText="1"/>
    </xf>
    <xf numFmtId="43" fontId="0" fillId="0" borderId="0" xfId="1" applyFont="1" applyBorder="1"/>
    <xf numFmtId="0" fontId="0" fillId="0" borderId="0" xfId="0" applyBorder="1"/>
    <xf numFmtId="43" fontId="0" fillId="0" borderId="0" xfId="0" applyNumberFormat="1" applyBorder="1"/>
    <xf numFmtId="0" fontId="2" fillId="0" borderId="5" xfId="0" applyFont="1" applyBorder="1"/>
    <xf numFmtId="43" fontId="2" fillId="0" borderId="0" xfId="0" applyNumberFormat="1" applyFont="1" applyBorder="1"/>
    <xf numFmtId="0" fontId="2" fillId="0" borderId="0" xfId="0" applyFont="1" applyBorder="1"/>
    <xf numFmtId="43" fontId="0" fillId="0" borderId="6" xfId="1" applyFont="1" applyBorder="1"/>
    <xf numFmtId="0" fontId="0" fillId="3" borderId="0" xfId="0" applyFill="1" applyBorder="1" applyAlignment="1">
      <alignment horizontal="center"/>
    </xf>
    <xf numFmtId="0" fontId="0" fillId="3" borderId="6" xfId="0" applyFill="1" applyBorder="1" applyAlignment="1">
      <alignment horizontal="center"/>
    </xf>
    <xf numFmtId="164" fontId="0" fillId="0" borderId="0" xfId="1" applyNumberFormat="1" applyFont="1" applyBorder="1"/>
    <xf numFmtId="164" fontId="0" fillId="0" borderId="6" xfId="1" applyNumberFormat="1" applyFont="1" applyBorder="1"/>
    <xf numFmtId="0" fontId="0" fillId="3" borderId="0" xfId="0" applyFill="1" applyBorder="1" applyAlignment="1">
      <alignment vertical="top" wrapText="1"/>
    </xf>
    <xf numFmtId="0" fontId="0" fillId="2" borderId="0" xfId="0" applyFill="1" applyBorder="1" applyAlignment="1">
      <alignment horizontal="center" wrapText="1"/>
    </xf>
    <xf numFmtId="0" fontId="0" fillId="2" borderId="6" xfId="0" applyFill="1" applyBorder="1" applyAlignment="1">
      <alignment horizontal="center" wrapText="1"/>
    </xf>
    <xf numFmtId="0" fontId="0" fillId="0" borderId="5" xfId="0" applyBorder="1" applyAlignment="1">
      <alignment horizontal="right"/>
    </xf>
    <xf numFmtId="0" fontId="2" fillId="0" borderId="5" xfId="0" applyFont="1" applyBorder="1" applyAlignment="1">
      <alignment horizontal="right"/>
    </xf>
    <xf numFmtId="0" fontId="0" fillId="0" borderId="7" xfId="0" applyBorder="1"/>
    <xf numFmtId="0" fontId="0" fillId="0" borderId="1" xfId="0" applyBorder="1"/>
    <xf numFmtId="164" fontId="0" fillId="0" borderId="1" xfId="1" applyNumberFormat="1" applyFont="1" applyBorder="1"/>
    <xf numFmtId="164" fontId="0" fillId="0" borderId="8" xfId="1" applyNumberFormat="1" applyFont="1" applyBorder="1"/>
    <xf numFmtId="0" fontId="0" fillId="0" borderId="0" xfId="0" applyFill="1" applyAlignment="1">
      <alignment horizontal="right" wrapText="1"/>
    </xf>
    <xf numFmtId="2" fontId="0" fillId="7" borderId="0" xfId="0" applyNumberFormat="1" applyFill="1" applyBorder="1" applyAlignment="1">
      <alignment horizontal="center"/>
    </xf>
    <xf numFmtId="2" fontId="0" fillId="8" borderId="0" xfId="0" applyNumberFormat="1" applyFill="1" applyBorder="1"/>
    <xf numFmtId="0" fontId="6" fillId="0" borderId="0" xfId="4"/>
    <xf numFmtId="0" fontId="2" fillId="0" borderId="1" xfId="0" applyFont="1" applyBorder="1" applyAlignment="1">
      <alignment horizontal="center" wrapText="1"/>
    </xf>
    <xf numFmtId="0" fontId="2" fillId="0" borderId="8" xfId="0" applyFont="1" applyBorder="1" applyAlignment="1">
      <alignment horizontal="center" wrapText="1"/>
    </xf>
    <xf numFmtId="2" fontId="0" fillId="0" borderId="0" xfId="0" applyNumberFormat="1" applyFill="1" applyBorder="1" applyAlignment="1">
      <alignment horizontal="center"/>
    </xf>
    <xf numFmtId="0" fontId="0" fillId="0" borderId="0" xfId="0" applyFill="1" applyBorder="1" applyAlignment="1">
      <alignment horizontal="center"/>
    </xf>
    <xf numFmtId="2" fontId="0" fillId="0" borderId="0" xfId="0" applyNumberFormat="1" applyFill="1" applyBorder="1"/>
    <xf numFmtId="0" fontId="0" fillId="0" borderId="6" xfId="0" applyFill="1" applyBorder="1"/>
    <xf numFmtId="0" fontId="2" fillId="0" borderId="0" xfId="0" applyFont="1" applyAlignment="1">
      <alignment horizontal="right"/>
    </xf>
    <xf numFmtId="0" fontId="2" fillId="3" borderId="0" xfId="0" applyFont="1" applyFill="1" applyBorder="1" applyAlignment="1">
      <alignment horizontal="center" wrapText="1"/>
    </xf>
    <xf numFmtId="0" fontId="0" fillId="3" borderId="0" xfId="0" applyFont="1" applyFill="1"/>
    <xf numFmtId="164" fontId="0" fillId="3" borderId="0" xfId="0" applyNumberFormat="1" applyFont="1" applyFill="1" applyBorder="1" applyAlignment="1">
      <alignment horizontal="center" wrapText="1"/>
    </xf>
    <xf numFmtId="164" fontId="2" fillId="3" borderId="0" xfId="0" applyNumberFormat="1" applyFont="1" applyFill="1"/>
    <xf numFmtId="14" fontId="6" fillId="5" borderId="0" xfId="4" applyNumberFormat="1" applyFill="1" applyBorder="1" applyAlignment="1">
      <alignment horizontal="left"/>
    </xf>
    <xf numFmtId="14" fontId="6" fillId="0" borderId="0" xfId="4" applyNumberFormat="1"/>
    <xf numFmtId="0" fontId="6" fillId="0" borderId="0" xfId="4" applyAlignment="1">
      <alignment horizontal="right"/>
    </xf>
    <xf numFmtId="164" fontId="0" fillId="3" borderId="6" xfId="0" applyNumberFormat="1" applyFill="1" applyBorder="1" applyAlignment="1">
      <alignment horizontal="center"/>
    </xf>
    <xf numFmtId="164" fontId="0" fillId="3" borderId="0" xfId="0" applyNumberFormat="1" applyFill="1" applyBorder="1" applyAlignment="1">
      <alignment horizontal="center"/>
    </xf>
    <xf numFmtId="0" fontId="0" fillId="3" borderId="5" xfId="0" applyFill="1" applyBorder="1" applyAlignment="1">
      <alignment horizontal="right" wrapText="1"/>
    </xf>
    <xf numFmtId="0" fontId="6" fillId="0" borderId="0" xfId="4"/>
    <xf numFmtId="0" fontId="6" fillId="0" borderId="0" xfId="4" applyBorder="1"/>
    <xf numFmtId="0" fontId="15" fillId="3" borderId="5" xfId="0" applyFont="1" applyFill="1" applyBorder="1"/>
    <xf numFmtId="166" fontId="6" fillId="0" borderId="10" xfId="8" applyNumberFormat="1" applyFont="1" applyBorder="1"/>
    <xf numFmtId="14" fontId="0" fillId="3" borderId="0" xfId="0" applyNumberFormat="1" applyFill="1" applyBorder="1" applyAlignment="1">
      <alignment horizontal="left" wrapText="1"/>
    </xf>
    <xf numFmtId="0" fontId="6" fillId="0" borderId="0" xfId="4"/>
    <xf numFmtId="0" fontId="0" fillId="3" borderId="0" xfId="0" applyFont="1" applyFill="1" applyBorder="1" applyAlignment="1">
      <alignment horizontal="left"/>
    </xf>
    <xf numFmtId="0" fontId="2" fillId="2" borderId="2" xfId="0" applyFont="1" applyFill="1" applyBorder="1"/>
    <xf numFmtId="0" fontId="2" fillId="2" borderId="5" xfId="0" applyFont="1" applyFill="1" applyBorder="1"/>
    <xf numFmtId="0" fontId="2" fillId="2" borderId="0"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right"/>
    </xf>
    <xf numFmtId="43" fontId="2" fillId="2" borderId="0" xfId="0" applyNumberFormat="1" applyFont="1" applyFill="1" applyBorder="1"/>
    <xf numFmtId="0" fontId="0" fillId="2" borderId="0" xfId="0" applyFont="1" applyFill="1" applyBorder="1" applyAlignment="1">
      <alignment horizontal="right"/>
    </xf>
    <xf numFmtId="164" fontId="0" fillId="2" borderId="0" xfId="0" applyNumberFormat="1" applyFont="1" applyFill="1" applyBorder="1"/>
    <xf numFmtId="164" fontId="0" fillId="2" borderId="0" xfId="0" applyNumberFormat="1" applyFill="1" applyBorder="1"/>
    <xf numFmtId="164" fontId="0" fillId="2" borderId="6" xfId="0" applyNumberFormat="1" applyFill="1" applyBorder="1"/>
    <xf numFmtId="43" fontId="0" fillId="2" borderId="0" xfId="0" applyNumberFormat="1" applyFill="1" applyBorder="1"/>
    <xf numFmtId="0" fontId="0" fillId="2" borderId="1" xfId="0" applyFill="1" applyBorder="1"/>
    <xf numFmtId="0" fontId="0" fillId="2" borderId="8" xfId="0" applyFill="1" applyBorder="1"/>
    <xf numFmtId="0" fontId="6" fillId="5" borderId="0" xfId="4" applyFont="1" applyFill="1"/>
    <xf numFmtId="0" fontId="6" fillId="5" borderId="0" xfId="4" quotePrefix="1" applyFont="1" applyFill="1"/>
    <xf numFmtId="0" fontId="6" fillId="0" borderId="0" xfId="4"/>
    <xf numFmtId="166" fontId="6" fillId="0" borderId="0" xfId="8" applyNumberFormat="1" applyFont="1" applyBorder="1"/>
    <xf numFmtId="0" fontId="6" fillId="5" borderId="0" xfId="4" applyFill="1" applyAlignment="1">
      <alignment wrapText="1"/>
    </xf>
    <xf numFmtId="0" fontId="0" fillId="3" borderId="5" xfId="0" applyFill="1" applyBorder="1" applyAlignment="1">
      <alignment horizontal="right" vertical="top"/>
    </xf>
    <xf numFmtId="0" fontId="0" fillId="7" borderId="0" xfId="0" applyFill="1" applyBorder="1" applyAlignment="1">
      <alignment horizontal="center"/>
    </xf>
    <xf numFmtId="0" fontId="13" fillId="5" borderId="0" xfId="0" applyNumberFormat="1" applyFont="1" applyFill="1" applyAlignment="1" applyProtection="1">
      <alignment horizontal="left" vertical="top" wrapText="1"/>
    </xf>
    <xf numFmtId="0" fontId="0" fillId="5" borderId="0" xfId="0" applyFill="1" applyAlignment="1">
      <alignment vertical="top" wrapText="1"/>
    </xf>
    <xf numFmtId="0" fontId="0" fillId="5" borderId="0" xfId="0" applyFill="1" applyAlignment="1">
      <alignment vertical="top"/>
    </xf>
    <xf numFmtId="0" fontId="0" fillId="0" borderId="0" xfId="0" applyFill="1" applyAlignment="1">
      <alignment horizontal="center"/>
    </xf>
    <xf numFmtId="0" fontId="0" fillId="5" borderId="0" xfId="0" applyFill="1" applyAlignment="1">
      <alignment vertical="center"/>
    </xf>
    <xf numFmtId="0" fontId="0" fillId="0" borderId="0" xfId="0" applyFont="1" applyFill="1" applyAlignment="1">
      <alignment horizontal="center"/>
    </xf>
    <xf numFmtId="0" fontId="0" fillId="0" borderId="0" xfId="0" applyFont="1" applyFill="1"/>
    <xf numFmtId="164" fontId="0" fillId="0" borderId="0" xfId="0" applyNumberFormat="1" applyFont="1" applyFill="1"/>
    <xf numFmtId="169" fontId="2" fillId="0" borderId="0" xfId="0" applyNumberFormat="1" applyFont="1" applyFill="1"/>
    <xf numFmtId="0" fontId="0" fillId="2" borderId="0" xfId="0" applyFill="1"/>
    <xf numFmtId="0" fontId="16" fillId="2" borderId="0" xfId="0" applyFont="1" applyFill="1"/>
    <xf numFmtId="0" fontId="14" fillId="6" borderId="0" xfId="0" applyFont="1" applyFill="1"/>
    <xf numFmtId="0" fontId="0" fillId="0" borderId="0" xfId="0" applyFill="1" applyBorder="1" applyAlignment="1">
      <alignment horizontal="right"/>
    </xf>
    <xf numFmtId="0" fontId="2" fillId="0" borderId="0" xfId="0" applyFont="1" applyAlignment="1">
      <alignment horizontal="center" wrapText="1"/>
    </xf>
    <xf numFmtId="0" fontId="0" fillId="0" borderId="0" xfId="0" applyFont="1" applyAlignment="1">
      <alignment horizontal="right"/>
    </xf>
    <xf numFmtId="0" fontId="0" fillId="9" borderId="0" xfId="0" applyFill="1" applyBorder="1"/>
    <xf numFmtId="2" fontId="0" fillId="9" borderId="0" xfId="0" applyNumberFormat="1" applyFill="1" applyBorder="1"/>
    <xf numFmtId="0" fontId="0" fillId="9" borderId="6" xfId="0" applyFill="1" applyBorder="1"/>
    <xf numFmtId="43" fontId="0" fillId="0" borderId="0" xfId="1" applyNumberFormat="1" applyFont="1" applyBorder="1"/>
    <xf numFmtId="43" fontId="0" fillId="0" borderId="0" xfId="0" applyNumberFormat="1" applyFont="1" applyBorder="1"/>
    <xf numFmtId="164" fontId="0" fillId="0" borderId="5" xfId="1" applyNumberFormat="1" applyFont="1" applyBorder="1"/>
    <xf numFmtId="0" fontId="0" fillId="3" borderId="0" xfId="0" applyFill="1" applyBorder="1" applyAlignment="1">
      <alignment horizontal="left" vertical="top" wrapText="1"/>
    </xf>
    <xf numFmtId="0" fontId="0" fillId="2" borderId="5" xfId="0" applyFill="1" applyBorder="1" applyAlignment="1">
      <alignment wrapText="1"/>
    </xf>
    <xf numFmtId="164" fontId="0" fillId="2" borderId="1" xfId="0" applyNumberFormat="1" applyFill="1" applyBorder="1"/>
    <xf numFmtId="164" fontId="0" fillId="2" borderId="8" xfId="0" applyNumberFormat="1" applyFill="1" applyBorder="1"/>
    <xf numFmtId="164" fontId="0" fillId="0" borderId="0" xfId="0" applyNumberFormat="1" applyFill="1" applyBorder="1"/>
    <xf numFmtId="0" fontId="0" fillId="3" borderId="0" xfId="0" applyFill="1" applyAlignment="1">
      <alignment horizontal="left" wrapText="1"/>
    </xf>
    <xf numFmtId="43" fontId="0" fillId="2" borderId="0" xfId="0" applyNumberFormat="1" applyFont="1" applyFill="1" applyBorder="1" applyAlignment="1">
      <alignment horizontal="center"/>
    </xf>
    <xf numFmtId="0" fontId="0" fillId="2" borderId="0" xfId="0" applyFill="1" applyBorder="1" applyAlignment="1">
      <alignment horizontal="center"/>
    </xf>
    <xf numFmtId="0" fontId="0" fillId="2" borderId="6" xfId="0" applyFill="1" applyBorder="1" applyAlignment="1">
      <alignment horizontal="center"/>
    </xf>
    <xf numFmtId="0" fontId="0" fillId="0" borderId="0" xfId="0" applyFill="1" applyAlignment="1">
      <alignment horizontal="center"/>
    </xf>
    <xf numFmtId="0" fontId="17" fillId="0" borderId="0" xfId="15" applyBorder="1"/>
    <xf numFmtId="0" fontId="11" fillId="5" borderId="0" xfId="4" applyFont="1" applyFill="1" applyAlignment="1">
      <alignment horizontal="left"/>
    </xf>
    <xf numFmtId="0" fontId="6" fillId="0" borderId="0" xfId="4"/>
    <xf numFmtId="0" fontId="13" fillId="5" borderId="0" xfId="0" applyNumberFormat="1" applyFont="1" applyFill="1" applyAlignment="1" applyProtection="1">
      <alignment horizontal="left" vertical="top" wrapText="1"/>
    </xf>
    <xf numFmtId="0" fontId="0" fillId="5" borderId="0" xfId="0" applyFill="1" applyAlignment="1">
      <alignment vertical="top" wrapText="1"/>
    </xf>
    <xf numFmtId="0" fontId="13" fillId="5" borderId="0" xfId="0" applyFont="1" applyFill="1" applyAlignment="1">
      <alignment vertical="top" wrapText="1"/>
    </xf>
    <xf numFmtId="0" fontId="0" fillId="5" borderId="0" xfId="0" applyFill="1" applyAlignment="1">
      <alignment vertical="top"/>
    </xf>
    <xf numFmtId="0" fontId="0" fillId="7" borderId="0" xfId="0" applyFill="1" applyBorder="1" applyAlignment="1">
      <alignment horizontal="center"/>
    </xf>
    <xf numFmtId="0" fontId="0" fillId="8" borderId="0" xfId="0" applyFill="1" applyBorder="1" applyAlignment="1">
      <alignment horizontal="center"/>
    </xf>
    <xf numFmtId="0" fontId="0" fillId="9" borderId="0" xfId="0" applyFill="1" applyBorder="1" applyAlignment="1">
      <alignment horizontal="center"/>
    </xf>
    <xf numFmtId="0" fontId="0" fillId="9" borderId="6" xfId="0" applyFill="1" applyBorder="1" applyAlignment="1">
      <alignment horizontal="center"/>
    </xf>
    <xf numFmtId="0" fontId="0" fillId="0" borderId="0" xfId="0" applyFill="1" applyAlignment="1">
      <alignment horizontal="center"/>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1" xfId="0" applyFill="1" applyBorder="1" applyAlignment="1">
      <alignment horizontal="left" vertical="top" wrapText="1"/>
    </xf>
    <xf numFmtId="0" fontId="0" fillId="0" borderId="8" xfId="0" applyFill="1" applyBorder="1" applyAlignment="1">
      <alignment horizontal="left" vertical="top" wrapText="1"/>
    </xf>
    <xf numFmtId="0" fontId="12" fillId="5" borderId="0" xfId="0" applyNumberFormat="1" applyFont="1" applyFill="1" applyAlignment="1" applyProtection="1">
      <alignment horizontal="left" vertical="center"/>
    </xf>
    <xf numFmtId="0" fontId="0" fillId="5" borderId="0" xfId="0" applyFill="1" applyAlignment="1">
      <alignment vertical="center"/>
    </xf>
  </cellXfs>
  <cellStyles count="16">
    <cellStyle name="Comma" xfId="1" builtinId="3"/>
    <cellStyle name="Comma 2" xfId="2"/>
    <cellStyle name="Currency" xfId="8" builtinId="4"/>
    <cellStyle name="Currency 2" xfId="10"/>
    <cellStyle name="Linked Cell" xfId="15" builtinId="24"/>
    <cellStyle name="Normal" xfId="0" builtinId="0"/>
    <cellStyle name="Normal 2" xfId="3"/>
    <cellStyle name="Normal 2 2" xfId="11"/>
    <cellStyle name="Normal 3" xfId="4"/>
    <cellStyle name="Normal 3 2" xfId="5"/>
    <cellStyle name="Normal 3 3" xfId="12"/>
    <cellStyle name="Normal 4" xfId="6"/>
    <cellStyle name="Normal 4 2" xfId="13"/>
    <cellStyle name="Normal 4 3" xfId="14"/>
    <cellStyle name="Percent" xfId="9" builtinId="5"/>
    <cellStyle name="Percent 2" xfId="7"/>
  </cellStyles>
  <dxfs count="2">
    <dxf>
      <fill>
        <patternFill>
          <bgColor theme="6" tint="0.79998168889431442"/>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38100</xdr:colOff>
      <xdr:row>26</xdr:row>
      <xdr:rowOff>66677</xdr:rowOff>
    </xdr:from>
    <xdr:to>
      <xdr:col>3</xdr:col>
      <xdr:colOff>1</xdr:colOff>
      <xdr:row>40</xdr:row>
      <xdr:rowOff>66675</xdr:rowOff>
    </xdr:to>
    <xdr:sp macro="" textlink="">
      <xdr:nvSpPr>
        <xdr:cNvPr id="2" name="TextBox 1"/>
        <xdr:cNvSpPr txBox="1"/>
      </xdr:nvSpPr>
      <xdr:spPr>
        <a:xfrm>
          <a:off x="38100" y="1428752"/>
          <a:ext cx="5191126" cy="2266948"/>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template automatically generates the GASB 68 journal entries (13th period) and certain note disclosures (see below) for all employer participants of the </a:t>
          </a:r>
          <a:r>
            <a:rPr lang="en-US" sz="1000" b="1" baseline="0">
              <a:latin typeface="Arial" panose="020B0604020202020204" pitchFamily="34" charset="0"/>
              <a:cs typeface="Arial" panose="020B0604020202020204" pitchFamily="34" charset="0"/>
            </a:rPr>
            <a:t>Teachers' and State Employees' Retirement System </a:t>
          </a:r>
          <a:r>
            <a:rPr lang="en-US" sz="1000" baseline="0">
              <a:latin typeface="Arial" panose="020B0604020202020204" pitchFamily="34" charset="0"/>
              <a:cs typeface="Arial" panose="020B0604020202020204" pitchFamily="34" charset="0"/>
            </a:rPr>
            <a:t>(TSERS). </a:t>
          </a:r>
        </a:p>
        <a:p>
          <a:endParaRPr lang="en-US" sz="800" baseline="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US" sz="1000" baseline="0">
            <a:latin typeface="Arial" panose="020B0604020202020204" pitchFamily="34" charset="0"/>
            <a:cs typeface="Arial" panose="020B0604020202020204" pitchFamily="34" charset="0"/>
          </a:endParaRPr>
        </a:p>
        <a:p>
          <a:pPr marL="0" indent="0">
            <a:buFontTx/>
            <a:buNone/>
          </a:pPr>
          <a:r>
            <a:rPr lang="en-US" sz="1000" baseline="0">
              <a:latin typeface="Arial" panose="020B0604020202020204" pitchFamily="34" charset="0"/>
              <a:cs typeface="Arial" panose="020B0604020202020204" pitchFamily="34" charset="0"/>
            </a:rPr>
            <a:t>This template provides the note disclosures required by GASB 68, paragraphs 80h(1) thru (5), 80i(1), and 80i(2) and GASB 34, paragraph 119.</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The pension data in this template is maintained by the Department of State Treasurer (DST). The pension allocation schedules for TSERS including the accompanying audit report from the Office of State Auditor will be available on DST's website.   </a:t>
          </a:r>
          <a:endParaRPr lang="en-US"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1304925</xdr:colOff>
      <xdr:row>228</xdr:row>
      <xdr:rowOff>200025</xdr:rowOff>
    </xdr:from>
    <xdr:to>
      <xdr:col>7</xdr:col>
      <xdr:colOff>0</xdr:colOff>
      <xdr:row>228</xdr:row>
      <xdr:rowOff>295275</xdr:rowOff>
    </xdr:to>
    <xdr:cxnSp macro="">
      <xdr:nvCxnSpPr>
        <xdr:cNvPr id="2" name="Straight Arrow Connector 1"/>
        <xdr:cNvCxnSpPr/>
      </xdr:nvCxnSpPr>
      <xdr:spPr>
        <a:xfrm flipH="1">
          <a:off x="10020300" y="62607825"/>
          <a:ext cx="1400175" cy="952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tirement\Ken\C00751\2014%20Valuations\LGERS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GainLoss"/>
      <sheetName val="Reconciliation"/>
      <sheetName val="ProVal GainLoss"/>
      <sheetName val="NPL"/>
      <sheetName val="68 - ER Contributions"/>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68 - Estab New Paragraph 54"/>
      <sheetName val="68 - Estab New Paragraph 55"/>
      <sheetName val="68 - Maintain Outstanding Bases"/>
      <sheetName val="68 - Summary Exhibit"/>
      <sheetName val="68 - Deferred Amortization"/>
      <sheetName val="GASB 68 (JS Check)"/>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GASB 25 26 --&gt;"/>
      <sheetName val="GASB 25 27 (1)"/>
      <sheetName val="GASB 25 27 (2)"/>
      <sheetName val="GASB 25 27 (3)"/>
      <sheetName val="GASB 25 27 (4)"/>
      <sheetName val="GASB 67 --&gt;"/>
      <sheetName val="GASB 67 (1.1)"/>
      <sheetName val="GASB 67 (1.2)"/>
      <sheetName val="GASB 67 (3)"/>
      <sheetName val="68 - Separately Financed Liab"/>
      <sheetName val="68 - SFL"/>
      <sheetName val="68 - SFL TPL Reconciliation"/>
      <sheetName val="68 - Estab New Prop Share Base"/>
      <sheetName val="68 - Estab New Contrb Diff Base"/>
    </sheetNames>
    <sheetDataSet>
      <sheetData sheetId="0"/>
      <sheetData sheetId="1"/>
      <sheetData sheetId="2"/>
      <sheetData sheetId="3">
        <row r="37">
          <cell r="L37">
            <v>0</v>
          </cell>
        </row>
        <row r="38">
          <cell r="L38">
            <v>0</v>
          </cell>
        </row>
        <row r="39">
          <cell r="L39">
            <v>4249859016</v>
          </cell>
        </row>
        <row r="40">
          <cell r="L40">
            <v>0</v>
          </cell>
        </row>
        <row r="41">
          <cell r="L41">
            <v>0</v>
          </cell>
        </row>
        <row r="42">
          <cell r="K42" t="str">
            <v>C</v>
          </cell>
          <cell r="L42">
            <v>329196929</v>
          </cell>
        </row>
        <row r="43">
          <cell r="L43">
            <v>162733483</v>
          </cell>
        </row>
        <row r="44">
          <cell r="K44">
            <v>0</v>
          </cell>
          <cell r="L44">
            <v>29528</v>
          </cell>
        </row>
        <row r="45">
          <cell r="K45" t="str">
            <v>C</v>
          </cell>
          <cell r="L45">
            <v>1234415</v>
          </cell>
        </row>
        <row r="46">
          <cell r="K46" t="str">
            <v>C</v>
          </cell>
          <cell r="L46">
            <v>12649523</v>
          </cell>
        </row>
        <row r="47">
          <cell r="K47">
            <v>0</v>
          </cell>
          <cell r="L47">
            <v>505843878</v>
          </cell>
        </row>
        <row r="48">
          <cell r="K48">
            <v>0</v>
          </cell>
          <cell r="L48">
            <v>0</v>
          </cell>
        </row>
        <row r="49">
          <cell r="L49">
            <v>0</v>
          </cell>
        </row>
        <row r="50">
          <cell r="K50">
            <v>0</v>
          </cell>
          <cell r="L50">
            <v>272886687</v>
          </cell>
        </row>
        <row r="51">
          <cell r="K51" t="str">
            <v>P</v>
          </cell>
          <cell r="L51">
            <v>48038073</v>
          </cell>
        </row>
        <row r="52">
          <cell r="K52" t="str">
            <v>P</v>
          </cell>
          <cell r="L52">
            <v>3242156</v>
          </cell>
        </row>
        <row r="53">
          <cell r="K53" t="str">
            <v>P</v>
          </cell>
          <cell r="L53">
            <v>21864</v>
          </cell>
        </row>
        <row r="54">
          <cell r="K54">
            <v>0</v>
          </cell>
          <cell r="L54">
            <v>324188780</v>
          </cell>
        </row>
        <row r="55">
          <cell r="K55">
            <v>0</v>
          </cell>
          <cell r="L55">
            <v>0</v>
          </cell>
        </row>
        <row r="56">
          <cell r="K56">
            <v>0</v>
          </cell>
          <cell r="L56">
            <v>4431514114</v>
          </cell>
        </row>
        <row r="60">
          <cell r="K60">
            <v>0</v>
          </cell>
          <cell r="L60">
            <v>15473778789</v>
          </cell>
        </row>
        <row r="61">
          <cell r="K61">
            <v>0</v>
          </cell>
          <cell r="L61">
            <v>0</v>
          </cell>
        </row>
        <row r="62">
          <cell r="K62">
            <v>0</v>
          </cell>
          <cell r="L62">
            <v>0</v>
          </cell>
        </row>
        <row r="63">
          <cell r="K63">
            <v>0</v>
          </cell>
          <cell r="L63">
            <v>0</v>
          </cell>
        </row>
        <row r="64">
          <cell r="K64">
            <v>0</v>
          </cell>
          <cell r="L64">
            <v>0</v>
          </cell>
        </row>
        <row r="65">
          <cell r="K65">
            <v>0</v>
          </cell>
          <cell r="L65">
            <v>315973832</v>
          </cell>
        </row>
        <row r="66">
          <cell r="K66">
            <v>0</v>
          </cell>
          <cell r="L66">
            <v>70637813</v>
          </cell>
        </row>
        <row r="67">
          <cell r="K67">
            <v>0</v>
          </cell>
          <cell r="L67">
            <v>278178</v>
          </cell>
        </row>
        <row r="68">
          <cell r="K68">
            <v>0</v>
          </cell>
          <cell r="L68">
            <v>475429</v>
          </cell>
        </row>
        <row r="69">
          <cell r="K69">
            <v>0</v>
          </cell>
          <cell r="L69">
            <v>0</v>
          </cell>
        </row>
        <row r="70">
          <cell r="K70">
            <v>0</v>
          </cell>
          <cell r="L70">
            <v>11012485</v>
          </cell>
        </row>
        <row r="71">
          <cell r="K71">
            <v>0</v>
          </cell>
          <cell r="L71">
            <v>11130</v>
          </cell>
        </row>
        <row r="72">
          <cell r="K72" t="str">
            <v>C</v>
          </cell>
          <cell r="L72">
            <v>398388867</v>
          </cell>
        </row>
        <row r="73">
          <cell r="K73">
            <v>0</v>
          </cell>
          <cell r="L73">
            <v>0</v>
          </cell>
        </row>
        <row r="74">
          <cell r="K74">
            <v>0</v>
          </cell>
          <cell r="L74">
            <v>2388746266</v>
          </cell>
        </row>
        <row r="75">
          <cell r="K75">
            <v>0</v>
          </cell>
          <cell r="L75">
            <v>272886687</v>
          </cell>
        </row>
        <row r="76">
          <cell r="K76" t="str">
            <v>C</v>
          </cell>
          <cell r="L76">
            <v>3257736</v>
          </cell>
        </row>
        <row r="77">
          <cell r="K77" t="str">
            <v>C</v>
          </cell>
          <cell r="L77">
            <v>613547</v>
          </cell>
        </row>
        <row r="78">
          <cell r="K78" t="str">
            <v>E</v>
          </cell>
          <cell r="L78">
            <v>815300</v>
          </cell>
        </row>
        <row r="79">
          <cell r="K79" t="str">
            <v>C</v>
          </cell>
          <cell r="L79">
            <v>56441</v>
          </cell>
        </row>
        <row r="80">
          <cell r="K80" t="str">
            <v>E</v>
          </cell>
          <cell r="L80">
            <v>10400</v>
          </cell>
        </row>
        <row r="81">
          <cell r="K81" t="str">
            <v>C</v>
          </cell>
          <cell r="L81">
            <v>139147</v>
          </cell>
        </row>
        <row r="82">
          <cell r="K82">
            <v>0</v>
          </cell>
          <cell r="L82">
            <v>0</v>
          </cell>
        </row>
        <row r="83">
          <cell r="K83">
            <v>0</v>
          </cell>
          <cell r="L83">
            <v>3064914391</v>
          </cell>
        </row>
        <row r="84">
          <cell r="K84">
            <v>0</v>
          </cell>
          <cell r="L84">
            <v>0</v>
          </cell>
        </row>
        <row r="85">
          <cell r="L85">
            <v>0</v>
          </cell>
        </row>
        <row r="86">
          <cell r="K86" t="str">
            <v>P</v>
          </cell>
          <cell r="L86">
            <v>1013743417</v>
          </cell>
        </row>
        <row r="87">
          <cell r="K87">
            <v>0</v>
          </cell>
          <cell r="L87">
            <v>29528</v>
          </cell>
        </row>
        <row r="88">
          <cell r="K88">
            <v>0</v>
          </cell>
          <cell r="L88">
            <v>162733483</v>
          </cell>
        </row>
        <row r="89">
          <cell r="K89">
            <v>0</v>
          </cell>
          <cell r="L89">
            <v>0</v>
          </cell>
        </row>
        <row r="90">
          <cell r="K90" t="str">
            <v>P</v>
          </cell>
          <cell r="L90">
            <v>3887107</v>
          </cell>
        </row>
        <row r="91">
          <cell r="K91" t="str">
            <v>P</v>
          </cell>
          <cell r="L91">
            <v>19235</v>
          </cell>
        </row>
        <row r="92">
          <cell r="K92" t="str">
            <v>P</v>
          </cell>
          <cell r="L92">
            <v>4322147</v>
          </cell>
        </row>
        <row r="93">
          <cell r="K93" t="str">
            <v>P</v>
          </cell>
          <cell r="L93">
            <v>5989</v>
          </cell>
        </row>
        <row r="94">
          <cell r="K94" t="str">
            <v>P</v>
          </cell>
          <cell r="L94">
            <v>1211288</v>
          </cell>
        </row>
        <row r="95">
          <cell r="K95">
            <v>0</v>
          </cell>
          <cell r="L95">
            <v>1185952194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tabSelected="1" workbookViewId="0"/>
  </sheetViews>
  <sheetFormatPr defaultColWidth="9.140625" defaultRowHeight="12.75"/>
  <cols>
    <col min="1" max="1" width="42.28515625" style="63" customWidth="1"/>
    <col min="2" max="2" width="9.28515625" style="141" customWidth="1"/>
    <col min="3" max="3" width="53.7109375" style="63" customWidth="1"/>
    <col min="4" max="4" width="45.42578125" style="63" bestFit="1" customWidth="1"/>
    <col min="5" max="16384" width="9.140625" style="63"/>
  </cols>
  <sheetData>
    <row r="1" spans="1:5">
      <c r="A1" s="60" t="s">
        <v>330</v>
      </c>
      <c r="B1" s="60"/>
      <c r="C1" s="61"/>
      <c r="D1" s="61"/>
      <c r="E1" s="62"/>
    </row>
    <row r="2" spans="1:5">
      <c r="A2" s="60" t="s">
        <v>331</v>
      </c>
      <c r="B2" s="60"/>
      <c r="C2" s="61"/>
    </row>
    <row r="3" spans="1:5">
      <c r="A3" s="64" t="s">
        <v>518</v>
      </c>
      <c r="B3" s="64"/>
      <c r="C3" s="61"/>
      <c r="D3" s="61"/>
    </row>
    <row r="4" spans="1:5" s="164" customFormat="1">
      <c r="A4" s="64"/>
      <c r="B4" s="64"/>
      <c r="C4" s="61"/>
      <c r="D4" s="61"/>
    </row>
    <row r="5" spans="1:5" s="164" customFormat="1">
      <c r="A5" s="64"/>
      <c r="B5" s="64"/>
      <c r="C5" s="61"/>
      <c r="D5" s="61"/>
    </row>
    <row r="6" spans="1:5" s="164" customFormat="1">
      <c r="A6" s="64" t="s">
        <v>459</v>
      </c>
      <c r="B6" s="64"/>
      <c r="C6" s="61"/>
      <c r="D6" s="61"/>
    </row>
    <row r="7" spans="1:5" s="164" customFormat="1">
      <c r="A7" s="64"/>
      <c r="B7" s="64"/>
      <c r="C7" s="61"/>
      <c r="D7" s="61"/>
    </row>
    <row r="8" spans="1:5" s="164" customFormat="1">
      <c r="A8" s="179" t="s">
        <v>528</v>
      </c>
      <c r="B8" s="64"/>
      <c r="C8" s="61"/>
      <c r="D8" s="61"/>
    </row>
    <row r="9" spans="1:5" s="164" customFormat="1">
      <c r="A9" s="179" t="s">
        <v>529</v>
      </c>
      <c r="B9" s="64"/>
      <c r="C9" s="61"/>
      <c r="D9" s="61"/>
    </row>
    <row r="10" spans="1:5" s="164" customFormat="1">
      <c r="A10" s="179" t="s">
        <v>530</v>
      </c>
      <c r="B10" s="64"/>
      <c r="C10" s="61"/>
      <c r="D10" s="61"/>
    </row>
    <row r="11" spans="1:5" s="164" customFormat="1">
      <c r="A11" s="179" t="s">
        <v>523</v>
      </c>
      <c r="B11" s="64"/>
      <c r="C11" s="61"/>
      <c r="D11" s="61"/>
    </row>
    <row r="12" spans="1:5" s="164" customFormat="1">
      <c r="A12" s="180" t="s">
        <v>460</v>
      </c>
      <c r="B12" s="64"/>
      <c r="C12" s="61"/>
      <c r="D12" s="61"/>
    </row>
    <row r="13" spans="1:5" s="164" customFormat="1">
      <c r="A13" s="179"/>
      <c r="B13" s="64"/>
      <c r="C13" s="61"/>
      <c r="D13" s="61"/>
    </row>
    <row r="14" spans="1:5" s="164" customFormat="1">
      <c r="A14" s="179" t="s">
        <v>524</v>
      </c>
      <c r="B14" s="64"/>
      <c r="C14" s="61"/>
      <c r="D14" s="61"/>
    </row>
    <row r="15" spans="1:5" s="164" customFormat="1">
      <c r="A15" s="179" t="s">
        <v>461</v>
      </c>
      <c r="B15" s="64"/>
      <c r="C15" s="61"/>
      <c r="D15" s="61"/>
    </row>
    <row r="16" spans="1:5" s="164" customFormat="1">
      <c r="A16" s="64"/>
      <c r="B16" s="64"/>
      <c r="C16" s="61"/>
      <c r="D16" s="61"/>
    </row>
    <row r="17" spans="1:4">
      <c r="A17" s="61"/>
      <c r="B17" s="61"/>
      <c r="C17" s="61"/>
      <c r="D17" s="61"/>
    </row>
    <row r="18" spans="1:4">
      <c r="A18" s="65" t="s">
        <v>328</v>
      </c>
      <c r="B18" s="65"/>
      <c r="C18" s="66" t="s">
        <v>131</v>
      </c>
      <c r="D18" s="67" t="s">
        <v>462</v>
      </c>
    </row>
    <row r="19" spans="1:4" ht="12.75" customHeight="1">
      <c r="A19" s="61"/>
      <c r="B19" s="61"/>
      <c r="C19" s="68"/>
      <c r="D19" s="69"/>
    </row>
    <row r="20" spans="1:4">
      <c r="A20" s="61" t="s">
        <v>329</v>
      </c>
      <c r="B20" s="61"/>
      <c r="C20" s="70">
        <f>VLOOKUP(C18,'CY - Summary Exhibit'!B316:C613,2,FALSE)</f>
        <v>33501</v>
      </c>
      <c r="D20" s="71"/>
    </row>
    <row r="21" spans="1:4" s="141" customFormat="1">
      <c r="A21" s="61"/>
      <c r="B21" s="61"/>
      <c r="C21" s="68"/>
      <c r="D21" s="71"/>
    </row>
    <row r="22" spans="1:4" s="141" customFormat="1">
      <c r="A22" s="61" t="s">
        <v>519</v>
      </c>
      <c r="B22" s="153"/>
      <c r="C22" s="162">
        <v>0</v>
      </c>
      <c r="D22" s="67" t="s">
        <v>463</v>
      </c>
    </row>
    <row r="23" spans="1:4" s="181" customFormat="1">
      <c r="A23" s="61"/>
      <c r="B23" s="153"/>
      <c r="C23" s="182"/>
      <c r="D23" s="67"/>
    </row>
    <row r="24" spans="1:4" s="181" customFormat="1" ht="51">
      <c r="A24" s="183" t="s">
        <v>520</v>
      </c>
      <c r="B24" s="153"/>
      <c r="C24" s="162">
        <v>0</v>
      </c>
      <c r="D24" s="67" t="s">
        <v>522</v>
      </c>
    </row>
    <row r="25" spans="1:4" s="159" customFormat="1">
      <c r="A25" s="61"/>
      <c r="B25" s="153"/>
      <c r="C25" s="160"/>
      <c r="D25" s="67"/>
    </row>
    <row r="26" spans="1:4" s="141" customFormat="1">
      <c r="A26" s="61"/>
      <c r="B26" s="61"/>
      <c r="C26" s="68"/>
      <c r="D26" s="71"/>
    </row>
    <row r="27" spans="1:4">
      <c r="A27" s="61"/>
      <c r="B27" s="61"/>
      <c r="C27" s="61"/>
      <c r="D27" s="61"/>
    </row>
    <row r="28" spans="1:4">
      <c r="A28" s="61"/>
      <c r="B28" s="61"/>
      <c r="C28" s="61"/>
      <c r="D28" s="61"/>
    </row>
    <row r="29" spans="1:4">
      <c r="A29" s="61"/>
      <c r="B29" s="61"/>
      <c r="C29" s="61"/>
      <c r="D29" s="61"/>
    </row>
    <row r="30" spans="1:4">
      <c r="A30" s="61"/>
      <c r="B30" s="61"/>
      <c r="C30" s="61"/>
      <c r="D30" s="61"/>
    </row>
    <row r="31" spans="1:4">
      <c r="A31" s="61"/>
      <c r="B31" s="61"/>
      <c r="C31" s="61"/>
      <c r="D31" s="61"/>
    </row>
    <row r="32" spans="1:4">
      <c r="A32" s="61"/>
      <c r="B32" s="61"/>
      <c r="C32" s="61"/>
      <c r="D32" s="61"/>
    </row>
    <row r="33" spans="1:4">
      <c r="A33" s="61"/>
      <c r="B33" s="61"/>
      <c r="C33" s="61"/>
      <c r="D33" s="61"/>
    </row>
    <row r="34" spans="1:4">
      <c r="A34" s="61"/>
      <c r="B34" s="61"/>
      <c r="C34" s="61"/>
      <c r="D34" s="61"/>
    </row>
    <row r="35" spans="1:4">
      <c r="A35" s="61"/>
      <c r="B35" s="61"/>
      <c r="C35" s="61"/>
      <c r="D35" s="61"/>
    </row>
    <row r="36" spans="1:4">
      <c r="A36" s="61"/>
      <c r="B36" s="61"/>
      <c r="C36" s="61"/>
      <c r="D36" s="61"/>
    </row>
    <row r="37" spans="1:4">
      <c r="A37" s="61"/>
      <c r="B37" s="61"/>
      <c r="C37" s="61"/>
      <c r="D37" s="61"/>
    </row>
    <row r="38" spans="1:4">
      <c r="A38" s="61"/>
      <c r="B38" s="61"/>
      <c r="C38" s="61"/>
      <c r="D38" s="61"/>
    </row>
    <row r="39" spans="1:4">
      <c r="A39" s="61"/>
      <c r="B39" s="61"/>
      <c r="C39" s="61"/>
      <c r="D39" s="61"/>
    </row>
    <row r="40" spans="1:4">
      <c r="A40" s="61"/>
      <c r="B40" s="61"/>
      <c r="C40" s="61"/>
      <c r="D40" s="61"/>
    </row>
    <row r="41" spans="1:4" ht="15.75" customHeight="1">
      <c r="A41" s="61"/>
      <c r="B41" s="61"/>
      <c r="C41" s="61"/>
      <c r="D41" s="61"/>
    </row>
    <row r="42" spans="1:4" ht="12.75" customHeight="1">
      <c r="A42" s="61"/>
      <c r="B42" s="61"/>
      <c r="C42" s="61"/>
      <c r="D42" s="61"/>
    </row>
    <row r="43" spans="1:4">
      <c r="A43" s="218"/>
      <c r="B43" s="218"/>
      <c r="C43" s="218"/>
      <c r="D43" s="61"/>
    </row>
    <row r="44" spans="1:4">
      <c r="A44" s="218"/>
      <c r="B44" s="218"/>
      <c r="C44" s="218"/>
      <c r="D44" s="61"/>
    </row>
    <row r="45" spans="1:4">
      <c r="A45" s="219"/>
      <c r="B45" s="219"/>
      <c r="C45" s="219"/>
      <c r="D45" s="61"/>
    </row>
    <row r="46" spans="1:4">
      <c r="A46" s="72"/>
      <c r="B46" s="72"/>
    </row>
    <row r="49" spans="1:1" hidden="1">
      <c r="A49" s="154">
        <v>42277</v>
      </c>
    </row>
    <row r="50" spans="1:1" hidden="1">
      <c r="A50" s="154">
        <v>42369</v>
      </c>
    </row>
    <row r="51" spans="1:1" hidden="1">
      <c r="A51" s="154">
        <v>42460</v>
      </c>
    </row>
    <row r="52" spans="1:1" hidden="1">
      <c r="A52" s="154">
        <v>42551</v>
      </c>
    </row>
    <row r="53" spans="1:1" hidden="1"/>
    <row r="54" spans="1:1" hidden="1">
      <c r="A54" s="155">
        <v>1</v>
      </c>
    </row>
    <row r="55" spans="1:1" hidden="1">
      <c r="A55" s="155">
        <v>2</v>
      </c>
    </row>
  </sheetData>
  <mergeCells count="3">
    <mergeCell ref="A43:C43"/>
    <mergeCell ref="A44:C44"/>
    <mergeCell ref="A45:C4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'CY - Summary Exhibit'!$B$316:$B$613</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6"/>
  <sheetViews>
    <sheetView workbookViewId="0"/>
  </sheetViews>
  <sheetFormatPr defaultRowHeight="15"/>
  <cols>
    <col min="1" max="1" width="15.28515625" customWidth="1"/>
    <col min="2" max="2" width="59.28515625" customWidth="1"/>
    <col min="3" max="5" width="18.7109375" customWidth="1"/>
    <col min="6" max="6" width="20.42578125" customWidth="1"/>
    <col min="7" max="7" width="20.140625" customWidth="1"/>
    <col min="8" max="8" width="17" customWidth="1"/>
    <col min="9" max="9" width="28.140625" customWidth="1"/>
    <col min="10" max="10" width="18.28515625" customWidth="1"/>
    <col min="11" max="11" width="20" customWidth="1"/>
    <col min="12" max="12" width="19.7109375" customWidth="1"/>
    <col min="13" max="13" width="19.42578125" customWidth="1"/>
    <col min="14" max="14" width="18.42578125" customWidth="1"/>
    <col min="15" max="15" width="18.28515625" customWidth="1"/>
    <col min="16" max="16" width="20" customWidth="1"/>
    <col min="17" max="17" width="16.7109375" customWidth="1"/>
    <col min="18" max="18" width="19.42578125" customWidth="1"/>
    <col min="19" max="19" width="16" customWidth="1"/>
    <col min="20" max="20" width="18.85546875" customWidth="1"/>
    <col min="21" max="21" width="22.42578125" customWidth="1"/>
    <col min="22" max="22" width="14.28515625" bestFit="1" customWidth="1"/>
  </cols>
  <sheetData>
    <row r="1" spans="1:22">
      <c r="A1" s="217"/>
    </row>
    <row r="2" spans="1:22">
      <c r="A2" s="119"/>
      <c r="B2" s="17" t="s">
        <v>473</v>
      </c>
      <c r="C2" s="73">
        <f>Info!C20</f>
        <v>33501</v>
      </c>
      <c r="D2" s="17"/>
      <c r="E2" s="17"/>
    </row>
    <row r="3" spans="1:22">
      <c r="B3" s="17"/>
      <c r="C3" s="198"/>
      <c r="D3" s="17"/>
      <c r="E3" s="17"/>
    </row>
    <row r="4" spans="1:22">
      <c r="S4" s="17"/>
    </row>
    <row r="5" spans="1:22">
      <c r="A5" s="148" t="s">
        <v>425</v>
      </c>
      <c r="B5" t="s">
        <v>424</v>
      </c>
    </row>
    <row r="6" spans="1:22">
      <c r="A6" s="148" t="s">
        <v>425</v>
      </c>
      <c r="B6" t="s">
        <v>474</v>
      </c>
    </row>
    <row r="8" spans="1:22" ht="12" customHeight="1">
      <c r="B8">
        <v>2</v>
      </c>
      <c r="C8">
        <v>3</v>
      </c>
      <c r="D8">
        <v>4</v>
      </c>
      <c r="F8">
        <v>5</v>
      </c>
      <c r="G8">
        <v>6</v>
      </c>
      <c r="H8">
        <v>7</v>
      </c>
      <c r="I8">
        <v>8</v>
      </c>
      <c r="J8">
        <v>9</v>
      </c>
      <c r="K8">
        <v>10</v>
      </c>
      <c r="L8">
        <v>11</v>
      </c>
      <c r="M8">
        <v>12</v>
      </c>
      <c r="N8">
        <v>13</v>
      </c>
      <c r="O8">
        <v>14</v>
      </c>
      <c r="P8">
        <v>15</v>
      </c>
      <c r="Q8">
        <v>16</v>
      </c>
      <c r="R8">
        <v>17</v>
      </c>
      <c r="S8">
        <v>18</v>
      </c>
      <c r="T8">
        <v>19</v>
      </c>
      <c r="U8">
        <v>20</v>
      </c>
      <c r="V8">
        <v>21</v>
      </c>
    </row>
    <row r="9" spans="1:22">
      <c r="F9" s="45"/>
      <c r="G9" s="45"/>
      <c r="J9" s="8" t="s">
        <v>294</v>
      </c>
      <c r="K9" s="8"/>
      <c r="L9" s="8"/>
      <c r="M9" s="8"/>
      <c r="O9" s="8" t="s">
        <v>295</v>
      </c>
      <c r="P9" s="8"/>
      <c r="Q9" s="8"/>
      <c r="R9" s="8"/>
      <c r="T9" s="8" t="s">
        <v>296</v>
      </c>
      <c r="U9" s="8"/>
      <c r="V9" s="8"/>
    </row>
    <row r="10" spans="1:22" ht="120">
      <c r="A10" s="9" t="s">
        <v>282</v>
      </c>
      <c r="B10" s="9" t="s">
        <v>283</v>
      </c>
      <c r="C10" s="9" t="s">
        <v>357</v>
      </c>
      <c r="D10" s="9" t="s">
        <v>358</v>
      </c>
      <c r="E10" s="9" t="s">
        <v>430</v>
      </c>
      <c r="F10" s="9" t="s">
        <v>438</v>
      </c>
      <c r="G10" s="9" t="s">
        <v>387</v>
      </c>
      <c r="H10" s="9" t="s">
        <v>386</v>
      </c>
      <c r="I10" s="9"/>
      <c r="J10" s="9" t="s">
        <v>297</v>
      </c>
      <c r="K10" s="9" t="s">
        <v>298</v>
      </c>
      <c r="L10" s="9" t="s">
        <v>299</v>
      </c>
      <c r="M10" s="9" t="s">
        <v>300</v>
      </c>
      <c r="N10" s="9"/>
      <c r="O10" s="9" t="s">
        <v>297</v>
      </c>
      <c r="P10" s="9" t="s">
        <v>298</v>
      </c>
      <c r="Q10" s="9" t="s">
        <v>299</v>
      </c>
      <c r="R10" s="9" t="s">
        <v>300</v>
      </c>
      <c r="S10" s="9"/>
      <c r="T10" s="9" t="s">
        <v>301</v>
      </c>
      <c r="U10" s="9" t="s">
        <v>302</v>
      </c>
      <c r="V10" s="9" t="s">
        <v>526</v>
      </c>
    </row>
    <row r="11" spans="1:22">
      <c r="A11" s="9"/>
      <c r="B11" s="9"/>
      <c r="C11" s="9"/>
      <c r="D11" s="9"/>
      <c r="E11" s="9"/>
      <c r="F11" s="9"/>
      <c r="G11" s="9"/>
      <c r="H11" s="9"/>
      <c r="I11" s="9"/>
      <c r="J11" s="9"/>
      <c r="K11" s="9"/>
      <c r="L11" s="9"/>
      <c r="M11" s="9"/>
      <c r="N11" s="9"/>
      <c r="O11" s="9"/>
      <c r="P11" s="9"/>
      <c r="Q11" s="9"/>
      <c r="R11" s="9"/>
      <c r="S11" s="9"/>
      <c r="T11" s="9"/>
      <c r="U11" s="9"/>
      <c r="V11" s="9"/>
    </row>
    <row r="12" spans="1:22">
      <c r="A12" s="9" t="s">
        <v>388</v>
      </c>
      <c r="B12" s="9"/>
      <c r="C12" s="9"/>
      <c r="D12" s="9"/>
      <c r="E12" s="9"/>
      <c r="F12" s="9"/>
      <c r="G12" s="9"/>
      <c r="H12" s="9"/>
      <c r="I12" s="9"/>
      <c r="J12" s="9"/>
      <c r="K12" s="9"/>
      <c r="L12" s="9"/>
      <c r="M12" s="9"/>
      <c r="N12" s="9"/>
      <c r="O12" s="9"/>
      <c r="P12" s="9"/>
      <c r="Q12" s="9"/>
      <c r="R12" s="9"/>
      <c r="S12" s="9"/>
      <c r="T12" s="9"/>
      <c r="U12" s="9"/>
      <c r="V12" s="9"/>
    </row>
    <row r="13" spans="1:22">
      <c r="A13">
        <f>'JE Template'!C2</f>
        <v>33501</v>
      </c>
      <c r="B13" t="str">
        <f>VLOOKUP($A13,'CY - Summary Exhibit'!$A:$U,B$8,FALSE)</f>
        <v>A CHILDS GARDEN CHARTER (AKA CROSS CREEK CHARTER)</v>
      </c>
      <c r="C13" s="107">
        <f>VLOOKUP($A13,'CY - Summary Exhibit'!$A:$U,C$8,FALSE)</f>
        <v>7.0699999999999997E-5</v>
      </c>
      <c r="D13" s="107">
        <f>VLOOKUP($A13,'CY - Summary Exhibit'!$A:$U,D$8,FALSE)</f>
        <v>6.86E-5</v>
      </c>
      <c r="E13" s="107">
        <f>C13-D13</f>
        <v>2.0999999999999968E-6</v>
      </c>
      <c r="F13" s="12">
        <f>VLOOKUP($A13,'CY - Summary Exhibit'!$A:$U,F$8,FALSE)</f>
        <v>80075.009999999995</v>
      </c>
      <c r="G13" s="12">
        <f>VLOOKUP($A13,'CY - Summary Exhibit'!$A:$U,G$8,FALSE)</f>
        <v>252805</v>
      </c>
      <c r="H13" s="12">
        <f>VLOOKUP($A13,'CY - Summary Exhibit'!$A:$U,H$8,FALSE)</f>
        <v>649806</v>
      </c>
      <c r="J13" s="12">
        <f>VLOOKUP($A13,'CY - Summary Exhibit'!$A:$U,J$8,FALSE)</f>
        <v>0</v>
      </c>
      <c r="K13" s="12">
        <f>VLOOKUP($A13,'CY - Summary Exhibit'!$A:$U,K$8,FALSE)</f>
        <v>371769</v>
      </c>
      <c r="L13" s="12">
        <f>VLOOKUP($A13,'CY - Summary Exhibit'!$A:$U,L$8,FALSE)</f>
        <v>95831</v>
      </c>
      <c r="M13" s="12">
        <f>VLOOKUP($A13,'CY - Summary Exhibit'!$A:$U,M$8,FALSE)</f>
        <v>15156</v>
      </c>
      <c r="O13" s="12">
        <f>VLOOKUP($A13,'CY - Summary Exhibit'!$A:$U,O$8,FALSE)</f>
        <v>30711</v>
      </c>
      <c r="P13" s="12">
        <f>VLOOKUP($A13,'CY - Summary Exhibit'!$A:$U,P$8,FALSE)</f>
        <v>140028</v>
      </c>
      <c r="Q13" s="12">
        <f>VLOOKUP($A13,'CY - Summary Exhibit'!$A:$U,Q$8,FALSE)</f>
        <v>0</v>
      </c>
      <c r="R13" s="12">
        <f>VLOOKUP($A13,'CY - Summary Exhibit'!$A:$U,R$8,FALSE)</f>
        <v>10890</v>
      </c>
      <c r="T13" s="12">
        <f>VLOOKUP($A13,'CY - Summary Exhibit'!$A:$U,T$8,FALSE)</f>
        <v>124494</v>
      </c>
      <c r="U13" s="12">
        <f>VLOOKUP($A13,'CY - Summary Exhibit'!$A:$U,U$8,FALSE)</f>
        <v>-190</v>
      </c>
      <c r="V13" s="12">
        <f>VLOOKUP($A13,'CY - Summary Exhibit'!$A:$U,V$8,FALSE)</f>
        <v>124304</v>
      </c>
    </row>
    <row r="15" spans="1:22">
      <c r="A15" s="17"/>
      <c r="B15" t="s">
        <v>517</v>
      </c>
      <c r="F15" s="12">
        <f>'CY - Summary Exhibit'!E302</f>
        <v>1272194390.52</v>
      </c>
      <c r="G15" s="12">
        <f>'CY - Summary Exhibit'!F302</f>
        <v>3685197998.6500001</v>
      </c>
      <c r="H15" s="12">
        <f>'CY - Summary Exhibit'!G302</f>
        <v>9191032996</v>
      </c>
      <c r="I15" s="12"/>
      <c r="J15" s="12">
        <f>'CY - Summary Exhibit'!I302</f>
        <v>0</v>
      </c>
      <c r="K15" s="12">
        <f>'CY - Summary Exhibit'!J302</f>
        <v>5258406992.7388</v>
      </c>
      <c r="L15" s="12">
        <f>'CY - Summary Exhibit'!K302</f>
        <v>1355454004.1536</v>
      </c>
      <c r="M15" s="12">
        <f>'CY - Summary Exhibit'!L302</f>
        <v>105861789.48191893</v>
      </c>
      <c r="N15" s="12"/>
      <c r="O15" s="12">
        <f>'CY - Summary Exhibit'!N302</f>
        <v>434381000.89039999</v>
      </c>
      <c r="P15" s="12">
        <f>'CY - Summary Exhibit'!O302</f>
        <v>1980589996.546</v>
      </c>
      <c r="Q15" s="12">
        <f>'CY - Summary Exhibit'!P302</f>
        <v>0</v>
      </c>
      <c r="R15" s="12">
        <f>'CY - Summary Exhibit'!Q302</f>
        <v>105861381.6673512</v>
      </c>
      <c r="S15" s="12"/>
      <c r="T15" s="12">
        <f>'CY - Summary Exhibit'!S302</f>
        <v>1760872005.2848001</v>
      </c>
      <c r="U15" s="12">
        <f>'CY - Summary Exhibit'!T302</f>
        <v>156</v>
      </c>
      <c r="V15" s="12">
        <f>'CY - Summary Exhibit'!U302</f>
        <v>1760872160</v>
      </c>
    </row>
    <row r="16" spans="1:22">
      <c r="A16" s="9"/>
      <c r="B16" s="9"/>
      <c r="C16" s="9"/>
      <c r="D16" s="9"/>
      <c r="E16" s="9"/>
      <c r="F16" s="9"/>
      <c r="G16" s="9"/>
      <c r="H16" s="9"/>
      <c r="I16" s="9"/>
      <c r="J16" s="9"/>
      <c r="K16" s="9"/>
      <c r="L16" s="9"/>
      <c r="M16" s="9"/>
      <c r="N16" s="9"/>
      <c r="O16" s="9"/>
      <c r="P16" s="9"/>
      <c r="Q16" s="9"/>
      <c r="R16" s="9"/>
      <c r="S16" s="9"/>
      <c r="T16" s="9"/>
      <c r="U16" s="9"/>
      <c r="V16" s="9"/>
    </row>
    <row r="17" spans="1:22" ht="30" hidden="1">
      <c r="A17" s="9" t="s">
        <v>475</v>
      </c>
      <c r="B17" s="9"/>
      <c r="C17" s="9"/>
      <c r="D17" s="9"/>
      <c r="E17" s="9"/>
      <c r="F17" s="9"/>
      <c r="G17" s="9"/>
      <c r="H17" s="9"/>
      <c r="I17" s="9"/>
      <c r="J17" s="9"/>
      <c r="K17" s="9"/>
      <c r="L17" s="9"/>
      <c r="M17" s="9"/>
      <c r="N17" s="9"/>
      <c r="O17" s="9"/>
      <c r="P17" s="9"/>
      <c r="Q17" s="9"/>
      <c r="R17" s="9"/>
      <c r="S17" s="9"/>
      <c r="T17" s="9"/>
      <c r="U17" s="9"/>
      <c r="V17" s="9"/>
    </row>
    <row r="18" spans="1:22" hidden="1">
      <c r="A18">
        <f>C2</f>
        <v>33501</v>
      </c>
      <c r="B18" t="str">
        <f>VLOOKUP($A18,'PY1 - Summary Exhibit'!$A:$U,'JE Template'!B8,FALSE)</f>
        <v>A CHILDS GARDEN CHARTER (AKA CROSS CREEK CHARTER)</v>
      </c>
      <c r="C18" s="107">
        <f>VLOOKUP($A18,'PY1 - Summary Exhibit'!$A:$U,'JE Template'!C8,FALSE)</f>
        <v>6.86E-5</v>
      </c>
      <c r="D18" s="107">
        <f>VLOOKUP($A18,'PY1 - Summary Exhibit'!$A:$U,'JE Template'!D8,FALSE)</f>
        <v>6.1099999999999994E-5</v>
      </c>
      <c r="E18" s="107">
        <f>C18-D18</f>
        <v>7.5000000000000061E-6</v>
      </c>
      <c r="F18" s="12">
        <f>VLOOKUP($A18,'PY1 - Summary Exhibit'!$A:$U,'JE Template'!F8,FALSE)</f>
        <v>72825.36</v>
      </c>
      <c r="G18" s="12">
        <f>VLOOKUP($A18,'PY1 - Summary Exhibit'!$A:$U,'JE Template'!G8,FALSE)</f>
        <v>71634.929759899998</v>
      </c>
      <c r="H18" s="12">
        <f>VLOOKUP($A18,'PY1 - Summary Exhibit'!$A:$U,'JE Template'!H8,FALSE)</f>
        <v>252805</v>
      </c>
      <c r="J18" s="12">
        <f>VLOOKUP($A18,'PY1 - Summary Exhibit'!$A:$U,'JE Template'!J8,FALSE)</f>
        <v>0</v>
      </c>
      <c r="K18" s="12">
        <f>VLOOKUP($A18,'PY1 - Summary Exhibit'!$A:$U,'JE Template'!K8,FALSE)</f>
        <v>176414</v>
      </c>
      <c r="L18" s="12">
        <f>VLOOKUP($A18,'PY1 - Summary Exhibit'!$A:$U,'JE Template'!L8,FALSE)</f>
        <v>0</v>
      </c>
      <c r="M18" s="12">
        <f>VLOOKUP($A18,'PY1 - Summary Exhibit'!$A:$U,'JE Template'!M8,FALSE)</f>
        <v>20962</v>
      </c>
      <c r="O18" s="12">
        <f>VLOOKUP($A18,'PY1 - Summary Exhibit'!$A:$U,'JE Template'!O8,FALSE)</f>
        <v>28744</v>
      </c>
      <c r="P18" s="12">
        <f>VLOOKUP($A18,'PY1 - Summary Exhibit'!$A:$U,'JE Template'!P8,FALSE)</f>
        <v>203803</v>
      </c>
      <c r="Q18" s="12">
        <f>VLOOKUP($A18,'PY1 - Summary Exhibit'!$A:$U,'JE Template'!Q8,FALSE)</f>
        <v>0</v>
      </c>
      <c r="R18" s="12">
        <f>VLOOKUP($A18,'PY1 - Summary Exhibit'!$A:$U,'JE Template'!R8,FALSE)</f>
        <v>16475</v>
      </c>
      <c r="T18" s="12">
        <f>VLOOKUP($A18,'PY1 - Summary Exhibit'!$A:$U,'JE Template'!T8,FALSE)</f>
        <v>24633</v>
      </c>
      <c r="U18" s="12">
        <f>VLOOKUP($A18,'PY1 - Summary Exhibit'!$A:$U,'JE Template'!U8,FALSE)</f>
        <v>-98</v>
      </c>
      <c r="V18" s="12">
        <f>VLOOKUP($A18,'PY1 - Summary Exhibit'!$A:$U,'JE Template'!V8,FALSE)</f>
        <v>24535</v>
      </c>
    </row>
    <row r="19" spans="1:22" hidden="1"/>
    <row r="20" spans="1:22" hidden="1">
      <c r="A20" s="17"/>
      <c r="B20" t="s">
        <v>426</v>
      </c>
      <c r="F20" s="12">
        <f>'PY1 - Summary Exhibit'!E298</f>
        <v>1262508389.2500007</v>
      </c>
      <c r="G20" s="12">
        <f>'PY1 - Summary Exhibit'!F298</f>
        <v>1172421109</v>
      </c>
      <c r="H20" s="12">
        <f>'PY1 - Summary Exhibit'!G298</f>
        <v>3685197998.6500001</v>
      </c>
      <c r="I20" s="12"/>
      <c r="J20" s="12">
        <f>'PY1 - Summary Exhibit'!I298</f>
        <v>0</v>
      </c>
      <c r="K20" s="12">
        <f>'PY1 - Summary Exhibit'!J298</f>
        <v>2571626006.5500002</v>
      </c>
      <c r="L20" s="12">
        <f>'PY1 - Summary Exhibit'!K298</f>
        <v>0</v>
      </c>
      <c r="M20" s="12">
        <f>'PY1 - Summary Exhibit'!L298</f>
        <v>90295984</v>
      </c>
      <c r="N20" s="12"/>
      <c r="O20" s="12">
        <f>'PY1 - Summary Exhibit'!N298</f>
        <v>419007001</v>
      </c>
      <c r="P20" s="12">
        <f>'PY1 - Summary Exhibit'!O298</f>
        <v>2970886000.0500002</v>
      </c>
      <c r="Q20" s="12">
        <f>'PY1 - Summary Exhibit'!P298</f>
        <v>0</v>
      </c>
      <c r="R20" s="12">
        <f>'PY1 - Summary Exhibit'!Q298</f>
        <v>90295817</v>
      </c>
      <c r="S20" s="12"/>
      <c r="T20" s="12">
        <f>'PY1 - Summary Exhibit'!S298</f>
        <v>359085000.17499995</v>
      </c>
      <c r="U20" s="12">
        <f>'PY1 - Summary Exhibit'!T298</f>
        <v>69</v>
      </c>
      <c r="V20" s="12">
        <f>'PY1 - Summary Exhibit'!U298</f>
        <v>359085071</v>
      </c>
    </row>
    <row r="21" spans="1:22" hidden="1">
      <c r="A21" s="17"/>
      <c r="F21" s="12"/>
      <c r="G21" s="12"/>
      <c r="H21" s="12"/>
      <c r="J21" s="12"/>
      <c r="K21" s="12"/>
      <c r="L21" s="12"/>
      <c r="M21" s="12"/>
      <c r="O21" s="12"/>
      <c r="P21" s="12"/>
      <c r="Q21" s="12"/>
      <c r="R21" s="12"/>
      <c r="T21" s="12"/>
      <c r="U21" s="12"/>
      <c r="V21" s="12"/>
    </row>
    <row r="22" spans="1:22" ht="30" hidden="1">
      <c r="A22" s="199" t="s">
        <v>476</v>
      </c>
      <c r="F22" s="12"/>
      <c r="G22" s="12"/>
      <c r="H22" s="12"/>
      <c r="J22" s="12"/>
      <c r="K22" s="12"/>
      <c r="L22" s="12"/>
      <c r="M22" s="12"/>
      <c r="O22" s="12"/>
      <c r="P22" s="12"/>
      <c r="Q22" s="12"/>
      <c r="R22" s="12"/>
      <c r="T22" s="12"/>
      <c r="U22" s="12"/>
      <c r="V22" s="12"/>
    </row>
    <row r="23" spans="1:22" hidden="1">
      <c r="A23" s="200">
        <f>C2</f>
        <v>33501</v>
      </c>
      <c r="B23" t="str">
        <f>VLOOKUP($A$23,'PY2 - Summary Exhibit'!$A:$U,'JE Template'!B8,FALSE)</f>
        <v>A CHILDS GARDEN CHARTER (AKA CROSS CREEK CHARTER)</v>
      </c>
      <c r="C23" s="107">
        <f>H23/H25</f>
        <v>6.1100059910299684E-5</v>
      </c>
      <c r="D23" s="107">
        <f>G23/G25</f>
        <v>6.4000000000000011E-5</v>
      </c>
      <c r="E23" s="107">
        <f>C23-D23</f>
        <v>-2.8999400897003269E-6</v>
      </c>
      <c r="F23" s="12">
        <f>VLOOKUP($A$23,'PY2 - Summary Exhibit'!$A:$U,'JE Template'!F8,FALSE)</f>
        <v>60563.14</v>
      </c>
      <c r="G23" s="12">
        <f>VLOOKUP($A$23,'PY2 - Summary Exhibit'!$A:$U,'JE Template'!G8,FALSE)</f>
        <v>388545.21599999996</v>
      </c>
      <c r="H23" s="12">
        <f>VLOOKUP($A$23,'PY2 - Summary Exhibit'!$A:$U,'JE Template'!H8,FALSE)</f>
        <v>71635</v>
      </c>
      <c r="I23" s="12"/>
      <c r="J23" s="12">
        <f>VLOOKUP($A$23,'PY2 - Summary Exhibit'!$A:$U,'JE Template'!J8,FALSE)</f>
        <v>0</v>
      </c>
      <c r="K23" s="12">
        <f>VLOOKUP($A$23,'PY2 - Summary Exhibit'!$A:$U,'JE Template'!K8,FALSE)</f>
        <v>0</v>
      </c>
      <c r="L23" s="12">
        <f>VLOOKUP($A$23,'PY2 - Summary Exhibit'!$A:$U,'JE Template'!L8,FALSE)</f>
        <v>0</v>
      </c>
      <c r="M23" s="12">
        <f>VLOOKUP($A$23,'PY2 - Summary Exhibit'!$A:$U,'JE Template'!M8,FALSE)</f>
        <v>0</v>
      </c>
      <c r="N23" s="12"/>
      <c r="O23" s="12">
        <f>VLOOKUP($A$23,'PY2 - Summary Exhibit'!$A:$U,'JE Template'!O8,FALSE)</f>
        <v>16698</v>
      </c>
      <c r="P23" s="12">
        <f>VLOOKUP($A$23,'PY2 - Summary Exhibit'!$A:$U,'JE Template'!P8,FALSE)</f>
        <v>242028</v>
      </c>
      <c r="Q23" s="12">
        <f>VLOOKUP($A$23,'PY2 - Summary Exhibit'!$A:$U,'JE Template'!Q8,FALSE)</f>
        <v>0</v>
      </c>
      <c r="R23" s="12">
        <f>VLOOKUP($A$23,'PY2 - Summary Exhibit'!$A:$U,'JE Template'!R8,FALSE)</f>
        <v>22380</v>
      </c>
      <c r="S23" s="12"/>
      <c r="T23" s="12">
        <f>VLOOKUP($A$23,'PY2 - Summary Exhibit'!$A:$U,'JE Template'!T8,FALSE)</f>
        <v>30663</v>
      </c>
      <c r="U23" s="12">
        <f>VLOOKUP($A$23,'PY2 - Summary Exhibit'!$A:$U,'JE Template'!U8,FALSE)</f>
        <v>-5905</v>
      </c>
      <c r="V23" s="12">
        <f>VLOOKUP($A$23,'PY2 - Summary Exhibit'!$A:$U,'JE Template'!V8,FALSE)</f>
        <v>24758</v>
      </c>
    </row>
    <row r="24" spans="1:22" hidden="1">
      <c r="A24" s="17"/>
      <c r="F24" s="12"/>
      <c r="G24" s="12"/>
      <c r="H24" s="12"/>
      <c r="J24" s="12"/>
      <c r="K24" s="12"/>
      <c r="L24" s="12"/>
      <c r="M24" s="12"/>
      <c r="O24" s="12"/>
      <c r="P24" s="12"/>
      <c r="Q24" s="12"/>
      <c r="R24" s="12"/>
      <c r="T24" s="12"/>
      <c r="U24" s="12"/>
      <c r="V24" s="12"/>
    </row>
    <row r="25" spans="1:22" hidden="1">
      <c r="A25" s="17"/>
      <c r="B25" t="s">
        <v>427</v>
      </c>
      <c r="F25" s="12">
        <f>'PY2 - Summary Exhibit'!E301</f>
        <v>1165987064.8400004</v>
      </c>
      <c r="G25" s="12">
        <f>'PY2 - Summary Exhibit'!F301</f>
        <v>6071018999.9999981</v>
      </c>
      <c r="H25" s="12">
        <f>'PY2 - Summary Exhibit'!G301</f>
        <v>1172421109</v>
      </c>
      <c r="I25" s="12"/>
      <c r="J25" s="12">
        <f>'PY2 - Summary Exhibit'!I301</f>
        <v>0</v>
      </c>
      <c r="K25" s="12">
        <f>'PY2 - Summary Exhibit'!J301</f>
        <v>0</v>
      </c>
      <c r="L25" s="12">
        <f>'PY2 - Summary Exhibit'!K301</f>
        <v>0</v>
      </c>
      <c r="M25" s="12">
        <f>'PY2 - Summary Exhibit'!L301</f>
        <v>57864283</v>
      </c>
      <c r="N25" s="12"/>
      <c r="O25" s="12">
        <f>'PY2 - Summary Exhibit'!N301</f>
        <v>273285034</v>
      </c>
      <c r="P25" s="12">
        <f>'PY2 - Summary Exhibit'!O301</f>
        <v>3961182394</v>
      </c>
      <c r="Q25" s="12">
        <f>'PY2 - Summary Exhibit'!P301</f>
        <v>0</v>
      </c>
      <c r="R25" s="12">
        <f>'PY2 - Summary Exhibit'!Q301</f>
        <v>57863892</v>
      </c>
      <c r="S25" s="12"/>
      <c r="T25" s="12">
        <f>'PY2 - Summary Exhibit'!S301</f>
        <v>501856048</v>
      </c>
      <c r="U25" s="12">
        <f>'PY2 - Summary Exhibit'!T301</f>
        <v>103</v>
      </c>
      <c r="V25" s="12">
        <f>'PY2 - Summary Exhibit'!U301</f>
        <v>501856151</v>
      </c>
    </row>
    <row r="26" spans="1:22" hidden="1">
      <c r="A26" s="17"/>
      <c r="F26" s="12"/>
      <c r="G26" s="12"/>
      <c r="H26" s="12"/>
      <c r="J26" s="12"/>
      <c r="K26" s="12"/>
      <c r="L26" s="12"/>
      <c r="M26" s="12"/>
      <c r="O26" s="12"/>
      <c r="P26" s="12"/>
      <c r="Q26" s="12"/>
      <c r="R26" s="12"/>
      <c r="T26" s="12"/>
      <c r="U26" s="12"/>
      <c r="V26" s="12"/>
    </row>
    <row r="27" spans="1:22">
      <c r="A27" s="17"/>
      <c r="F27" s="12"/>
      <c r="G27" s="12"/>
      <c r="H27" s="12"/>
      <c r="J27" s="12"/>
      <c r="K27" s="12"/>
      <c r="L27" s="12"/>
      <c r="M27" s="12"/>
      <c r="O27" s="12"/>
      <c r="P27" s="12"/>
      <c r="Q27" s="12"/>
      <c r="R27" s="12"/>
      <c r="T27" s="12"/>
      <c r="U27" s="12"/>
      <c r="V27" s="12"/>
    </row>
    <row r="28" spans="1:22">
      <c r="A28" s="17"/>
      <c r="B28" s="110" t="s">
        <v>400</v>
      </c>
      <c r="C28" s="111"/>
      <c r="D28" s="111"/>
      <c r="E28" s="111"/>
      <c r="F28" s="112"/>
      <c r="G28" s="112"/>
      <c r="H28" s="112"/>
      <c r="I28" s="111"/>
      <c r="J28" s="112"/>
      <c r="K28" s="112"/>
      <c r="L28" s="112"/>
      <c r="M28" s="112"/>
      <c r="N28" s="111"/>
      <c r="O28" s="112"/>
      <c r="P28" s="112"/>
      <c r="Q28" s="112"/>
      <c r="R28" s="112"/>
      <c r="S28" s="111"/>
      <c r="T28" s="113"/>
      <c r="U28" s="12"/>
      <c r="V28" s="12"/>
    </row>
    <row r="29" spans="1:22">
      <c r="A29" s="17"/>
      <c r="B29" s="121"/>
      <c r="C29" s="119"/>
      <c r="D29" s="119"/>
      <c r="E29" s="119"/>
      <c r="F29" s="127"/>
      <c r="G29" s="127"/>
      <c r="H29" s="127"/>
      <c r="I29" s="119"/>
      <c r="J29" s="127"/>
      <c r="K29" s="127"/>
      <c r="L29" s="127"/>
      <c r="M29" s="127"/>
      <c r="N29" s="119"/>
      <c r="O29" s="127"/>
      <c r="P29" s="127"/>
      <c r="Q29" s="127"/>
      <c r="R29" s="127"/>
      <c r="S29" s="119"/>
      <c r="T29" s="128"/>
      <c r="U29" s="12"/>
      <c r="V29" s="12"/>
    </row>
    <row r="30" spans="1:22" ht="90">
      <c r="A30" s="17"/>
      <c r="B30" s="114"/>
      <c r="C30" s="9" t="s">
        <v>309</v>
      </c>
      <c r="D30" s="9" t="s">
        <v>297</v>
      </c>
      <c r="E30" s="9" t="s">
        <v>298</v>
      </c>
      <c r="F30" s="9" t="s">
        <v>299</v>
      </c>
      <c r="G30" s="127"/>
      <c r="H30" s="119"/>
      <c r="I30" s="127"/>
      <c r="J30" s="127"/>
      <c r="K30" s="127"/>
      <c r="L30" s="127"/>
      <c r="M30" s="119"/>
      <c r="N30" s="127"/>
      <c r="O30" s="119"/>
      <c r="P30" s="127"/>
      <c r="Q30" s="127"/>
      <c r="R30" s="127"/>
      <c r="S30" s="119"/>
      <c r="T30" s="128"/>
      <c r="U30" s="12"/>
      <c r="V30" s="12"/>
    </row>
    <row r="31" spans="1:22">
      <c r="A31" s="17"/>
      <c r="B31" s="132" t="s">
        <v>477</v>
      </c>
      <c r="C31" s="119">
        <v>4.49</v>
      </c>
      <c r="D31" s="127">
        <v>-190178000</v>
      </c>
      <c r="E31" s="127">
        <v>4162111000</v>
      </c>
      <c r="F31" s="127">
        <v>1743836000</v>
      </c>
      <c r="G31" s="127"/>
      <c r="H31" s="119"/>
      <c r="I31" s="127"/>
      <c r="J31" s="127"/>
      <c r="K31" s="127"/>
      <c r="L31" s="127"/>
      <c r="M31" s="119"/>
      <c r="N31" s="127"/>
      <c r="O31" s="119"/>
      <c r="P31" s="127"/>
      <c r="Q31" s="127"/>
      <c r="R31" s="127"/>
      <c r="S31" s="119"/>
      <c r="T31" s="128"/>
      <c r="U31" s="12"/>
      <c r="V31" s="12"/>
    </row>
    <row r="32" spans="1:22">
      <c r="A32" s="17"/>
      <c r="B32" s="132" t="s">
        <v>431</v>
      </c>
      <c r="C32" s="119">
        <v>4.6100000000000003</v>
      </c>
      <c r="D32" s="127">
        <v>-278170000</v>
      </c>
      <c r="E32" s="127">
        <v>3214533000</v>
      </c>
      <c r="F32" s="127">
        <v>0</v>
      </c>
      <c r="G32" s="127"/>
      <c r="H32" s="119"/>
      <c r="I32" s="127"/>
      <c r="J32" s="127"/>
      <c r="K32" s="127"/>
      <c r="L32" s="127"/>
      <c r="M32" s="119"/>
      <c r="N32" s="127"/>
      <c r="O32" s="119"/>
      <c r="P32" s="127"/>
      <c r="Q32" s="127"/>
      <c r="R32" s="127"/>
      <c r="S32" s="119"/>
      <c r="T32" s="128"/>
      <c r="U32" s="12"/>
      <c r="V32" s="12"/>
    </row>
    <row r="33" spans="1:22">
      <c r="A33" s="17"/>
      <c r="B33" s="132" t="s">
        <v>432</v>
      </c>
      <c r="C33" s="119">
        <v>4.79</v>
      </c>
      <c r="D33" s="127">
        <v>-345392000</v>
      </c>
      <c r="E33" s="127">
        <v>-4951478000</v>
      </c>
      <c r="F33" s="127">
        <v>0</v>
      </c>
      <c r="G33" s="127"/>
      <c r="H33" s="119"/>
      <c r="I33" s="127"/>
      <c r="J33" s="127"/>
      <c r="K33" s="127"/>
      <c r="L33" s="127"/>
      <c r="M33" s="119"/>
      <c r="N33" s="127"/>
      <c r="O33" s="119"/>
      <c r="P33" s="127"/>
      <c r="Q33" s="127"/>
      <c r="R33" s="127"/>
      <c r="S33" s="119"/>
      <c r="T33" s="128"/>
      <c r="U33" s="12"/>
      <c r="V33" s="12"/>
    </row>
    <row r="34" spans="1:22">
      <c r="A34" s="17"/>
      <c r="B34" s="121"/>
      <c r="C34" s="119"/>
      <c r="D34" s="119"/>
      <c r="E34" s="127"/>
      <c r="F34" s="127"/>
      <c r="G34" s="127"/>
      <c r="H34" s="119"/>
      <c r="I34" s="127"/>
      <c r="J34" s="127"/>
      <c r="K34" s="127"/>
      <c r="L34" s="127"/>
      <c r="M34" s="119"/>
      <c r="N34" s="127"/>
      <c r="O34" s="119"/>
      <c r="P34" s="127"/>
      <c r="Q34" s="127"/>
      <c r="R34" s="127"/>
      <c r="S34" s="119"/>
      <c r="T34" s="128"/>
      <c r="U34" s="12"/>
      <c r="V34" s="12"/>
    </row>
    <row r="35" spans="1:22">
      <c r="A35" s="17"/>
      <c r="B35" s="114"/>
      <c r="C35" s="224" t="s">
        <v>413</v>
      </c>
      <c r="D35" s="224"/>
      <c r="E35" s="224"/>
      <c r="F35" s="224"/>
      <c r="G35" s="224"/>
      <c r="H35" s="224"/>
      <c r="I35" s="225" t="s">
        <v>412</v>
      </c>
      <c r="J35" s="225"/>
      <c r="K35" s="225"/>
      <c r="L35" s="225"/>
      <c r="M35" s="225"/>
      <c r="N35" s="225"/>
      <c r="O35" s="226" t="s">
        <v>478</v>
      </c>
      <c r="P35" s="226"/>
      <c r="Q35" s="226"/>
      <c r="R35" s="226"/>
      <c r="S35" s="226"/>
      <c r="T35" s="227"/>
      <c r="U35" s="12"/>
      <c r="V35" s="12"/>
    </row>
    <row r="36" spans="1:22">
      <c r="A36" s="17"/>
      <c r="B36" s="114"/>
      <c r="C36" s="224" t="s">
        <v>395</v>
      </c>
      <c r="D36" s="224"/>
      <c r="E36" s="224"/>
      <c r="F36" s="224"/>
      <c r="G36" s="224"/>
      <c r="H36" s="224"/>
      <c r="I36" s="225" t="s">
        <v>395</v>
      </c>
      <c r="J36" s="225"/>
      <c r="K36" s="225"/>
      <c r="L36" s="225"/>
      <c r="M36" s="225"/>
      <c r="N36" s="225"/>
      <c r="O36" s="226" t="s">
        <v>395</v>
      </c>
      <c r="P36" s="226"/>
      <c r="Q36" s="226"/>
      <c r="R36" s="226"/>
      <c r="S36" s="226"/>
      <c r="T36" s="227"/>
      <c r="U36" s="12"/>
      <c r="V36" s="12"/>
    </row>
    <row r="37" spans="1:22">
      <c r="A37" s="17"/>
      <c r="B37" s="114"/>
      <c r="C37" s="115">
        <f>'JE Template'!C33</f>
        <v>4.79</v>
      </c>
      <c r="D37" s="139">
        <v>5</v>
      </c>
      <c r="E37" s="185">
        <f>C37</f>
        <v>4.79</v>
      </c>
      <c r="F37" s="185">
        <f>C37</f>
        <v>4.79</v>
      </c>
      <c r="G37" s="185">
        <f>C37</f>
        <v>4.79</v>
      </c>
      <c r="H37" s="185">
        <f>C37</f>
        <v>4.79</v>
      </c>
      <c r="I37" s="116">
        <f>'JE Template'!C32</f>
        <v>4.6100000000000003</v>
      </c>
      <c r="J37" s="140">
        <v>5</v>
      </c>
      <c r="K37" s="116">
        <f>I37</f>
        <v>4.6100000000000003</v>
      </c>
      <c r="L37" s="116">
        <f>I37</f>
        <v>4.6100000000000003</v>
      </c>
      <c r="M37" s="116">
        <f>I37</f>
        <v>4.6100000000000003</v>
      </c>
      <c r="N37" s="116">
        <f>I37</f>
        <v>4.6100000000000003</v>
      </c>
      <c r="O37" s="201">
        <f>C31</f>
        <v>4.49</v>
      </c>
      <c r="P37" s="202">
        <v>5</v>
      </c>
      <c r="Q37" s="201">
        <f>O37</f>
        <v>4.49</v>
      </c>
      <c r="R37" s="201">
        <f>O37</f>
        <v>4.49</v>
      </c>
      <c r="S37" s="201">
        <f>O37</f>
        <v>4.49</v>
      </c>
      <c r="T37" s="203">
        <f>O37</f>
        <v>4.49</v>
      </c>
      <c r="U37" s="12"/>
      <c r="V37" s="12"/>
    </row>
    <row r="38" spans="1:22" ht="9" customHeight="1">
      <c r="A38" s="17"/>
      <c r="B38" s="114"/>
      <c r="C38" s="73"/>
      <c r="D38" s="144"/>
      <c r="E38" s="145"/>
      <c r="F38" s="145"/>
      <c r="G38" s="145"/>
      <c r="H38" s="145"/>
      <c r="I38" s="73"/>
      <c r="J38" s="146"/>
      <c r="K38" s="73"/>
      <c r="L38" s="73"/>
      <c r="M38" s="73"/>
      <c r="N38" s="73"/>
      <c r="O38" s="73"/>
      <c r="P38" s="146"/>
      <c r="Q38" s="73"/>
      <c r="R38" s="73"/>
      <c r="S38" s="73"/>
      <c r="T38" s="147"/>
      <c r="U38" s="12"/>
      <c r="V38" s="12"/>
    </row>
    <row r="39" spans="1:22" ht="75">
      <c r="A39" s="17"/>
      <c r="B39" s="117"/>
      <c r="C39" s="142" t="s">
        <v>390</v>
      </c>
      <c r="D39" s="142" t="s">
        <v>391</v>
      </c>
      <c r="E39" s="142" t="s">
        <v>392</v>
      </c>
      <c r="F39" s="142" t="s">
        <v>393</v>
      </c>
      <c r="G39" s="142" t="s">
        <v>394</v>
      </c>
      <c r="H39" s="142" t="s">
        <v>396</v>
      </c>
      <c r="I39" s="142" t="s">
        <v>390</v>
      </c>
      <c r="J39" s="142" t="s">
        <v>391</v>
      </c>
      <c r="K39" s="142" t="s">
        <v>392</v>
      </c>
      <c r="L39" s="142" t="s">
        <v>393</v>
      </c>
      <c r="M39" s="142" t="s">
        <v>394</v>
      </c>
      <c r="N39" s="142" t="s">
        <v>396</v>
      </c>
      <c r="O39" s="142" t="s">
        <v>390</v>
      </c>
      <c r="P39" s="142" t="s">
        <v>391</v>
      </c>
      <c r="Q39" s="142" t="s">
        <v>392</v>
      </c>
      <c r="R39" s="142" t="s">
        <v>393</v>
      </c>
      <c r="S39" s="142" t="s">
        <v>394</v>
      </c>
      <c r="T39" s="143" t="s">
        <v>396</v>
      </c>
      <c r="U39" s="12"/>
      <c r="V39" s="12"/>
    </row>
    <row r="40" spans="1:22">
      <c r="A40" s="17"/>
      <c r="B40" s="114" t="s">
        <v>389</v>
      </c>
      <c r="C40" s="118">
        <f>((J23-O23)/(C37-1))+J23-O23</f>
        <v>-21103.804749340368</v>
      </c>
      <c r="D40" s="118">
        <f>((K23-P23)/(D37-1))+K23-P23</f>
        <v>-302535</v>
      </c>
      <c r="E40" s="118">
        <f>((L23-Q23)/(E37-1))+L23-Q23</f>
        <v>0</v>
      </c>
      <c r="F40" s="118">
        <f>C23*G25-D23*G25</f>
        <v>-17605.591383432387</v>
      </c>
      <c r="G40" s="118">
        <f>F23-C23*F25</f>
        <v>-10678.739516358502</v>
      </c>
      <c r="H40" s="118">
        <f>F40+G40</f>
        <v>-28284.33089979089</v>
      </c>
      <c r="I40" s="119"/>
      <c r="J40" s="119"/>
      <c r="K40" s="119"/>
      <c r="L40" s="119"/>
      <c r="M40" s="119"/>
      <c r="N40" s="119"/>
      <c r="O40" s="119"/>
      <c r="P40" s="127"/>
      <c r="Q40" s="127"/>
      <c r="R40" s="127"/>
      <c r="S40" s="119"/>
      <c r="T40" s="128"/>
      <c r="U40" s="12"/>
      <c r="V40" s="12"/>
    </row>
    <row r="41" spans="1:22">
      <c r="A41" s="17"/>
      <c r="B41" s="114"/>
      <c r="C41" s="119"/>
      <c r="D41" s="119"/>
      <c r="E41" s="119"/>
      <c r="F41" s="119"/>
      <c r="G41" s="119"/>
      <c r="H41" s="119"/>
      <c r="I41" s="119"/>
      <c r="J41" s="119"/>
      <c r="K41" s="119"/>
      <c r="L41" s="119"/>
      <c r="M41" s="119"/>
      <c r="N41" s="119"/>
      <c r="O41" s="119"/>
      <c r="P41" s="127"/>
      <c r="Q41" s="127"/>
      <c r="R41" s="127"/>
      <c r="S41" s="119"/>
      <c r="T41" s="128"/>
      <c r="U41" s="12"/>
      <c r="V41" s="12"/>
    </row>
    <row r="42" spans="1:22">
      <c r="A42" s="17"/>
      <c r="B42" s="114" t="s">
        <v>416</v>
      </c>
      <c r="C42" s="120">
        <f>C40/C37</f>
        <v>-4405.8047493403692</v>
      </c>
      <c r="D42" s="120">
        <f>D40/D37</f>
        <v>-60507</v>
      </c>
      <c r="E42" s="120">
        <f t="shared" ref="E42:H42" si="0">E40/E37</f>
        <v>0</v>
      </c>
      <c r="F42" s="120">
        <f t="shared" si="0"/>
        <v>-3675.4888065620848</v>
      </c>
      <c r="G42" s="120">
        <f t="shared" si="0"/>
        <v>-2229.3819449600214</v>
      </c>
      <c r="H42" s="120">
        <f t="shared" si="0"/>
        <v>-5904.8707515221067</v>
      </c>
      <c r="I42" s="119"/>
      <c r="J42" s="119"/>
      <c r="K42" s="119"/>
      <c r="L42" s="119"/>
      <c r="M42" s="119"/>
      <c r="N42" s="119"/>
      <c r="O42" s="119"/>
      <c r="P42" s="127"/>
      <c r="Q42" s="127"/>
      <c r="R42" s="127"/>
      <c r="S42" s="119"/>
      <c r="T42" s="128"/>
      <c r="U42" s="12"/>
      <c r="V42" s="12"/>
    </row>
    <row r="43" spans="1:22">
      <c r="A43" s="17"/>
      <c r="B43" s="114"/>
      <c r="C43" s="119"/>
      <c r="D43" s="119"/>
      <c r="E43" s="119"/>
      <c r="F43" s="119"/>
      <c r="G43" s="119"/>
      <c r="H43" s="119"/>
      <c r="I43" s="119"/>
      <c r="J43" s="119"/>
      <c r="K43" s="119"/>
      <c r="L43" s="119"/>
      <c r="M43" s="119"/>
      <c r="N43" s="119"/>
      <c r="O43" s="119"/>
      <c r="P43" s="127"/>
      <c r="Q43" s="127"/>
      <c r="R43" s="127"/>
      <c r="S43" s="119"/>
      <c r="T43" s="128"/>
      <c r="U43" s="12"/>
      <c r="V43" s="12"/>
    </row>
    <row r="44" spans="1:22">
      <c r="A44" s="17"/>
      <c r="B44" s="121" t="s">
        <v>417</v>
      </c>
      <c r="C44" s="122">
        <f>C40-C42</f>
        <v>-16698</v>
      </c>
      <c r="D44" s="122">
        <f>D40-D42</f>
        <v>-242028</v>
      </c>
      <c r="E44" s="122">
        <f t="shared" ref="E44:H44" si="1">E40-E42</f>
        <v>0</v>
      </c>
      <c r="F44" s="122">
        <f t="shared" si="1"/>
        <v>-13930.102576870302</v>
      </c>
      <c r="G44" s="122">
        <f t="shared" si="1"/>
        <v>-8449.357571398481</v>
      </c>
      <c r="H44" s="122">
        <f t="shared" si="1"/>
        <v>-22379.460148268783</v>
      </c>
      <c r="I44" s="123"/>
      <c r="J44" s="123"/>
      <c r="K44" s="123"/>
      <c r="L44" s="123"/>
      <c r="M44" s="123"/>
      <c r="N44" s="123"/>
      <c r="O44" s="119"/>
      <c r="P44" s="127"/>
      <c r="Q44" s="127"/>
      <c r="R44" s="127"/>
      <c r="S44" s="119"/>
      <c r="T44" s="128"/>
      <c r="U44" s="12"/>
      <c r="V44" s="12"/>
    </row>
    <row r="45" spans="1:22">
      <c r="A45" s="17"/>
      <c r="B45" s="114"/>
      <c r="C45" s="119"/>
      <c r="D45" s="119"/>
      <c r="E45" s="119"/>
      <c r="F45" s="119"/>
      <c r="G45" s="119"/>
      <c r="H45" s="119"/>
      <c r="I45" s="119"/>
      <c r="J45" s="119"/>
      <c r="K45" s="119"/>
      <c r="L45" s="119"/>
      <c r="M45" s="119"/>
      <c r="N45" s="119"/>
      <c r="O45" s="119"/>
      <c r="P45" s="127"/>
      <c r="Q45" s="127"/>
      <c r="R45" s="127"/>
      <c r="S45" s="119"/>
      <c r="T45" s="128"/>
      <c r="U45" s="12"/>
      <c r="V45" s="12"/>
    </row>
    <row r="46" spans="1:22">
      <c r="A46" s="17"/>
      <c r="B46" s="114" t="s">
        <v>418</v>
      </c>
      <c r="C46" s="118">
        <f>IF(D18=0,0,((C44/D18)*C18)-C44)</f>
        <v>-2049.6726677577753</v>
      </c>
      <c r="D46" s="118">
        <f>IF(D18=0,0,((D44/D18)*C18)-D44)</f>
        <v>-29708.837970540102</v>
      </c>
      <c r="E46" s="118">
        <f>IF(D18=0,0,((E44/D18)*C18)-E44)</f>
        <v>0</v>
      </c>
      <c r="F46" s="119"/>
      <c r="G46" s="119"/>
      <c r="H46" s="119"/>
      <c r="I46" s="119"/>
      <c r="J46" s="119"/>
      <c r="K46" s="119"/>
      <c r="L46" s="120">
        <f>-E46-D46-C46</f>
        <v>31758.510638297877</v>
      </c>
      <c r="M46" s="119"/>
      <c r="N46" s="119"/>
      <c r="O46" s="119"/>
      <c r="P46" s="127"/>
      <c r="Q46" s="127"/>
      <c r="R46" s="127"/>
      <c r="S46" s="119"/>
      <c r="T46" s="128"/>
      <c r="U46" s="12"/>
      <c r="V46" s="12"/>
    </row>
    <row r="47" spans="1:22">
      <c r="A47" s="17"/>
      <c r="B47" s="114"/>
      <c r="C47" s="118"/>
      <c r="D47" s="118"/>
      <c r="E47" s="118"/>
      <c r="F47" s="119"/>
      <c r="G47" s="119"/>
      <c r="H47" s="119"/>
      <c r="I47" s="119"/>
      <c r="J47" s="119"/>
      <c r="K47" s="119"/>
      <c r="L47" s="120"/>
      <c r="M47" s="119"/>
      <c r="N47" s="119"/>
      <c r="O47" s="119"/>
      <c r="P47" s="127"/>
      <c r="Q47" s="127"/>
      <c r="R47" s="127"/>
      <c r="S47" s="119"/>
      <c r="T47" s="128"/>
      <c r="U47" s="12"/>
      <c r="V47" s="12"/>
    </row>
    <row r="48" spans="1:22">
      <c r="A48" s="17"/>
      <c r="B48" s="114" t="s">
        <v>419</v>
      </c>
      <c r="C48" s="119"/>
      <c r="D48" s="119"/>
      <c r="E48" s="119"/>
      <c r="F48" s="119"/>
      <c r="G48" s="119"/>
      <c r="H48" s="119"/>
      <c r="I48" s="119"/>
      <c r="J48" s="119"/>
      <c r="K48" s="119"/>
      <c r="L48" s="118">
        <f>C18*G20-D18*G20</f>
        <v>8793.1583174999978</v>
      </c>
      <c r="M48" s="119"/>
      <c r="N48" s="119"/>
      <c r="O48" s="119"/>
      <c r="P48" s="127"/>
      <c r="Q48" s="127"/>
      <c r="R48" s="127"/>
      <c r="S48" s="119"/>
      <c r="T48" s="128"/>
      <c r="U48" s="12"/>
      <c r="V48" s="12"/>
    </row>
    <row r="49" spans="1:22">
      <c r="A49" s="17"/>
      <c r="B49" s="114"/>
      <c r="C49" s="119"/>
      <c r="D49" s="119"/>
      <c r="E49" s="119"/>
      <c r="F49" s="119"/>
      <c r="G49" s="119"/>
      <c r="H49" s="119"/>
      <c r="I49" s="119"/>
      <c r="J49" s="119"/>
      <c r="K49" s="119"/>
      <c r="L49" s="120"/>
      <c r="M49" s="119"/>
      <c r="N49" s="119"/>
      <c r="O49" s="119"/>
      <c r="P49" s="127"/>
      <c r="Q49" s="127"/>
      <c r="R49" s="127"/>
      <c r="S49" s="119"/>
      <c r="T49" s="128"/>
      <c r="U49" s="12"/>
      <c r="V49" s="12"/>
    </row>
    <row r="50" spans="1:22">
      <c r="A50" s="17"/>
      <c r="B50" s="114" t="s">
        <v>420</v>
      </c>
      <c r="C50" s="120">
        <f t="shared" ref="C50:D50" si="2">C44+C46</f>
        <v>-18747.672667757775</v>
      </c>
      <c r="D50" s="120">
        <f t="shared" si="2"/>
        <v>-271736.8379705401</v>
      </c>
      <c r="E50" s="120">
        <f>E44+E46</f>
        <v>0</v>
      </c>
      <c r="F50" s="120">
        <f>F44+F46</f>
        <v>-13930.102576870302</v>
      </c>
      <c r="G50" s="120">
        <f>G44+G46</f>
        <v>-8449.357571398481</v>
      </c>
      <c r="H50" s="120">
        <f>H44+H46</f>
        <v>-22379.460148268783</v>
      </c>
      <c r="I50" s="120">
        <f>D32*C18</f>
        <v>-19082.462</v>
      </c>
      <c r="J50" s="120">
        <f>E32*C18</f>
        <v>220516.9638</v>
      </c>
      <c r="K50" s="120">
        <f>F32*C18</f>
        <v>0</v>
      </c>
      <c r="L50" s="120">
        <f>L46+L48</f>
        <v>40551.668955797875</v>
      </c>
      <c r="M50" s="118">
        <f>F18-C18*F20</f>
        <v>-13782.715502550054</v>
      </c>
      <c r="N50" s="120">
        <f>L50+M50</f>
        <v>26768.953453247821</v>
      </c>
      <c r="O50" s="119"/>
      <c r="P50" s="127"/>
      <c r="Q50" s="127"/>
      <c r="R50" s="127"/>
      <c r="S50" s="119"/>
      <c r="T50" s="128"/>
      <c r="U50" s="12"/>
      <c r="V50" s="12"/>
    </row>
    <row r="51" spans="1:22">
      <c r="A51" s="17"/>
      <c r="B51" s="114"/>
      <c r="C51" s="119"/>
      <c r="D51" s="119"/>
      <c r="E51" s="119"/>
      <c r="F51" s="119"/>
      <c r="G51" s="119"/>
      <c r="H51" s="119"/>
      <c r="I51" s="119"/>
      <c r="J51" s="119"/>
      <c r="K51" s="119"/>
      <c r="L51" s="119"/>
      <c r="M51" s="119"/>
      <c r="N51" s="119"/>
      <c r="O51" s="119"/>
      <c r="P51" s="127"/>
      <c r="Q51" s="127"/>
      <c r="R51" s="127"/>
      <c r="S51" s="119"/>
      <c r="T51" s="128"/>
      <c r="U51" s="12"/>
      <c r="V51" s="12"/>
    </row>
    <row r="52" spans="1:22">
      <c r="A52" s="17"/>
      <c r="B52" s="114" t="s">
        <v>421</v>
      </c>
      <c r="C52" s="118">
        <f>C50/(C37-1)</f>
        <v>-4946.615479619466</v>
      </c>
      <c r="D52" s="118">
        <f t="shared" ref="D52" si="3">D50/(D37-1)</f>
        <v>-67934.209492635026</v>
      </c>
      <c r="E52" s="118">
        <f>E50/(E37-1)</f>
        <v>0</v>
      </c>
      <c r="F52" s="118">
        <f>F50/(F37-1)</f>
        <v>-3675.4888065620848</v>
      </c>
      <c r="G52" s="118">
        <f>G50/(G37-1)</f>
        <v>-2229.3819449600214</v>
      </c>
      <c r="H52" s="118">
        <f>H50/(H37-1)</f>
        <v>-5904.8707515221067</v>
      </c>
      <c r="I52" s="118">
        <f>I50/I37</f>
        <v>-4139.3626898047714</v>
      </c>
      <c r="J52" s="118">
        <f t="shared" ref="J52:N52" si="4">J50/J37</f>
        <v>44103.392760000002</v>
      </c>
      <c r="K52" s="118">
        <f t="shared" si="4"/>
        <v>0</v>
      </c>
      <c r="L52" s="118">
        <f t="shared" si="4"/>
        <v>8796.4574741427059</v>
      </c>
      <c r="M52" s="118">
        <f t="shared" si="4"/>
        <v>-2989.7430591214866</v>
      </c>
      <c r="N52" s="118">
        <f t="shared" si="4"/>
        <v>5806.7144150212189</v>
      </c>
      <c r="O52" s="119"/>
      <c r="P52" s="127"/>
      <c r="Q52" s="127"/>
      <c r="R52" s="127"/>
      <c r="S52" s="119"/>
      <c r="T52" s="128"/>
      <c r="U52" s="12"/>
      <c r="V52" s="12"/>
    </row>
    <row r="53" spans="1:22">
      <c r="A53" s="17"/>
      <c r="B53" s="114"/>
      <c r="C53" s="119"/>
      <c r="D53" s="119"/>
      <c r="E53" s="119"/>
      <c r="F53" s="119"/>
      <c r="G53" s="119"/>
      <c r="H53" s="119"/>
      <c r="I53" s="119"/>
      <c r="J53" s="119"/>
      <c r="K53" s="119"/>
      <c r="L53" s="119"/>
      <c r="M53" s="119"/>
      <c r="N53" s="119"/>
      <c r="O53" s="119"/>
      <c r="P53" s="127"/>
      <c r="Q53" s="127"/>
      <c r="R53" s="127"/>
      <c r="S53" s="119"/>
      <c r="T53" s="128"/>
      <c r="U53" s="12"/>
      <c r="V53" s="12"/>
    </row>
    <row r="54" spans="1:22">
      <c r="A54" s="17"/>
      <c r="B54" s="121" t="s">
        <v>422</v>
      </c>
      <c r="C54" s="122">
        <f>C50-C52</f>
        <v>-13801.057188138309</v>
      </c>
      <c r="D54" s="122">
        <f t="shared" ref="D54" si="5">D50-D52</f>
        <v>-203802.62847790506</v>
      </c>
      <c r="E54" s="122">
        <f>E50-E52</f>
        <v>0</v>
      </c>
      <c r="F54" s="122">
        <f>F50-F52</f>
        <v>-10254.613770308217</v>
      </c>
      <c r="G54" s="122">
        <f>G50-G52</f>
        <v>-6219.9756264384596</v>
      </c>
      <c r="H54" s="122">
        <f>H50-H52</f>
        <v>-16474.589396746676</v>
      </c>
      <c r="I54" s="122">
        <f>I50-I52</f>
        <v>-14943.099310195228</v>
      </c>
      <c r="J54" s="122">
        <f t="shared" ref="J54:N54" si="6">J50-J52</f>
        <v>176413.57104000001</v>
      </c>
      <c r="K54" s="122">
        <f t="shared" si="6"/>
        <v>0</v>
      </c>
      <c r="L54" s="122">
        <f t="shared" si="6"/>
        <v>31755.211481655169</v>
      </c>
      <c r="M54" s="122">
        <f t="shared" si="6"/>
        <v>-10792.972443428567</v>
      </c>
      <c r="N54" s="122">
        <f t="shared" si="6"/>
        <v>20962.239038226602</v>
      </c>
      <c r="O54" s="119"/>
      <c r="P54" s="127"/>
      <c r="Q54" s="127"/>
      <c r="R54" s="127"/>
      <c r="S54" s="119"/>
      <c r="T54" s="128"/>
      <c r="U54" s="12"/>
      <c r="V54" s="12"/>
    </row>
    <row r="55" spans="1:22">
      <c r="A55" s="17"/>
      <c r="B55" s="121"/>
      <c r="C55" s="122"/>
      <c r="D55" s="122"/>
      <c r="E55" s="122"/>
      <c r="F55" s="122"/>
      <c r="G55" s="122"/>
      <c r="H55" s="122"/>
      <c r="I55" s="122"/>
      <c r="J55" s="122"/>
      <c r="K55" s="122"/>
      <c r="L55" s="122"/>
      <c r="M55" s="122"/>
      <c r="N55" s="122"/>
      <c r="O55" s="119"/>
      <c r="P55" s="127"/>
      <c r="Q55" s="127"/>
      <c r="R55" s="127"/>
      <c r="S55" s="119"/>
      <c r="T55" s="128"/>
      <c r="U55" s="12"/>
      <c r="V55" s="12"/>
    </row>
    <row r="56" spans="1:22">
      <c r="A56" s="17"/>
      <c r="B56" s="114" t="s">
        <v>479</v>
      </c>
      <c r="C56" s="118">
        <f>IF(D13=0,0,((C54/D13)*C13)-C54)</f>
        <v>-422.48134249402938</v>
      </c>
      <c r="D56" s="118">
        <f>IF(D13=0,0,((D54/D13)*C13)-D54)</f>
        <v>-6238.8559738133918</v>
      </c>
      <c r="E56" s="118">
        <f>IF(D13=0,0,((E54/D13)*C13)-E54)</f>
        <v>0</v>
      </c>
      <c r="F56" s="122"/>
      <c r="G56" s="122"/>
      <c r="H56" s="122"/>
      <c r="I56" s="118">
        <f>IF(D13=0,0,((I54/D13)*C13)-I54)</f>
        <v>-457.44181561822006</v>
      </c>
      <c r="J56" s="118">
        <f>IF(D13=0,0,((J54/D13)*C13)-J54)</f>
        <v>5400.4154399999825</v>
      </c>
      <c r="K56" s="118">
        <f>IF(D13=0,0,((K54/D13)*C13)-K54)</f>
        <v>0</v>
      </c>
      <c r="L56" s="122"/>
      <c r="M56" s="122"/>
      <c r="N56" s="122"/>
      <c r="O56" s="119"/>
      <c r="P56" s="127"/>
      <c r="Q56" s="127"/>
      <c r="R56" s="204">
        <f>-K56-J56-I56-E56-D56-C56</f>
        <v>1718.3636919256587</v>
      </c>
      <c r="S56" s="119"/>
      <c r="T56" s="128"/>
      <c r="U56" s="12"/>
      <c r="V56" s="12"/>
    </row>
    <row r="57" spans="1:22">
      <c r="A57" s="17"/>
      <c r="B57" s="114"/>
      <c r="C57" s="122"/>
      <c r="D57" s="122"/>
      <c r="E57" s="122"/>
      <c r="F57" s="122"/>
      <c r="G57" s="122"/>
      <c r="H57" s="122"/>
      <c r="I57" s="122"/>
      <c r="J57" s="122"/>
      <c r="K57" s="122"/>
      <c r="L57" s="122"/>
      <c r="M57" s="122"/>
      <c r="N57" s="122"/>
      <c r="O57" s="119"/>
      <c r="P57" s="127"/>
      <c r="Q57" s="127"/>
      <c r="R57" s="127"/>
      <c r="S57" s="119"/>
      <c r="T57" s="128"/>
      <c r="U57" s="12"/>
      <c r="V57" s="12"/>
    </row>
    <row r="58" spans="1:22">
      <c r="A58" s="17"/>
      <c r="B58" s="114" t="s">
        <v>480</v>
      </c>
      <c r="C58" s="122"/>
      <c r="D58" s="122"/>
      <c r="E58" s="122"/>
      <c r="F58" s="122"/>
      <c r="G58" s="122"/>
      <c r="H58" s="122"/>
      <c r="I58" s="122"/>
      <c r="J58" s="122"/>
      <c r="K58" s="122"/>
      <c r="L58" s="122"/>
      <c r="M58" s="122"/>
      <c r="N58" s="122"/>
      <c r="O58" s="119"/>
      <c r="P58" s="127"/>
      <c r="Q58" s="127"/>
      <c r="R58" s="204">
        <f>C13*G15-D13*G15</f>
        <v>7738.9157971649838</v>
      </c>
      <c r="S58" s="119"/>
      <c r="T58" s="128"/>
      <c r="U58" s="12"/>
      <c r="V58" s="12"/>
    </row>
    <row r="59" spans="1:22">
      <c r="A59" s="17"/>
      <c r="B59" s="114"/>
      <c r="C59" s="122"/>
      <c r="D59" s="122"/>
      <c r="E59" s="122"/>
      <c r="F59" s="122"/>
      <c r="G59" s="122"/>
      <c r="H59" s="122"/>
      <c r="I59" s="122"/>
      <c r="J59" s="122"/>
      <c r="K59" s="122"/>
      <c r="L59" s="122"/>
      <c r="M59" s="122"/>
      <c r="N59" s="122"/>
      <c r="O59" s="119"/>
      <c r="P59" s="127"/>
      <c r="Q59" s="127"/>
      <c r="R59" s="127"/>
      <c r="S59" s="119"/>
      <c r="T59" s="128"/>
      <c r="U59" s="12"/>
      <c r="V59" s="12"/>
    </row>
    <row r="60" spans="1:22">
      <c r="A60" s="17"/>
      <c r="B60" s="114" t="s">
        <v>481</v>
      </c>
      <c r="C60" s="205">
        <f>C54+C56+C58</f>
        <v>-14223.538530632339</v>
      </c>
      <c r="D60" s="205">
        <f t="shared" ref="D60:N60" si="7">D54+D56+D58</f>
        <v>-210041.48445171845</v>
      </c>
      <c r="E60" s="205">
        <f t="shared" si="7"/>
        <v>0</v>
      </c>
      <c r="F60" s="205">
        <f t="shared" si="7"/>
        <v>-10254.613770308217</v>
      </c>
      <c r="G60" s="205">
        <f t="shared" si="7"/>
        <v>-6219.9756264384596</v>
      </c>
      <c r="H60" s="205">
        <f t="shared" si="7"/>
        <v>-16474.589396746676</v>
      </c>
      <c r="I60" s="205">
        <f t="shared" si="7"/>
        <v>-15400.541125813448</v>
      </c>
      <c r="J60" s="205">
        <f t="shared" si="7"/>
        <v>181813.98647999999</v>
      </c>
      <c r="K60" s="205">
        <f t="shared" si="7"/>
        <v>0</v>
      </c>
      <c r="L60" s="205">
        <f t="shared" si="7"/>
        <v>31755.211481655169</v>
      </c>
      <c r="M60" s="205">
        <f t="shared" si="7"/>
        <v>-10792.972443428567</v>
      </c>
      <c r="N60" s="205">
        <f t="shared" si="7"/>
        <v>20962.239038226602</v>
      </c>
      <c r="O60" s="205">
        <f>C13*D31</f>
        <v>-13445.5846</v>
      </c>
      <c r="P60" s="205">
        <f>C13*E31</f>
        <v>294261.24770000001</v>
      </c>
      <c r="Q60" s="205">
        <f>C13*F31</f>
        <v>123289.2052</v>
      </c>
      <c r="R60" s="205">
        <f>R56+R58</f>
        <v>9457.2794890906425</v>
      </c>
      <c r="S60" s="205">
        <f>F13-C13*F15</f>
        <v>-9869.1334097640065</v>
      </c>
      <c r="T60" s="205">
        <f>R60+S60</f>
        <v>-411.85392067336397</v>
      </c>
      <c r="U60" s="206"/>
      <c r="V60" s="12"/>
    </row>
    <row r="61" spans="1:22">
      <c r="A61" s="17"/>
      <c r="B61" s="114"/>
      <c r="C61" s="122"/>
      <c r="D61" s="122"/>
      <c r="E61" s="122"/>
      <c r="F61" s="122"/>
      <c r="G61" s="122"/>
      <c r="H61" s="122"/>
      <c r="I61" s="122"/>
      <c r="J61" s="122"/>
      <c r="K61" s="122"/>
      <c r="L61" s="122"/>
      <c r="M61" s="122"/>
      <c r="N61" s="122"/>
      <c r="O61" s="119"/>
      <c r="P61" s="127"/>
      <c r="Q61" s="127"/>
      <c r="R61" s="127"/>
      <c r="S61" s="119"/>
      <c r="T61" s="127"/>
      <c r="U61" s="206"/>
      <c r="V61" s="12"/>
    </row>
    <row r="62" spans="1:22">
      <c r="A62" s="17"/>
      <c r="B62" s="114" t="s">
        <v>482</v>
      </c>
      <c r="C62" s="205">
        <f>C60/(C37-2)</f>
        <v>-5098.042484097612</v>
      </c>
      <c r="D62" s="205">
        <f t="shared" ref="D62:H62" si="8">D60/(D37-2)</f>
        <v>-70013.828150572823</v>
      </c>
      <c r="E62" s="205">
        <f t="shared" si="8"/>
        <v>0</v>
      </c>
      <c r="F62" s="205">
        <f t="shared" si="8"/>
        <v>-3675.4888065620848</v>
      </c>
      <c r="G62" s="205">
        <f t="shared" si="8"/>
        <v>-2229.3819449600214</v>
      </c>
      <c r="H62" s="205">
        <f t="shared" si="8"/>
        <v>-5904.8707515221058</v>
      </c>
      <c r="I62" s="205">
        <f>I60/(I37-1)</f>
        <v>-4266.0778741865506</v>
      </c>
      <c r="J62" s="205">
        <f t="shared" ref="J62:N62" si="9">J60/(J37-1)</f>
        <v>45453.496619999998</v>
      </c>
      <c r="K62" s="205">
        <f t="shared" si="9"/>
        <v>0</v>
      </c>
      <c r="L62" s="205">
        <f t="shared" si="9"/>
        <v>8796.4574741427059</v>
      </c>
      <c r="M62" s="205">
        <f t="shared" si="9"/>
        <v>-2989.7430591214866</v>
      </c>
      <c r="N62" s="205">
        <f t="shared" si="9"/>
        <v>5806.7144150212189</v>
      </c>
      <c r="O62" s="120">
        <f>O60/O37</f>
        <v>-2994.5622717149217</v>
      </c>
      <c r="P62" s="120">
        <f t="shared" ref="P62:T62" si="10">P60/P37</f>
        <v>58852.249540000004</v>
      </c>
      <c r="Q62" s="120">
        <f t="shared" si="10"/>
        <v>27458.620311804007</v>
      </c>
      <c r="R62" s="120">
        <f t="shared" si="10"/>
        <v>2106.2983271916796</v>
      </c>
      <c r="S62" s="120">
        <f t="shared" si="10"/>
        <v>-2198.025258299333</v>
      </c>
      <c r="T62" s="120">
        <f t="shared" si="10"/>
        <v>-91.726931107653442</v>
      </c>
      <c r="U62" s="206"/>
      <c r="V62" s="12"/>
    </row>
    <row r="63" spans="1:22">
      <c r="A63" s="17"/>
      <c r="B63" s="121"/>
      <c r="C63" s="122"/>
      <c r="D63" s="122"/>
      <c r="E63" s="122"/>
      <c r="F63" s="122"/>
      <c r="G63" s="122"/>
      <c r="H63" s="122"/>
      <c r="I63" s="122"/>
      <c r="J63" s="122"/>
      <c r="K63" s="122"/>
      <c r="L63" s="122"/>
      <c r="M63" s="122"/>
      <c r="N63" s="122"/>
      <c r="O63" s="119"/>
      <c r="P63" s="127"/>
      <c r="Q63" s="127"/>
      <c r="R63" s="127"/>
      <c r="S63" s="119"/>
      <c r="T63" s="127"/>
      <c r="U63" s="206"/>
      <c r="V63" s="12"/>
    </row>
    <row r="64" spans="1:22">
      <c r="A64" s="17"/>
      <c r="B64" s="121" t="s">
        <v>483</v>
      </c>
      <c r="C64" s="122">
        <f>C60-C62</f>
        <v>-9125.4960465347267</v>
      </c>
      <c r="D64" s="122">
        <f t="shared" ref="D64:T64" si="11">D60-D62</f>
        <v>-140027.65630114562</v>
      </c>
      <c r="E64" s="122">
        <f t="shared" si="11"/>
        <v>0</v>
      </c>
      <c r="F64" s="122">
        <f t="shared" si="11"/>
        <v>-6579.1249637461315</v>
      </c>
      <c r="G64" s="122">
        <f t="shared" si="11"/>
        <v>-3990.5936814784382</v>
      </c>
      <c r="H64" s="122">
        <f t="shared" si="11"/>
        <v>-10569.71864522457</v>
      </c>
      <c r="I64" s="122">
        <f t="shared" si="11"/>
        <v>-11134.463251626898</v>
      </c>
      <c r="J64" s="122">
        <f t="shared" si="11"/>
        <v>136360.48986</v>
      </c>
      <c r="K64" s="122">
        <f t="shared" si="11"/>
        <v>0</v>
      </c>
      <c r="L64" s="122">
        <f t="shared" si="11"/>
        <v>22958.754007512463</v>
      </c>
      <c r="M64" s="122">
        <f t="shared" si="11"/>
        <v>-7803.2293843070802</v>
      </c>
      <c r="N64" s="122">
        <f t="shared" si="11"/>
        <v>15155.524623205383</v>
      </c>
      <c r="O64" s="122">
        <f t="shared" si="11"/>
        <v>-10451.022328285078</v>
      </c>
      <c r="P64" s="122">
        <f t="shared" si="11"/>
        <v>235408.99816000002</v>
      </c>
      <c r="Q64" s="122">
        <f t="shared" si="11"/>
        <v>95830.584888195997</v>
      </c>
      <c r="R64" s="122">
        <f t="shared" si="11"/>
        <v>7350.9811618989625</v>
      </c>
      <c r="S64" s="122">
        <f t="shared" si="11"/>
        <v>-7671.1081514646739</v>
      </c>
      <c r="T64" s="122">
        <f t="shared" si="11"/>
        <v>-320.12698956571052</v>
      </c>
      <c r="U64" s="206"/>
      <c r="V64" s="12"/>
    </row>
    <row r="65" spans="1:22">
      <c r="A65" s="17"/>
      <c r="B65" s="121"/>
      <c r="C65" s="122"/>
      <c r="D65" s="122"/>
      <c r="E65" s="122"/>
      <c r="F65" s="122"/>
      <c r="G65" s="122"/>
      <c r="H65" s="122"/>
      <c r="I65" s="122"/>
      <c r="J65" s="122"/>
      <c r="K65" s="122"/>
      <c r="L65" s="122"/>
      <c r="M65" s="122"/>
      <c r="N65" s="122"/>
      <c r="O65" s="119"/>
      <c r="P65" s="127"/>
      <c r="Q65" s="127"/>
      <c r="R65" s="127"/>
      <c r="S65" s="119"/>
      <c r="T65" s="127"/>
      <c r="U65" s="206"/>
      <c r="V65" s="12"/>
    </row>
    <row r="66" spans="1:22">
      <c r="A66" s="17"/>
      <c r="B66" s="114"/>
      <c r="C66" s="119"/>
      <c r="D66" s="119"/>
      <c r="E66" s="127"/>
      <c r="F66" s="127"/>
      <c r="G66" s="127"/>
      <c r="H66" s="119"/>
      <c r="I66" s="127"/>
      <c r="J66" s="127"/>
      <c r="K66" s="127"/>
      <c r="L66" s="127"/>
      <c r="M66" s="119"/>
      <c r="N66" s="127"/>
      <c r="O66" s="119"/>
      <c r="P66" s="127"/>
      <c r="Q66" s="127"/>
      <c r="R66" s="127"/>
      <c r="S66" s="119"/>
      <c r="T66" s="128"/>
      <c r="U66" s="12"/>
      <c r="V66" s="12"/>
    </row>
    <row r="67" spans="1:22">
      <c r="A67" s="17"/>
      <c r="B67" s="121" t="s">
        <v>411</v>
      </c>
      <c r="C67" s="119"/>
      <c r="D67" s="119"/>
      <c r="E67" s="127"/>
      <c r="F67" s="127"/>
      <c r="G67" s="127"/>
      <c r="H67" s="119"/>
      <c r="I67" s="127"/>
      <c r="J67" s="127"/>
      <c r="K67" s="127"/>
      <c r="L67" s="127"/>
      <c r="M67" s="119"/>
      <c r="N67" s="127"/>
      <c r="O67" s="119"/>
      <c r="P67" s="127"/>
      <c r="Q67" s="127"/>
      <c r="R67" s="127"/>
      <c r="S67" s="119"/>
      <c r="T67" s="128"/>
      <c r="U67" s="12"/>
      <c r="V67" s="12"/>
    </row>
    <row r="68" spans="1:22">
      <c r="A68" s="17"/>
      <c r="B68" s="114">
        <v>2018</v>
      </c>
      <c r="C68" s="118">
        <f>IF(C64&lt;0,IF(C64-C62&lt;0,C62,C64),IF(C64-C62&gt;0,C62,C64))</f>
        <v>-5098.042484097612</v>
      </c>
      <c r="D68" s="118">
        <f t="shared" ref="D68:T68" si="12">IF(D64&lt;0,IF(D64-D62&lt;0,D62,D64),IF(D64-D62&gt;0,D62,D64))</f>
        <v>-70013.828150572823</v>
      </c>
      <c r="E68" s="118">
        <f t="shared" si="12"/>
        <v>0</v>
      </c>
      <c r="F68" s="118">
        <f t="shared" si="12"/>
        <v>-3675.4888065620848</v>
      </c>
      <c r="G68" s="118">
        <f t="shared" si="12"/>
        <v>-2229.3819449600214</v>
      </c>
      <c r="H68" s="118">
        <f t="shared" si="12"/>
        <v>-5904.8707515221058</v>
      </c>
      <c r="I68" s="118">
        <f t="shared" si="12"/>
        <v>-4266.0778741865506</v>
      </c>
      <c r="J68" s="118">
        <f t="shared" si="12"/>
        <v>45453.496619999998</v>
      </c>
      <c r="K68" s="118">
        <f t="shared" si="12"/>
        <v>0</v>
      </c>
      <c r="L68" s="118">
        <f t="shared" si="12"/>
        <v>8796.4574741427059</v>
      </c>
      <c r="M68" s="118">
        <f t="shared" si="12"/>
        <v>-2989.7430591214866</v>
      </c>
      <c r="N68" s="118">
        <f t="shared" si="12"/>
        <v>5806.7144150212189</v>
      </c>
      <c r="O68" s="118">
        <f t="shared" si="12"/>
        <v>-2994.5622717149217</v>
      </c>
      <c r="P68" s="118">
        <f t="shared" si="12"/>
        <v>58852.249540000004</v>
      </c>
      <c r="Q68" s="118">
        <f t="shared" si="12"/>
        <v>27458.620311804007</v>
      </c>
      <c r="R68" s="118">
        <f t="shared" si="12"/>
        <v>2106.2983271916796</v>
      </c>
      <c r="S68" s="118">
        <f t="shared" si="12"/>
        <v>-2198.025258299333</v>
      </c>
      <c r="T68" s="124">
        <f t="shared" si="12"/>
        <v>-91.726931107653442</v>
      </c>
      <c r="U68" s="12"/>
      <c r="V68" s="12"/>
    </row>
    <row r="69" spans="1:22">
      <c r="A69" s="17"/>
      <c r="B69" s="114">
        <v>2019</v>
      </c>
      <c r="C69" s="118">
        <f>IF(C64&lt;0,IF(C64-C68-C62&lt;0,C62,C64-C68),IF(C64-C68-C62&gt;0,C62,C64-C68))</f>
        <v>-4027.4535624371147</v>
      </c>
      <c r="D69" s="118">
        <f t="shared" ref="D69:T69" si="13">IF(D64&lt;0,IF(D64-D68-D62&lt;0,D62,D64-D68),IF(D64-D68-D62&gt;0,D62,D64-D68))</f>
        <v>-70013.828150572794</v>
      </c>
      <c r="E69" s="118">
        <f t="shared" si="13"/>
        <v>0</v>
      </c>
      <c r="F69" s="118">
        <f t="shared" si="13"/>
        <v>-2903.6361571840466</v>
      </c>
      <c r="G69" s="118">
        <f t="shared" si="13"/>
        <v>-1761.2117365184167</v>
      </c>
      <c r="H69" s="118">
        <f t="shared" si="13"/>
        <v>-4664.8478937024638</v>
      </c>
      <c r="I69" s="118">
        <f t="shared" si="13"/>
        <v>-4266.0778741865506</v>
      </c>
      <c r="J69" s="118">
        <f t="shared" si="13"/>
        <v>45453.496619999998</v>
      </c>
      <c r="K69" s="118">
        <f t="shared" si="13"/>
        <v>0</v>
      </c>
      <c r="L69" s="118">
        <f t="shared" si="13"/>
        <v>8796.4574741427059</v>
      </c>
      <c r="M69" s="118">
        <f t="shared" si="13"/>
        <v>-2989.7430591214866</v>
      </c>
      <c r="N69" s="118">
        <f t="shared" si="13"/>
        <v>5806.7144150212189</v>
      </c>
      <c r="O69" s="118">
        <f t="shared" si="13"/>
        <v>-2994.5622717149217</v>
      </c>
      <c r="P69" s="118">
        <f t="shared" si="13"/>
        <v>58852.249540000004</v>
      </c>
      <c r="Q69" s="118">
        <f t="shared" si="13"/>
        <v>27458.620311804007</v>
      </c>
      <c r="R69" s="118">
        <f t="shared" si="13"/>
        <v>2106.2983271916796</v>
      </c>
      <c r="S69" s="118">
        <f t="shared" si="13"/>
        <v>-2198.025258299333</v>
      </c>
      <c r="T69" s="124">
        <f t="shared" si="13"/>
        <v>-91.726931107653442</v>
      </c>
      <c r="U69" s="12"/>
      <c r="V69" s="12"/>
    </row>
    <row r="70" spans="1:22">
      <c r="A70" s="17"/>
      <c r="B70" s="114">
        <v>2020</v>
      </c>
      <c r="C70" s="118">
        <f>IF(C64&lt;0,IF(C64-C62-C68-C69&lt;0,C62,C64-C68-C69),IF(C64-C62-C68-C69&gt;0,C62,C64-C68-C69))</f>
        <v>0</v>
      </c>
      <c r="D70" s="118">
        <f t="shared" ref="D70:T70" si="14">IF(D64&lt;0,IF(D64-D62-D68-D69&lt;0,D62,D64-D68-D69),IF(D64-D62-D68-D69&gt;0,D62,D64-D68-D69))</f>
        <v>0</v>
      </c>
      <c r="E70" s="118">
        <f t="shared" si="14"/>
        <v>0</v>
      </c>
      <c r="F70" s="118">
        <f t="shared" si="14"/>
        <v>0</v>
      </c>
      <c r="G70" s="118">
        <f t="shared" si="14"/>
        <v>0</v>
      </c>
      <c r="H70" s="118">
        <f t="shared" si="14"/>
        <v>0</v>
      </c>
      <c r="I70" s="118">
        <f t="shared" si="14"/>
        <v>-2602.3075032537963</v>
      </c>
      <c r="J70" s="118">
        <f t="shared" si="14"/>
        <v>45453.496619999998</v>
      </c>
      <c r="K70" s="118">
        <f t="shared" si="14"/>
        <v>0</v>
      </c>
      <c r="L70" s="118">
        <f t="shared" si="14"/>
        <v>5365.8390592270516</v>
      </c>
      <c r="M70" s="118">
        <f t="shared" si="14"/>
        <v>-1823.7432660641066</v>
      </c>
      <c r="N70" s="118">
        <f t="shared" si="14"/>
        <v>3542.0957931629455</v>
      </c>
      <c r="O70" s="118">
        <f t="shared" si="14"/>
        <v>-2994.5622717149217</v>
      </c>
      <c r="P70" s="118">
        <f t="shared" si="14"/>
        <v>58852.249540000004</v>
      </c>
      <c r="Q70" s="118">
        <f t="shared" si="14"/>
        <v>27458.620311804007</v>
      </c>
      <c r="R70" s="118">
        <f t="shared" si="14"/>
        <v>2106.2983271916796</v>
      </c>
      <c r="S70" s="118">
        <f t="shared" si="14"/>
        <v>-2198.025258299333</v>
      </c>
      <c r="T70" s="124">
        <f t="shared" si="14"/>
        <v>-91.726931107653442</v>
      </c>
      <c r="U70" s="12"/>
      <c r="V70" s="12"/>
    </row>
    <row r="71" spans="1:22">
      <c r="A71" s="17"/>
      <c r="B71" s="114">
        <v>2021</v>
      </c>
      <c r="C71" s="118">
        <f>IF(C64&lt;0,IF(C64-C62-C68-C69-C70&lt;0,C62,C64-C68-C69-C70),IF(C64-C62-C68-C69-C70&gt;0,C62,C64-C68-C69-C70))</f>
        <v>0</v>
      </c>
      <c r="D71" s="118">
        <f t="shared" ref="D71:T71" si="15">IF(D64&lt;0,IF(D64-D62-D68-D69-D70&lt;0,D62,D64-D68-D69-D70),IF(D64-D62-D68-D69-D70&gt;0,D62,D64-D68-D69-D70))</f>
        <v>0</v>
      </c>
      <c r="E71" s="118">
        <f t="shared" si="15"/>
        <v>0</v>
      </c>
      <c r="F71" s="118">
        <f t="shared" si="15"/>
        <v>0</v>
      </c>
      <c r="G71" s="118">
        <f t="shared" si="15"/>
        <v>0</v>
      </c>
      <c r="H71" s="118">
        <f t="shared" si="15"/>
        <v>0</v>
      </c>
      <c r="I71" s="118">
        <f t="shared" si="15"/>
        <v>0</v>
      </c>
      <c r="J71" s="118">
        <f t="shared" si="15"/>
        <v>1.4551915228366852E-11</v>
      </c>
      <c r="K71" s="118">
        <f t="shared" si="15"/>
        <v>0</v>
      </c>
      <c r="L71" s="118">
        <f t="shared" si="15"/>
        <v>0</v>
      </c>
      <c r="M71" s="118">
        <f t="shared" si="15"/>
        <v>0</v>
      </c>
      <c r="N71" s="118">
        <f t="shared" si="15"/>
        <v>0</v>
      </c>
      <c r="O71" s="118">
        <f t="shared" si="15"/>
        <v>-1467.3355131403132</v>
      </c>
      <c r="P71" s="118">
        <f t="shared" si="15"/>
        <v>58852.249540000004</v>
      </c>
      <c r="Q71" s="118">
        <f t="shared" si="15"/>
        <v>13454.723952783985</v>
      </c>
      <c r="R71" s="118">
        <f t="shared" si="15"/>
        <v>1032.0861803239231</v>
      </c>
      <c r="S71" s="118">
        <f t="shared" si="15"/>
        <v>-1077.0323765666753</v>
      </c>
      <c r="T71" s="124">
        <f t="shared" si="15"/>
        <v>-44.946196242750162</v>
      </c>
      <c r="U71" s="12"/>
      <c r="V71" s="12"/>
    </row>
    <row r="72" spans="1:22">
      <c r="A72" s="17"/>
      <c r="B72" s="114">
        <v>2022</v>
      </c>
      <c r="C72" s="118">
        <f>IF(C64&lt;0,IF(C64-C62-C68-C69-C70-C71&lt;0,C62,C64-C68-C69-C70-C71),IF(C64-C62-C68-C69-C70-C71&gt;0,C62,C64-C68-C69-C70-C71))</f>
        <v>0</v>
      </c>
      <c r="D72" s="118">
        <f t="shared" ref="D72:T72" si="16">IF(D64&lt;0,IF(D64-D62-D68-D69-D70-D71&lt;0,D62,D64-D68-D69-D70-D71),IF(D64-D62-D68-D69-D70-D71&gt;0,D62,D64-D68-D69-D70-D71))</f>
        <v>0</v>
      </c>
      <c r="E72" s="118">
        <f t="shared" si="16"/>
        <v>0</v>
      </c>
      <c r="F72" s="118">
        <f t="shared" si="16"/>
        <v>0</v>
      </c>
      <c r="G72" s="118">
        <f t="shared" si="16"/>
        <v>0</v>
      </c>
      <c r="H72" s="118">
        <f t="shared" si="16"/>
        <v>0</v>
      </c>
      <c r="I72" s="118">
        <f t="shared" si="16"/>
        <v>0</v>
      </c>
      <c r="J72" s="118">
        <f t="shared" si="16"/>
        <v>0</v>
      </c>
      <c r="K72" s="118">
        <f t="shared" si="16"/>
        <v>0</v>
      </c>
      <c r="L72" s="118">
        <f t="shared" si="16"/>
        <v>0</v>
      </c>
      <c r="M72" s="118">
        <f t="shared" si="16"/>
        <v>0</v>
      </c>
      <c r="N72" s="118">
        <f t="shared" si="16"/>
        <v>0</v>
      </c>
      <c r="O72" s="118">
        <f t="shared" si="16"/>
        <v>0</v>
      </c>
      <c r="P72" s="118">
        <f t="shared" si="16"/>
        <v>1.4551915228366852E-11</v>
      </c>
      <c r="Q72" s="118">
        <f t="shared" si="16"/>
        <v>0</v>
      </c>
      <c r="R72" s="118">
        <f t="shared" si="16"/>
        <v>0</v>
      </c>
      <c r="S72" s="118">
        <f t="shared" si="16"/>
        <v>0</v>
      </c>
      <c r="T72" s="124">
        <f t="shared" si="16"/>
        <v>0</v>
      </c>
      <c r="U72" s="12"/>
      <c r="V72" s="12"/>
    </row>
    <row r="73" spans="1:22">
      <c r="A73" s="17"/>
      <c r="B73" s="132" t="s">
        <v>323</v>
      </c>
      <c r="C73" s="118">
        <f>C64-C68-C69-C70-C71-C72</f>
        <v>0</v>
      </c>
      <c r="D73" s="118">
        <f t="shared" ref="D73:T73" si="17">D64-D68-D69-D70-D71-D72</f>
        <v>0</v>
      </c>
      <c r="E73" s="118">
        <f t="shared" si="17"/>
        <v>0</v>
      </c>
      <c r="F73" s="118">
        <f t="shared" si="17"/>
        <v>0</v>
      </c>
      <c r="G73" s="118">
        <f t="shared" si="17"/>
        <v>0</v>
      </c>
      <c r="H73" s="118">
        <f t="shared" si="17"/>
        <v>0</v>
      </c>
      <c r="I73" s="118">
        <f t="shared" si="17"/>
        <v>0</v>
      </c>
      <c r="J73" s="118">
        <f t="shared" si="17"/>
        <v>0</v>
      </c>
      <c r="K73" s="118">
        <f t="shared" si="17"/>
        <v>0</v>
      </c>
      <c r="L73" s="118">
        <f t="shared" si="17"/>
        <v>0</v>
      </c>
      <c r="M73" s="118">
        <f t="shared" si="17"/>
        <v>0</v>
      </c>
      <c r="N73" s="118">
        <f t="shared" si="17"/>
        <v>0</v>
      </c>
      <c r="O73" s="118">
        <f t="shared" si="17"/>
        <v>0</v>
      </c>
      <c r="P73" s="118">
        <f t="shared" si="17"/>
        <v>0</v>
      </c>
      <c r="Q73" s="118">
        <f t="shared" si="17"/>
        <v>0</v>
      </c>
      <c r="R73" s="118">
        <f t="shared" si="17"/>
        <v>0</v>
      </c>
      <c r="S73" s="118">
        <f t="shared" si="17"/>
        <v>0</v>
      </c>
      <c r="T73" s="124">
        <f t="shared" si="17"/>
        <v>0</v>
      </c>
      <c r="U73" s="12"/>
      <c r="V73" s="12"/>
    </row>
    <row r="74" spans="1:22">
      <c r="A74" s="17"/>
      <c r="B74" s="114"/>
      <c r="C74" s="119"/>
      <c r="D74" s="119"/>
      <c r="E74" s="127"/>
      <c r="F74" s="127"/>
      <c r="G74" s="127"/>
      <c r="H74" s="119"/>
      <c r="I74" s="127"/>
      <c r="J74" s="127"/>
      <c r="K74" s="127"/>
      <c r="L74" s="127"/>
      <c r="M74" s="119"/>
      <c r="N74" s="127"/>
      <c r="O74" s="119"/>
      <c r="P74" s="127"/>
      <c r="Q74" s="127"/>
      <c r="R74" s="127"/>
      <c r="S74" s="119"/>
      <c r="T74" s="128"/>
      <c r="U74" s="12"/>
      <c r="V74" s="12"/>
    </row>
    <row r="75" spans="1:22">
      <c r="A75" s="17"/>
      <c r="B75" s="121" t="s">
        <v>410</v>
      </c>
      <c r="C75" s="119"/>
      <c r="D75" s="119"/>
      <c r="E75" s="127"/>
      <c r="F75" s="127"/>
      <c r="G75" s="127"/>
      <c r="H75" s="119"/>
      <c r="I75" s="127"/>
      <c r="J75" s="127"/>
      <c r="K75" s="127"/>
      <c r="L75" s="127"/>
      <c r="M75" s="119"/>
      <c r="N75" s="127"/>
      <c r="O75" s="119"/>
      <c r="P75" s="127"/>
      <c r="Q75" s="127"/>
      <c r="R75" s="127"/>
      <c r="S75" s="119"/>
      <c r="T75" s="128"/>
      <c r="U75" s="12"/>
      <c r="V75" s="12"/>
    </row>
    <row r="76" spans="1:22">
      <c r="A76" s="17"/>
      <c r="B76" s="121">
        <v>2018</v>
      </c>
      <c r="C76" s="122">
        <f>+C68+D68+E68+H68+I68+J68+K68+N68+O68+P68+Q68+T68</f>
        <v>49201.972423623571</v>
      </c>
      <c r="D76" s="119"/>
      <c r="E76" s="127"/>
      <c r="F76" s="127"/>
      <c r="G76" s="127"/>
      <c r="H76" s="119"/>
      <c r="I76" s="127"/>
      <c r="J76" s="127"/>
      <c r="K76" s="127"/>
      <c r="L76" s="127"/>
      <c r="M76" s="119"/>
      <c r="N76" s="127"/>
      <c r="O76" s="119"/>
      <c r="P76" s="127"/>
      <c r="Q76" s="127"/>
      <c r="R76" s="127"/>
      <c r="S76" s="119"/>
      <c r="T76" s="128"/>
      <c r="U76" s="12"/>
      <c r="V76" s="12"/>
    </row>
    <row r="77" spans="1:22">
      <c r="A77" s="17"/>
      <c r="B77" s="121">
        <v>2019</v>
      </c>
      <c r="C77" s="122">
        <f t="shared" ref="C77:C81" si="18">+C69+D69+E69+H69+I69+J69+K69+N69+O69+P69+Q69+T69</f>
        <v>51512.584203103725</v>
      </c>
      <c r="D77" s="119"/>
      <c r="E77" s="127"/>
      <c r="F77" s="127"/>
      <c r="G77" s="127"/>
      <c r="H77" s="119"/>
      <c r="I77" s="127"/>
      <c r="J77" s="127"/>
      <c r="K77" s="127"/>
      <c r="L77" s="127"/>
      <c r="M77" s="119"/>
      <c r="N77" s="127"/>
      <c r="O77" s="119"/>
      <c r="P77" s="127"/>
      <c r="Q77" s="127"/>
      <c r="R77" s="127"/>
      <c r="S77" s="119"/>
      <c r="T77" s="128"/>
      <c r="U77" s="12"/>
      <c r="V77" s="12"/>
    </row>
    <row r="78" spans="1:22">
      <c r="A78" s="17"/>
      <c r="B78" s="121">
        <v>2020</v>
      </c>
      <c r="C78" s="122">
        <f t="shared" si="18"/>
        <v>129617.86555889058</v>
      </c>
      <c r="D78" s="119"/>
      <c r="E78" s="127"/>
      <c r="F78" s="127"/>
      <c r="G78" s="127"/>
      <c r="H78" s="119"/>
      <c r="I78" s="127"/>
      <c r="J78" s="127"/>
      <c r="K78" s="127"/>
      <c r="L78" s="127"/>
      <c r="M78" s="119"/>
      <c r="N78" s="127"/>
      <c r="O78" s="119"/>
      <c r="P78" s="127"/>
      <c r="Q78" s="127"/>
      <c r="R78" s="127"/>
      <c r="S78" s="119"/>
      <c r="T78" s="128"/>
      <c r="U78" s="12"/>
      <c r="V78" s="12"/>
    </row>
    <row r="79" spans="1:22">
      <c r="A79" s="17"/>
      <c r="B79" s="121">
        <v>2021</v>
      </c>
      <c r="C79" s="122">
        <f t="shared" si="18"/>
        <v>70794.691783400936</v>
      </c>
      <c r="D79" s="119"/>
      <c r="E79" s="127"/>
      <c r="F79" s="127"/>
      <c r="G79" s="127"/>
      <c r="H79" s="119"/>
      <c r="I79" s="127"/>
      <c r="J79" s="127"/>
      <c r="K79" s="127"/>
      <c r="L79" s="127"/>
      <c r="M79" s="119"/>
      <c r="N79" s="127"/>
      <c r="O79" s="119"/>
      <c r="P79" s="127"/>
      <c r="Q79" s="127"/>
      <c r="R79" s="127"/>
      <c r="S79" s="119"/>
      <c r="T79" s="128"/>
      <c r="U79" s="12"/>
      <c r="V79" s="12"/>
    </row>
    <row r="80" spans="1:22">
      <c r="A80" s="17"/>
      <c r="B80" s="121">
        <v>2022</v>
      </c>
      <c r="C80" s="122">
        <f t="shared" si="18"/>
        <v>1.4551915228366852E-11</v>
      </c>
      <c r="D80" s="119"/>
      <c r="E80" s="127"/>
      <c r="F80" s="127"/>
      <c r="G80" s="127"/>
      <c r="H80" s="119"/>
      <c r="I80" s="127"/>
      <c r="J80" s="127"/>
      <c r="K80" s="127"/>
      <c r="L80" s="127"/>
      <c r="M80" s="119"/>
      <c r="N80" s="127"/>
      <c r="O80" s="119"/>
      <c r="P80" s="127"/>
      <c r="Q80" s="127"/>
      <c r="R80" s="127"/>
      <c r="S80" s="119"/>
      <c r="T80" s="128"/>
      <c r="U80" s="12"/>
      <c r="V80" s="12"/>
    </row>
    <row r="81" spans="1:22">
      <c r="A81" s="17"/>
      <c r="B81" s="133" t="s">
        <v>323</v>
      </c>
      <c r="C81" s="122">
        <f t="shared" si="18"/>
        <v>0</v>
      </c>
      <c r="D81" s="119"/>
      <c r="E81" s="127"/>
      <c r="F81" s="127"/>
      <c r="G81" s="127"/>
      <c r="H81" s="119"/>
      <c r="I81" s="127"/>
      <c r="J81" s="127"/>
      <c r="K81" s="127"/>
      <c r="L81" s="127"/>
      <c r="M81" s="119"/>
      <c r="N81" s="127"/>
      <c r="O81" s="119"/>
      <c r="P81" s="127"/>
      <c r="Q81" s="127"/>
      <c r="R81" s="127"/>
      <c r="S81" s="119"/>
      <c r="T81" s="128"/>
      <c r="U81" s="12"/>
      <c r="V81" s="12"/>
    </row>
    <row r="82" spans="1:22">
      <c r="A82" s="17"/>
      <c r="B82" s="134"/>
      <c r="C82" s="135"/>
      <c r="D82" s="135"/>
      <c r="E82" s="136"/>
      <c r="F82" s="136"/>
      <c r="G82" s="136"/>
      <c r="H82" s="135"/>
      <c r="I82" s="136"/>
      <c r="J82" s="136"/>
      <c r="K82" s="136"/>
      <c r="L82" s="136"/>
      <c r="M82" s="135"/>
      <c r="N82" s="136"/>
      <c r="O82" s="135"/>
      <c r="P82" s="136"/>
      <c r="Q82" s="136"/>
      <c r="R82" s="136"/>
      <c r="S82" s="135"/>
      <c r="T82" s="137"/>
      <c r="U82" s="12"/>
      <c r="V82" s="12"/>
    </row>
    <row r="83" spans="1:22">
      <c r="A83" s="17"/>
      <c r="F83" s="12"/>
      <c r="G83" s="12"/>
      <c r="H83" s="12"/>
      <c r="J83" s="12"/>
      <c r="K83" s="12"/>
      <c r="L83" s="12"/>
      <c r="M83" s="12"/>
      <c r="O83" s="12"/>
      <c r="P83" s="12"/>
      <c r="Q83" s="12"/>
      <c r="R83" s="12"/>
      <c r="T83" s="12"/>
      <c r="U83" s="12"/>
      <c r="V83" s="12"/>
    </row>
    <row r="85" spans="1:22" ht="18" customHeight="1"/>
    <row r="87" spans="1:22">
      <c r="A87" s="28"/>
      <c r="B87" s="29" t="s">
        <v>332</v>
      </c>
      <c r="C87" s="29"/>
      <c r="D87" s="29"/>
      <c r="E87" s="30" t="s">
        <v>307</v>
      </c>
      <c r="F87" s="31" t="s">
        <v>308</v>
      </c>
      <c r="I87" s="22" t="s">
        <v>310</v>
      </c>
      <c r="J87" s="23"/>
      <c r="K87" s="23"/>
      <c r="L87" s="24"/>
    </row>
    <row r="88" spans="1:22">
      <c r="A88" s="161"/>
      <c r="B88" s="33"/>
      <c r="C88" s="33"/>
      <c r="D88" s="33"/>
      <c r="E88" s="125"/>
      <c r="F88" s="126"/>
      <c r="I88" s="25"/>
      <c r="J88" s="19"/>
      <c r="K88" s="19"/>
      <c r="L88" s="20"/>
    </row>
    <row r="89" spans="1:22">
      <c r="A89" s="32" t="s">
        <v>484</v>
      </c>
      <c r="B89" s="51"/>
      <c r="C89" s="33"/>
      <c r="D89" s="33"/>
      <c r="E89" s="125"/>
      <c r="F89" s="126"/>
      <c r="I89" s="25"/>
      <c r="J89" s="19"/>
      <c r="K89" s="19"/>
      <c r="L89" s="20"/>
    </row>
    <row r="90" spans="1:22" ht="30">
      <c r="A90" s="32"/>
      <c r="B90" s="35"/>
      <c r="C90" s="33"/>
      <c r="D90" s="33"/>
      <c r="E90" s="125"/>
      <c r="F90" s="126"/>
      <c r="I90" s="25"/>
      <c r="J90" s="130" t="s">
        <v>408</v>
      </c>
      <c r="K90" s="130" t="s">
        <v>409</v>
      </c>
      <c r="L90" s="131" t="s">
        <v>311</v>
      </c>
    </row>
    <row r="91" spans="1:22" ht="30">
      <c r="A91" s="184">
        <v>1</v>
      </c>
      <c r="B91" s="35" t="s">
        <v>485</v>
      </c>
      <c r="C91" s="33"/>
      <c r="D91" s="33"/>
      <c r="E91" s="157">
        <f>IF(F13&gt;Info!C24,F13-Info!C24,0)</f>
        <v>80075.009999999995</v>
      </c>
      <c r="F91" s="156">
        <f>IF(Info!C24&gt;F13,Info!C24-F13,0)</f>
        <v>0</v>
      </c>
      <c r="I91" s="25"/>
      <c r="J91" s="19"/>
      <c r="K91" s="19"/>
      <c r="L91" s="20"/>
    </row>
    <row r="92" spans="1:22">
      <c r="A92" s="184"/>
      <c r="B92" s="35" t="s">
        <v>401</v>
      </c>
      <c r="C92" s="33"/>
      <c r="D92" s="33"/>
      <c r="E92" s="157">
        <f>F91</f>
        <v>0</v>
      </c>
      <c r="F92" s="156">
        <f>E91</f>
        <v>80075.009999999995</v>
      </c>
      <c r="I92" s="25" t="s">
        <v>312</v>
      </c>
      <c r="J92" s="21">
        <f>-H13</f>
        <v>-649806</v>
      </c>
      <c r="K92" s="21">
        <f>J13+K13+L13+M13-O13-P13-Q13-R13</f>
        <v>301127</v>
      </c>
      <c r="L92" s="26">
        <f>V13</f>
        <v>124304</v>
      </c>
    </row>
    <row r="93" spans="1:22">
      <c r="A93" s="184"/>
      <c r="B93" s="35"/>
      <c r="C93" s="33"/>
      <c r="D93" s="33"/>
      <c r="E93" s="125"/>
      <c r="F93" s="126"/>
      <c r="I93" s="25" t="s">
        <v>313</v>
      </c>
      <c r="J93" s="21">
        <f>-H18+E97-F97+E143-F143+E149-F149+E161-F161+E167-F167+E173-F173+E190-F190+E211-F211</f>
        <v>-649806.66826377739</v>
      </c>
      <c r="K93" s="21">
        <f>J18+K18+L18+M18-O18-P18-Q18-R18-E135+F135+E141-F141+E142-F142+E147-F147+E148-F148-F153+E154+E159-F160+E165-F166+E171-F172-F177+E178-F179+E180-F181+E182-E211+F211</f>
        <v>301126.6782637774</v>
      </c>
      <c r="L93" s="26">
        <f>E92-F92+E135-F135+E155-F155+E183-F183+E189-F189</f>
        <v>44228.989999999991</v>
      </c>
    </row>
    <row r="94" spans="1:22" ht="150">
      <c r="A94" s="184" t="s">
        <v>486</v>
      </c>
      <c r="B94" s="207" t="s">
        <v>531</v>
      </c>
      <c r="C94" s="207"/>
      <c r="D94" s="207"/>
      <c r="E94" s="207"/>
      <c r="F94" s="126"/>
      <c r="I94" s="208" t="s">
        <v>487</v>
      </c>
      <c r="J94" s="21">
        <f>J92-J93</f>
        <v>0.66826377739198506</v>
      </c>
      <c r="K94" s="21">
        <f>K92-K93</f>
        <v>0.32173622259870172</v>
      </c>
      <c r="L94" s="26">
        <f>L92-L93</f>
        <v>80075.010000000009</v>
      </c>
    </row>
    <row r="95" spans="1:22" ht="30">
      <c r="A95" s="158" t="s">
        <v>488</v>
      </c>
      <c r="B95" s="35" t="s">
        <v>398</v>
      </c>
      <c r="C95" s="35"/>
      <c r="D95" s="35"/>
      <c r="E95" s="36"/>
      <c r="F95" s="37"/>
      <c r="I95" s="208"/>
      <c r="J95" s="174"/>
      <c r="K95" s="19"/>
      <c r="L95" s="175"/>
    </row>
    <row r="96" spans="1:22">
      <c r="A96" s="34"/>
      <c r="B96" s="35"/>
      <c r="C96" s="35"/>
      <c r="D96" s="35"/>
      <c r="E96" s="36"/>
      <c r="F96" s="37"/>
      <c r="I96" s="25"/>
      <c r="J96" s="19"/>
      <c r="K96" s="19"/>
      <c r="L96" s="20"/>
    </row>
    <row r="97" spans="1:12" ht="45">
      <c r="A97" s="34"/>
      <c r="B97" s="35" t="s">
        <v>399</v>
      </c>
      <c r="C97" s="35"/>
      <c r="D97" s="35"/>
      <c r="E97" s="36">
        <f>F13</f>
        <v>80075.009999999995</v>
      </c>
      <c r="F97" s="37"/>
      <c r="I97" s="208" t="s">
        <v>489</v>
      </c>
      <c r="J97" s="174"/>
      <c r="K97" s="174"/>
      <c r="L97" s="175">
        <f>E92-F92</f>
        <v>-80075.009999999995</v>
      </c>
    </row>
    <row r="98" spans="1:12">
      <c r="A98" s="34"/>
      <c r="B98" s="109" t="s">
        <v>397</v>
      </c>
      <c r="C98" s="35"/>
      <c r="D98" s="35"/>
      <c r="E98" s="36"/>
      <c r="F98" s="37">
        <f>E97</f>
        <v>80075.009999999995</v>
      </c>
      <c r="I98" s="25"/>
      <c r="J98" s="174"/>
      <c r="K98" s="174"/>
      <c r="L98" s="175"/>
    </row>
    <row r="99" spans="1:12">
      <c r="A99" s="34"/>
      <c r="B99" s="109"/>
      <c r="C99" s="35"/>
      <c r="D99" s="35"/>
      <c r="E99" s="36"/>
      <c r="F99" s="37"/>
      <c r="I99" s="27" t="s">
        <v>281</v>
      </c>
      <c r="J99" s="209">
        <f>J94+J95</f>
        <v>0.66826377739198506</v>
      </c>
      <c r="K99" s="209">
        <f>K94+K95</f>
        <v>0.32173622259870172</v>
      </c>
      <c r="L99" s="210">
        <f>L94+L95+L97</f>
        <v>0</v>
      </c>
    </row>
    <row r="100" spans="1:12" ht="75">
      <c r="A100" s="34"/>
      <c r="B100" s="35" t="s">
        <v>490</v>
      </c>
      <c r="C100" s="35"/>
      <c r="D100" s="35"/>
      <c r="E100" s="36"/>
      <c r="F100" s="37"/>
      <c r="I100" s="73"/>
      <c r="J100" s="211"/>
      <c r="K100" s="211"/>
      <c r="L100" s="211"/>
    </row>
    <row r="101" spans="1:12">
      <c r="A101" s="34"/>
      <c r="B101" s="35"/>
      <c r="C101" s="35"/>
      <c r="D101" s="35"/>
      <c r="E101" s="36"/>
      <c r="F101" s="37"/>
      <c r="I101" s="73"/>
      <c r="J101" s="211"/>
      <c r="K101" s="211"/>
      <c r="L101" s="211"/>
    </row>
    <row r="102" spans="1:12">
      <c r="A102" s="34" t="s">
        <v>491</v>
      </c>
      <c r="B102" s="35"/>
      <c r="C102" s="35"/>
      <c r="D102" s="35"/>
      <c r="E102" s="36"/>
      <c r="F102" s="37"/>
      <c r="I102" s="73"/>
      <c r="J102" s="211"/>
      <c r="K102" s="211"/>
      <c r="L102" s="211"/>
    </row>
    <row r="103" spans="1:12">
      <c r="A103" s="34"/>
      <c r="B103" s="35"/>
      <c r="C103" s="35"/>
      <c r="D103" s="35"/>
      <c r="E103" s="36"/>
      <c r="F103" s="37"/>
      <c r="I103" s="73"/>
      <c r="J103" s="211"/>
      <c r="K103" s="211"/>
      <c r="L103" s="211"/>
    </row>
    <row r="104" spans="1:12" ht="30">
      <c r="A104" s="34">
        <v>3</v>
      </c>
      <c r="B104" s="35" t="s">
        <v>414</v>
      </c>
      <c r="C104" s="35"/>
      <c r="D104" s="35"/>
      <c r="E104" s="36"/>
      <c r="F104" s="37"/>
      <c r="I104" s="73"/>
      <c r="J104" s="211"/>
      <c r="K104" s="211"/>
      <c r="L104" s="211"/>
    </row>
    <row r="105" spans="1:12">
      <c r="A105" s="34"/>
      <c r="B105" s="35"/>
      <c r="C105" s="35"/>
      <c r="D105" s="35"/>
      <c r="E105" s="36"/>
      <c r="F105" s="37"/>
      <c r="I105" s="73"/>
      <c r="J105" s="73"/>
      <c r="K105" s="73"/>
      <c r="L105" s="73"/>
    </row>
    <row r="106" spans="1:12" ht="30">
      <c r="A106" s="34"/>
      <c r="B106" s="35" t="s">
        <v>440</v>
      </c>
      <c r="C106" s="35"/>
      <c r="D106" s="35"/>
      <c r="E106" s="36">
        <f>IF(C54&gt;0,IF(C56&gt;0,C56,0),0)</f>
        <v>0</v>
      </c>
      <c r="F106" s="37">
        <f>IF(C54&gt;0,IF(C56&lt;0,-C56,0),0)</f>
        <v>0</v>
      </c>
      <c r="I106" s="73"/>
      <c r="J106" s="73"/>
      <c r="K106" s="73"/>
      <c r="L106" s="73"/>
    </row>
    <row r="107" spans="1:12" ht="30">
      <c r="A107" s="34"/>
      <c r="B107" s="35" t="s">
        <v>441</v>
      </c>
      <c r="C107" s="35"/>
      <c r="D107" s="35"/>
      <c r="E107" s="36">
        <f>IF(C54&lt;0,IF(C56&gt;0,C56,0),0)</f>
        <v>0</v>
      </c>
      <c r="F107" s="37">
        <f>IF(C54&lt;0,IF(C56&lt;0,-C56,0),0)</f>
        <v>422.48134249402938</v>
      </c>
      <c r="I107" s="73"/>
      <c r="J107" s="73"/>
      <c r="K107" s="73"/>
      <c r="L107" s="73"/>
    </row>
    <row r="108" spans="1:12" ht="30">
      <c r="A108" s="34"/>
      <c r="B108" s="35" t="s">
        <v>442</v>
      </c>
      <c r="C108" s="35"/>
      <c r="D108" s="35"/>
      <c r="E108" s="36">
        <f>IF(D54&gt;0,IF(D56&gt;0,D56,0),0)</f>
        <v>0</v>
      </c>
      <c r="F108" s="37">
        <f>IF(D54&gt;0,IF(D56&lt;0,-D56,0),0)</f>
        <v>0</v>
      </c>
      <c r="I108" s="73"/>
      <c r="J108" s="73"/>
      <c r="K108" s="73"/>
      <c r="L108" s="73"/>
    </row>
    <row r="109" spans="1:12" ht="30">
      <c r="A109" s="34"/>
      <c r="B109" s="35" t="s">
        <v>443</v>
      </c>
      <c r="C109" s="35"/>
      <c r="D109" s="35"/>
      <c r="E109" s="36">
        <f>IF(D54&lt;0,IF(D56&gt;0,D56,0),0)</f>
        <v>0</v>
      </c>
      <c r="F109" s="37">
        <f>IF(D54&lt;0,IF(D56&lt;0,-D56,0),0)</f>
        <v>6238.8559738133918</v>
      </c>
      <c r="I109" s="73"/>
      <c r="J109" s="73"/>
      <c r="K109" s="73"/>
      <c r="L109" s="73"/>
    </row>
    <row r="110" spans="1:12" ht="30">
      <c r="A110" s="34"/>
      <c r="B110" s="35" t="s">
        <v>492</v>
      </c>
      <c r="C110" s="35"/>
      <c r="D110" s="35"/>
      <c r="E110" s="36">
        <f>IF(I54&gt;0,IF(I56&gt;0,I56,0),0)</f>
        <v>0</v>
      </c>
      <c r="F110" s="37">
        <f>IF(I54&gt;0,IF(I56&lt;0,-I56,0),0)</f>
        <v>0</v>
      </c>
      <c r="I110" s="73"/>
      <c r="J110" s="73"/>
      <c r="K110" s="73"/>
      <c r="L110" s="73"/>
    </row>
    <row r="111" spans="1:12" ht="30">
      <c r="A111" s="34"/>
      <c r="B111" s="35" t="s">
        <v>493</v>
      </c>
      <c r="C111" s="35"/>
      <c r="D111" s="35"/>
      <c r="E111" s="36">
        <f>IF(I54&lt;0,IF(I56&gt;0,I56,0),0)</f>
        <v>0</v>
      </c>
      <c r="F111" s="37">
        <f>IF(I54&lt;0,IF(I56&lt;0,-I56,0),0)</f>
        <v>457.44181561822006</v>
      </c>
      <c r="I111" s="73"/>
      <c r="J111" s="73"/>
      <c r="K111" s="73"/>
      <c r="L111" s="73"/>
    </row>
    <row r="112" spans="1:12" ht="30">
      <c r="A112" s="34"/>
      <c r="B112" s="35" t="s">
        <v>494</v>
      </c>
      <c r="C112" s="35"/>
      <c r="D112" s="35"/>
      <c r="E112" s="36">
        <f>IF(J54&gt;0,IF(J56&gt;0,J56,0),0)</f>
        <v>5400.4154399999825</v>
      </c>
      <c r="F112" s="37">
        <f>IF(J54&gt;0,IF(J56&lt;0,-J56,0),0)</f>
        <v>0</v>
      </c>
      <c r="I112" s="73"/>
      <c r="J112" s="73"/>
      <c r="K112" s="73"/>
      <c r="L112" s="73"/>
    </row>
    <row r="113" spans="1:12" ht="30">
      <c r="A113" s="34"/>
      <c r="B113" s="35" t="s">
        <v>495</v>
      </c>
      <c r="C113" s="35"/>
      <c r="D113" s="35"/>
      <c r="E113" s="36">
        <f>IF(J54&lt;0,IF(J56&gt;0,J56,0),0)</f>
        <v>0</v>
      </c>
      <c r="F113" s="37">
        <f>IF(J54&lt;0,IF(J56&lt;0,-J56,0),0)</f>
        <v>0</v>
      </c>
      <c r="I113" s="73"/>
      <c r="J113" s="73"/>
      <c r="K113" s="73"/>
      <c r="L113" s="73"/>
    </row>
    <row r="114" spans="1:12" ht="45">
      <c r="A114" s="34"/>
      <c r="B114" s="129" t="s">
        <v>496</v>
      </c>
      <c r="C114" s="35"/>
      <c r="D114" s="35"/>
      <c r="E114" s="36">
        <f>IF(T60&gt;0,IF(R56&gt;0,R56,0),0)</f>
        <v>0</v>
      </c>
      <c r="F114" s="37">
        <f>IF(T60&gt;0,IF(R56&lt;0,-R56,0),0)</f>
        <v>0</v>
      </c>
      <c r="I114" s="73"/>
      <c r="J114" s="73"/>
      <c r="K114" s="73"/>
      <c r="L114" s="73"/>
    </row>
    <row r="115" spans="1:12" ht="45">
      <c r="A115" s="34"/>
      <c r="B115" s="129" t="s">
        <v>497</v>
      </c>
      <c r="C115" s="35"/>
      <c r="D115" s="35"/>
      <c r="E115" s="36">
        <f>IF(T60&lt;0,IF(R56&gt;0,R56,0),0)</f>
        <v>1718.3636919256587</v>
      </c>
      <c r="F115" s="37">
        <f>IF(T60&lt;0,IF(R56&lt;0,-R56,0),0)</f>
        <v>0</v>
      </c>
      <c r="I115" s="73"/>
      <c r="J115" s="73"/>
      <c r="K115" s="73"/>
      <c r="L115" s="73"/>
    </row>
    <row r="116" spans="1:12">
      <c r="A116" s="34"/>
      <c r="B116" s="35"/>
      <c r="C116" s="35"/>
      <c r="D116" s="35"/>
      <c r="E116" s="36"/>
      <c r="F116" s="37"/>
      <c r="I116" s="73"/>
      <c r="J116" s="73"/>
      <c r="K116" s="73"/>
      <c r="L116" s="73"/>
    </row>
    <row r="117" spans="1:12" ht="30">
      <c r="A117" s="34">
        <v>4</v>
      </c>
      <c r="B117" s="35" t="s">
        <v>498</v>
      </c>
      <c r="C117" s="35"/>
      <c r="D117" s="35"/>
      <c r="E117" s="36"/>
      <c r="F117" s="37"/>
      <c r="I117" s="73"/>
      <c r="J117" s="73"/>
      <c r="K117" s="73"/>
      <c r="L117" s="73"/>
    </row>
    <row r="118" spans="1:12">
      <c r="A118" s="34"/>
      <c r="B118" s="35"/>
      <c r="C118" s="35"/>
      <c r="D118" s="35"/>
      <c r="E118" s="36"/>
      <c r="F118" s="37"/>
      <c r="I118" s="73"/>
      <c r="J118" s="73"/>
      <c r="K118" s="73"/>
      <c r="L118" s="73"/>
    </row>
    <row r="119" spans="1:12" ht="30">
      <c r="A119" s="34"/>
      <c r="B119" s="35" t="s">
        <v>440</v>
      </c>
      <c r="C119" s="35"/>
      <c r="D119" s="35"/>
      <c r="E119" s="36"/>
      <c r="F119" s="37">
        <f>IF(C62&gt;0,C62,0)</f>
        <v>0</v>
      </c>
      <c r="I119" s="73"/>
      <c r="J119" s="73"/>
      <c r="K119" s="73"/>
      <c r="L119" s="73"/>
    </row>
    <row r="120" spans="1:12" ht="30">
      <c r="A120" s="34"/>
      <c r="B120" s="35" t="s">
        <v>441</v>
      </c>
      <c r="C120" s="35"/>
      <c r="D120" s="35"/>
      <c r="E120" s="36">
        <f>IF(C62&lt;0,-C62,0)</f>
        <v>5098.042484097612</v>
      </c>
      <c r="F120" s="37"/>
      <c r="I120" s="73"/>
      <c r="J120" s="73"/>
      <c r="K120" s="73"/>
      <c r="L120" s="73"/>
    </row>
    <row r="121" spans="1:12" ht="30">
      <c r="A121" s="34"/>
      <c r="B121" s="129" t="s">
        <v>442</v>
      </c>
      <c r="C121" s="35"/>
      <c r="D121" s="35"/>
      <c r="E121" s="36"/>
      <c r="F121" s="37">
        <f>IF(D62&gt;0,D62,0)</f>
        <v>0</v>
      </c>
      <c r="I121" s="73"/>
      <c r="J121" s="73"/>
      <c r="K121" s="73"/>
      <c r="L121" s="73"/>
    </row>
    <row r="122" spans="1:12" ht="30">
      <c r="A122" s="34"/>
      <c r="B122" s="129" t="s">
        <v>443</v>
      </c>
      <c r="C122" s="35"/>
      <c r="D122" s="35"/>
      <c r="E122" s="36">
        <f>IF(D62&lt;0,-D62,0)</f>
        <v>70013.828150572823</v>
      </c>
      <c r="F122" s="37"/>
      <c r="I122" s="73"/>
      <c r="J122" s="73"/>
      <c r="K122" s="73"/>
      <c r="L122" s="73"/>
    </row>
    <row r="123" spans="1:12">
      <c r="A123" s="34"/>
      <c r="B123" s="35" t="s">
        <v>444</v>
      </c>
      <c r="C123" s="35"/>
      <c r="D123" s="35"/>
      <c r="E123" s="36"/>
      <c r="F123" s="37">
        <f>IF(E62&gt;0,E62,0)</f>
        <v>0</v>
      </c>
      <c r="I123" s="73"/>
      <c r="J123" s="73"/>
      <c r="K123" s="73"/>
      <c r="L123" s="73"/>
    </row>
    <row r="124" spans="1:12">
      <c r="A124" s="34"/>
      <c r="B124" s="35" t="s">
        <v>445</v>
      </c>
      <c r="C124" s="35"/>
      <c r="D124" s="35"/>
      <c r="E124" s="36">
        <f>IF(E62&lt;0,-E62,0)</f>
        <v>0</v>
      </c>
      <c r="F124" s="37"/>
      <c r="I124" s="73"/>
      <c r="J124" s="73"/>
      <c r="K124" s="73"/>
      <c r="L124" s="73"/>
    </row>
    <row r="125" spans="1:12" ht="45">
      <c r="A125" s="34"/>
      <c r="B125" s="35" t="s">
        <v>499</v>
      </c>
      <c r="C125" s="35"/>
      <c r="D125" s="35"/>
      <c r="E125" s="36"/>
      <c r="F125" s="37">
        <f>IF(H62&gt;0,H62,0)</f>
        <v>0</v>
      </c>
      <c r="I125" s="73"/>
      <c r="J125" s="73"/>
      <c r="K125" s="73"/>
      <c r="L125" s="73"/>
    </row>
    <row r="126" spans="1:12" ht="45">
      <c r="A126" s="34"/>
      <c r="B126" s="35" t="s">
        <v>446</v>
      </c>
      <c r="C126" s="35"/>
      <c r="D126" s="35"/>
      <c r="E126" s="36">
        <f>IF(H62&lt;0,-H62,0)</f>
        <v>5904.8707515221058</v>
      </c>
      <c r="F126" s="37"/>
      <c r="I126" s="73"/>
      <c r="J126" s="73"/>
      <c r="K126" s="73"/>
      <c r="L126" s="73"/>
    </row>
    <row r="127" spans="1:12" ht="30">
      <c r="A127" s="34"/>
      <c r="B127" s="35" t="s">
        <v>492</v>
      </c>
      <c r="C127" s="35"/>
      <c r="D127" s="35"/>
      <c r="E127" s="36"/>
      <c r="F127" s="37">
        <f>IF(I62&gt;0,I62,0)</f>
        <v>0</v>
      </c>
      <c r="I127" s="73"/>
      <c r="J127" s="73"/>
      <c r="K127" s="73"/>
      <c r="L127" s="73"/>
    </row>
    <row r="128" spans="1:12" ht="30">
      <c r="A128" s="34"/>
      <c r="B128" s="35" t="s">
        <v>493</v>
      </c>
      <c r="C128" s="35"/>
      <c r="D128" s="35"/>
      <c r="E128" s="36">
        <f>IF(I62&lt;0,-I62,0)</f>
        <v>4266.0778741865506</v>
      </c>
      <c r="F128" s="37"/>
      <c r="I128" s="73"/>
      <c r="J128" s="73"/>
      <c r="K128" s="73"/>
      <c r="L128" s="73"/>
    </row>
    <row r="129" spans="1:12" ht="30">
      <c r="A129" s="34"/>
      <c r="B129" s="129" t="s">
        <v>494</v>
      </c>
      <c r="C129" s="35"/>
      <c r="D129" s="35"/>
      <c r="E129" s="36"/>
      <c r="F129" s="37">
        <f>IF(J62&gt;0,J62,0)</f>
        <v>45453.496619999998</v>
      </c>
      <c r="I129" s="73"/>
      <c r="J129" s="73"/>
      <c r="K129" s="73"/>
      <c r="L129" s="73"/>
    </row>
    <row r="130" spans="1:12" ht="30">
      <c r="A130" s="34"/>
      <c r="B130" s="129" t="s">
        <v>495</v>
      </c>
      <c r="C130" s="35"/>
      <c r="D130" s="35"/>
      <c r="E130" s="36">
        <f>IF(J62&lt;0,-J62,0)</f>
        <v>0</v>
      </c>
      <c r="F130" s="37"/>
      <c r="I130" s="73"/>
      <c r="J130" s="73"/>
      <c r="K130" s="73"/>
      <c r="L130" s="73"/>
    </row>
    <row r="131" spans="1:12">
      <c r="A131" s="34"/>
      <c r="B131" s="35" t="s">
        <v>500</v>
      </c>
      <c r="C131" s="35"/>
      <c r="D131" s="35"/>
      <c r="E131" s="36"/>
      <c r="F131" s="37">
        <f>IF(K62&gt;0,K62,0)</f>
        <v>0</v>
      </c>
      <c r="I131" s="73"/>
      <c r="J131" s="73"/>
      <c r="K131" s="73"/>
      <c r="L131" s="73"/>
    </row>
    <row r="132" spans="1:12">
      <c r="A132" s="34"/>
      <c r="B132" s="35" t="s">
        <v>501</v>
      </c>
      <c r="C132" s="35"/>
      <c r="D132" s="35"/>
      <c r="E132" s="36">
        <f>IF(K62&lt;0,-K62,0)</f>
        <v>0</v>
      </c>
      <c r="F132" s="37"/>
      <c r="I132" s="73"/>
      <c r="J132" s="73"/>
      <c r="K132" s="73"/>
      <c r="L132" s="73"/>
    </row>
    <row r="133" spans="1:12" ht="45">
      <c r="A133" s="34"/>
      <c r="B133" s="35" t="s">
        <v>502</v>
      </c>
      <c r="C133" s="35"/>
      <c r="D133" s="35"/>
      <c r="E133" s="36"/>
      <c r="F133" s="37">
        <f>IF(N62&gt;0,N62,0)</f>
        <v>5806.7144150212189</v>
      </c>
      <c r="I133" s="73"/>
      <c r="J133" s="73"/>
      <c r="K133" s="73"/>
      <c r="L133" s="73"/>
    </row>
    <row r="134" spans="1:12" ht="45">
      <c r="A134" s="34"/>
      <c r="B134" s="35" t="s">
        <v>503</v>
      </c>
      <c r="C134" s="35"/>
      <c r="D134" s="35"/>
      <c r="E134" s="36">
        <f>IF(N62&lt;0,-N62,0)</f>
        <v>0</v>
      </c>
      <c r="F134" s="37"/>
      <c r="I134" s="73"/>
      <c r="J134" s="73"/>
      <c r="K134" s="73"/>
      <c r="L134" s="73"/>
    </row>
    <row r="135" spans="1:12">
      <c r="A135" s="34"/>
      <c r="B135" s="35" t="s">
        <v>401</v>
      </c>
      <c r="C135" s="35"/>
      <c r="D135" s="35"/>
      <c r="E135" s="36">
        <f>IF((E120+E122+E124+E126+E128+E130+E132+E134-F119-F121-F123-F125-F127-F129-F131-F133)&lt;0,F119+F121+F123+F125+F127+F129+F131+F133-E120-E122-E124-E126-E128-E130-E132-E134,0)</f>
        <v>0</v>
      </c>
      <c r="F135" s="37">
        <f>IF((E120+E122+E124+E126+E128+E130+E132+E134-F119-F121-F123-F125-F127-F129-F131-F133)&gt;0,E120+E122+E124+E126+E128+E130+E132+E134-F119-F121-F123-F125-F127-F129-F131-F133,0)</f>
        <v>34022.608225357864</v>
      </c>
      <c r="I135" s="73"/>
      <c r="J135" s="73"/>
      <c r="K135" s="73"/>
      <c r="L135" s="73"/>
    </row>
    <row r="136" spans="1:12">
      <c r="A136" s="34"/>
      <c r="B136" s="35"/>
      <c r="C136" s="35"/>
      <c r="D136" s="35"/>
      <c r="E136" s="36"/>
      <c r="F136" s="37"/>
      <c r="I136" s="73"/>
      <c r="J136" s="73"/>
      <c r="K136" s="73"/>
      <c r="L136" s="73"/>
    </row>
    <row r="137" spans="1:12">
      <c r="A137" s="34" t="s">
        <v>504</v>
      </c>
      <c r="B137" s="35"/>
      <c r="C137" s="35"/>
      <c r="D137" s="35"/>
      <c r="E137" s="36"/>
      <c r="F137" s="37"/>
      <c r="I137" s="73"/>
      <c r="J137" s="73"/>
      <c r="K137" s="73"/>
      <c r="L137" s="73"/>
    </row>
    <row r="138" spans="1:12" ht="15" customHeight="1">
      <c r="A138" s="34"/>
      <c r="B138" s="35"/>
      <c r="C138" s="35"/>
      <c r="D138" s="35"/>
      <c r="E138" s="36"/>
      <c r="F138" s="37"/>
      <c r="I138" s="73"/>
      <c r="J138" s="73"/>
      <c r="K138" s="73"/>
      <c r="L138" s="73"/>
    </row>
    <row r="139" spans="1:12" ht="57" customHeight="1">
      <c r="A139" s="34">
        <v>5</v>
      </c>
      <c r="B139" s="129" t="s">
        <v>433</v>
      </c>
      <c r="C139" s="35"/>
      <c r="D139" s="35"/>
      <c r="E139" s="36"/>
      <c r="F139" s="37"/>
      <c r="I139" s="73"/>
      <c r="J139" s="73"/>
      <c r="K139" s="73"/>
      <c r="L139" s="73"/>
    </row>
    <row r="140" spans="1:12" ht="15" customHeight="1">
      <c r="A140" s="34"/>
      <c r="B140" s="35"/>
      <c r="C140" s="35"/>
      <c r="D140" s="35"/>
      <c r="E140" s="36"/>
      <c r="F140" s="37"/>
      <c r="I140" s="73"/>
      <c r="J140" s="73"/>
      <c r="K140" s="73"/>
      <c r="L140" s="73"/>
    </row>
    <row r="141" spans="1:12">
      <c r="A141" s="34"/>
      <c r="B141" s="35" t="s">
        <v>505</v>
      </c>
      <c r="C141" s="35"/>
      <c r="D141" s="35"/>
      <c r="E141" s="36">
        <f>IF(T60&gt;0,IF(R58&gt;0,R58,0),0)</f>
        <v>0</v>
      </c>
      <c r="F141" s="37">
        <f>IF(T60&gt;0,IF(R58&lt;0,-R58,0),0)</f>
        <v>0</v>
      </c>
      <c r="I141" s="73"/>
      <c r="J141" s="73"/>
      <c r="K141" s="73"/>
      <c r="L141" s="73"/>
    </row>
    <row r="142" spans="1:12">
      <c r="A142" s="34"/>
      <c r="B142" s="35" t="s">
        <v>506</v>
      </c>
      <c r="C142" s="35"/>
      <c r="D142" s="35"/>
      <c r="E142" s="36">
        <f>IF(T60&lt;0,IF(R58&gt;0,R58,0),0)</f>
        <v>7738.9157971649838</v>
      </c>
      <c r="F142" s="37">
        <f>IF(T60&lt;0,IF(R58&lt;0,-R58,0),0)</f>
        <v>0</v>
      </c>
      <c r="I142" s="73"/>
      <c r="J142" s="73"/>
      <c r="K142" s="73"/>
      <c r="L142" s="73"/>
    </row>
    <row r="143" spans="1:12">
      <c r="A143" s="34"/>
      <c r="B143" s="35" t="s">
        <v>399</v>
      </c>
      <c r="C143" s="35"/>
      <c r="D143" s="35"/>
      <c r="E143" s="36">
        <f>F141+F142</f>
        <v>0</v>
      </c>
      <c r="F143" s="37">
        <f>E141+E142</f>
        <v>7738.9157971649838</v>
      </c>
      <c r="I143" s="73"/>
      <c r="J143" s="73"/>
      <c r="K143" s="73"/>
      <c r="L143" s="73"/>
    </row>
    <row r="144" spans="1:12">
      <c r="A144" s="34"/>
      <c r="B144" s="35"/>
      <c r="C144" s="35"/>
      <c r="D144" s="35"/>
      <c r="E144" s="36"/>
      <c r="F144" s="37"/>
      <c r="I144" s="73"/>
      <c r="J144" s="73"/>
      <c r="K144" s="73"/>
      <c r="L144" s="73"/>
    </row>
    <row r="145" spans="1:6" ht="45">
      <c r="A145" s="34">
        <v>6</v>
      </c>
      <c r="B145" s="35" t="s">
        <v>402</v>
      </c>
      <c r="C145" s="35"/>
      <c r="D145" s="35"/>
      <c r="E145" s="36"/>
      <c r="F145" s="37"/>
    </row>
    <row r="146" spans="1:6">
      <c r="A146" s="34"/>
      <c r="B146" s="35"/>
      <c r="C146" s="35"/>
      <c r="D146" s="35"/>
      <c r="E146" s="36"/>
      <c r="F146" s="37"/>
    </row>
    <row r="147" spans="1:6" ht="30">
      <c r="A147" s="34"/>
      <c r="B147" s="35" t="s">
        <v>457</v>
      </c>
      <c r="C147" s="35"/>
      <c r="D147" s="35"/>
      <c r="E147" s="36">
        <f>IF(T60&gt;0,IF(S60&gt;0,S60,0),0)</f>
        <v>0</v>
      </c>
      <c r="F147" s="37">
        <f>IF(T60&gt;0,IF(S60&lt;0,-S60,0),0)</f>
        <v>0</v>
      </c>
    </row>
    <row r="148" spans="1:6" ht="30">
      <c r="A148" s="34"/>
      <c r="B148" s="35" t="s">
        <v>458</v>
      </c>
      <c r="C148" s="35"/>
      <c r="D148" s="35"/>
      <c r="E148" s="36">
        <f>IF(T60&lt;0,IF(S60&gt;0,S60,0),0)</f>
        <v>0</v>
      </c>
      <c r="F148" s="37">
        <f>IF(T60&lt;0,IF(S60&lt;0,-S60,0),0)</f>
        <v>9869.1334097640065</v>
      </c>
    </row>
    <row r="149" spans="1:6">
      <c r="A149" s="34"/>
      <c r="B149" s="35" t="s">
        <v>399</v>
      </c>
      <c r="C149" s="35"/>
      <c r="D149" s="35"/>
      <c r="E149" s="36">
        <f>F147+F148</f>
        <v>9869.1334097640065</v>
      </c>
      <c r="F149" s="37">
        <f>+E147+E148</f>
        <v>0</v>
      </c>
    </row>
    <row r="150" spans="1:6">
      <c r="A150" s="34"/>
      <c r="B150" s="35"/>
      <c r="C150" s="35"/>
      <c r="D150" s="35"/>
      <c r="E150" s="38"/>
      <c r="F150" s="39"/>
    </row>
    <row r="151" spans="1:6" ht="30">
      <c r="A151" s="34">
        <v>7</v>
      </c>
      <c r="B151" s="35" t="s">
        <v>403</v>
      </c>
      <c r="C151" s="40"/>
      <c r="D151" s="40"/>
      <c r="E151" s="36"/>
      <c r="F151" s="37"/>
    </row>
    <row r="152" spans="1:6">
      <c r="A152" s="34"/>
      <c r="B152" s="35"/>
      <c r="C152" s="35"/>
      <c r="D152" s="35"/>
      <c r="E152" s="36"/>
      <c r="F152" s="37"/>
    </row>
    <row r="153" spans="1:6" ht="45">
      <c r="A153" s="34"/>
      <c r="B153" s="35" t="s">
        <v>447</v>
      </c>
      <c r="C153" s="35"/>
      <c r="D153" s="35"/>
      <c r="E153" s="36"/>
      <c r="F153" s="37">
        <f>IF(T62&gt;0,T62,0)</f>
        <v>0</v>
      </c>
    </row>
    <row r="154" spans="1:6" ht="45">
      <c r="A154" s="34"/>
      <c r="B154" s="35" t="s">
        <v>448</v>
      </c>
      <c r="C154" s="35"/>
      <c r="D154" s="35"/>
      <c r="E154" s="36">
        <f>IF(T62&lt;0,-T62,0)</f>
        <v>91.726931107653442</v>
      </c>
      <c r="F154" s="37"/>
    </row>
    <row r="155" spans="1:6">
      <c r="A155" s="34"/>
      <c r="B155" s="35" t="s">
        <v>401</v>
      </c>
      <c r="C155" s="35"/>
      <c r="D155" s="35"/>
      <c r="E155" s="36">
        <f>F153</f>
        <v>0</v>
      </c>
      <c r="F155" s="37">
        <f>E154</f>
        <v>91.726931107653442</v>
      </c>
    </row>
    <row r="156" spans="1:6">
      <c r="A156" s="34"/>
      <c r="B156" s="35"/>
      <c r="C156" s="35"/>
      <c r="D156" s="35"/>
      <c r="E156" s="38"/>
      <c r="F156" s="39"/>
    </row>
    <row r="157" spans="1:6" ht="30">
      <c r="A157" s="34">
        <v>8</v>
      </c>
      <c r="B157" s="35" t="s">
        <v>415</v>
      </c>
      <c r="C157" s="35"/>
      <c r="D157" s="35"/>
      <c r="E157" s="38"/>
      <c r="F157" s="39"/>
    </row>
    <row r="158" spans="1:6">
      <c r="A158" s="34"/>
      <c r="B158" s="35"/>
      <c r="C158" s="35"/>
      <c r="D158" s="35"/>
      <c r="E158" s="36"/>
      <c r="F158" s="37"/>
    </row>
    <row r="159" spans="1:6" ht="30">
      <c r="A159" s="34"/>
      <c r="B159" s="35" t="s">
        <v>449</v>
      </c>
      <c r="C159" s="40"/>
      <c r="D159" s="40"/>
      <c r="E159" s="36">
        <f>IF(O60&gt;0,O60,0)</f>
        <v>0</v>
      </c>
      <c r="F159" s="37"/>
    </row>
    <row r="160" spans="1:6" ht="30">
      <c r="A160" s="34"/>
      <c r="B160" s="35" t="s">
        <v>450</v>
      </c>
      <c r="C160" s="40"/>
      <c r="D160" s="40"/>
      <c r="E160" s="36"/>
      <c r="F160" s="37">
        <f>IF(O60&lt;0,-O60,0)</f>
        <v>13445.5846</v>
      </c>
    </row>
    <row r="161" spans="1:6">
      <c r="A161" s="34"/>
      <c r="B161" s="35" t="s">
        <v>399</v>
      </c>
      <c r="C161" s="35"/>
      <c r="D161" s="35"/>
      <c r="E161" s="36">
        <f>F160</f>
        <v>13445.5846</v>
      </c>
      <c r="F161" s="37">
        <f>E159</f>
        <v>0</v>
      </c>
    </row>
    <row r="162" spans="1:6">
      <c r="A162" s="34"/>
      <c r="B162" s="35"/>
      <c r="C162" s="35"/>
      <c r="D162" s="35"/>
      <c r="E162" s="38"/>
      <c r="F162" s="39"/>
    </row>
    <row r="163" spans="1:6" ht="30">
      <c r="A163" s="34">
        <v>9</v>
      </c>
      <c r="B163" s="35" t="s">
        <v>404</v>
      </c>
      <c r="C163" s="35"/>
      <c r="D163" s="35"/>
      <c r="E163" s="38"/>
      <c r="F163" s="39"/>
    </row>
    <row r="164" spans="1:6">
      <c r="A164" s="34"/>
      <c r="B164" s="35"/>
      <c r="C164" s="35"/>
      <c r="D164" s="35"/>
      <c r="E164" s="38"/>
      <c r="F164" s="39"/>
    </row>
    <row r="165" spans="1:6" ht="30">
      <c r="A165" s="34"/>
      <c r="B165" s="35" t="s">
        <v>451</v>
      </c>
      <c r="C165" s="40"/>
      <c r="D165" s="40"/>
      <c r="E165" s="36">
        <f>IF(P60&gt;0,P60,0)</f>
        <v>294261.24770000001</v>
      </c>
      <c r="F165" s="39"/>
    </row>
    <row r="166" spans="1:6" ht="30">
      <c r="A166" s="34"/>
      <c r="B166" s="35" t="s">
        <v>452</v>
      </c>
      <c r="C166" s="40"/>
      <c r="D166" s="40"/>
      <c r="E166" s="36"/>
      <c r="F166" s="37">
        <f>IF(P60&lt;0,-P60,0)</f>
        <v>0</v>
      </c>
    </row>
    <row r="167" spans="1:6">
      <c r="A167" s="34"/>
      <c r="B167" s="35" t="s">
        <v>399</v>
      </c>
      <c r="C167" s="35"/>
      <c r="D167" s="35"/>
      <c r="E167" s="36">
        <f>F166</f>
        <v>0</v>
      </c>
      <c r="F167" s="37">
        <f>E165</f>
        <v>294261.24770000001</v>
      </c>
    </row>
    <row r="168" spans="1:6">
      <c r="A168" s="34"/>
      <c r="B168" s="35"/>
      <c r="C168" s="35"/>
      <c r="D168" s="35"/>
      <c r="E168" s="38"/>
      <c r="F168" s="39"/>
    </row>
    <row r="169" spans="1:6" ht="30">
      <c r="A169" s="34">
        <v>10</v>
      </c>
      <c r="B169" s="35" t="s">
        <v>405</v>
      </c>
      <c r="C169" s="35"/>
      <c r="D169" s="35"/>
      <c r="E169" s="38"/>
      <c r="F169" s="39"/>
    </row>
    <row r="170" spans="1:6">
      <c r="A170" s="34"/>
      <c r="B170" s="35"/>
      <c r="C170" s="35"/>
      <c r="D170" s="35"/>
      <c r="E170" s="38"/>
      <c r="F170" s="39"/>
    </row>
    <row r="171" spans="1:6">
      <c r="A171" s="34"/>
      <c r="B171" s="35" t="s">
        <v>453</v>
      </c>
      <c r="C171" s="35"/>
      <c r="D171" s="35"/>
      <c r="E171" s="36">
        <f>IF(Q60&gt;0,Q60,0)</f>
        <v>123289.2052</v>
      </c>
      <c r="F171" s="39"/>
    </row>
    <row r="172" spans="1:6">
      <c r="A172" s="34"/>
      <c r="B172" s="35" t="s">
        <v>454</v>
      </c>
      <c r="C172" s="35"/>
      <c r="D172" s="35"/>
      <c r="E172" s="38"/>
      <c r="F172" s="39">
        <f>IF(Q60&lt;0,-Q60,0)</f>
        <v>0</v>
      </c>
    </row>
    <row r="173" spans="1:6">
      <c r="A173" s="34"/>
      <c r="B173" s="35" t="s">
        <v>399</v>
      </c>
      <c r="C173" s="35"/>
      <c r="D173" s="35"/>
      <c r="E173" s="36">
        <f>F172</f>
        <v>0</v>
      </c>
      <c r="F173" s="37">
        <f>E171</f>
        <v>123289.2052</v>
      </c>
    </row>
    <row r="174" spans="1:6">
      <c r="A174" s="34"/>
      <c r="B174" s="40"/>
      <c r="C174" s="40"/>
      <c r="D174" s="40"/>
      <c r="E174" s="36"/>
      <c r="F174" s="37"/>
    </row>
    <row r="175" spans="1:6" ht="30">
      <c r="A175" s="34">
        <v>11</v>
      </c>
      <c r="B175" s="35" t="s">
        <v>406</v>
      </c>
      <c r="C175" s="35"/>
      <c r="D175" s="35"/>
      <c r="E175" s="38"/>
      <c r="F175" s="39"/>
    </row>
    <row r="176" spans="1:6">
      <c r="A176" s="34"/>
      <c r="B176" s="35"/>
      <c r="C176" s="35"/>
      <c r="D176" s="35"/>
      <c r="E176" s="38"/>
      <c r="F176" s="39"/>
    </row>
    <row r="177" spans="1:6" ht="30">
      <c r="A177" s="34"/>
      <c r="B177" s="35" t="s">
        <v>449</v>
      </c>
      <c r="C177" s="35"/>
      <c r="D177" s="35"/>
      <c r="E177" s="38"/>
      <c r="F177" s="37">
        <f>IF(O62&gt;0,O62,0)</f>
        <v>0</v>
      </c>
    </row>
    <row r="178" spans="1:6" ht="30">
      <c r="A178" s="34"/>
      <c r="B178" s="35" t="s">
        <v>450</v>
      </c>
      <c r="C178" s="35"/>
      <c r="D178" s="35"/>
      <c r="E178" s="36">
        <f>IF(O62&lt;0,-O62,0)</f>
        <v>2994.5622717149217</v>
      </c>
      <c r="F178" s="37"/>
    </row>
    <row r="179" spans="1:6" ht="30">
      <c r="A179" s="34"/>
      <c r="B179" s="35" t="s">
        <v>451</v>
      </c>
      <c r="C179" s="35"/>
      <c r="D179" s="35"/>
      <c r="E179" s="38"/>
      <c r="F179" s="37">
        <f>IF(P62&gt;0,P62,0)</f>
        <v>58852.249540000004</v>
      </c>
    </row>
    <row r="180" spans="1:6" ht="30">
      <c r="A180" s="34"/>
      <c r="B180" s="35" t="s">
        <v>452</v>
      </c>
      <c r="C180" s="35"/>
      <c r="D180" s="35"/>
      <c r="E180" s="36">
        <f>IF(P62&lt;0,-P62,0)</f>
        <v>0</v>
      </c>
      <c r="F180" s="37"/>
    </row>
    <row r="181" spans="1:6">
      <c r="A181" s="34"/>
      <c r="B181" s="35" t="s">
        <v>453</v>
      </c>
      <c r="C181" s="35"/>
      <c r="D181" s="35"/>
      <c r="E181" s="38"/>
      <c r="F181" s="37">
        <f>IF(Q62&gt;0,Q62,0)</f>
        <v>27458.620311804007</v>
      </c>
    </row>
    <row r="182" spans="1:6">
      <c r="A182" s="34"/>
      <c r="B182" s="35" t="s">
        <v>454</v>
      </c>
      <c r="C182" s="35"/>
      <c r="D182" s="35"/>
      <c r="E182" s="36">
        <f>IF(Q62&lt;0,-Q62,0)</f>
        <v>0</v>
      </c>
      <c r="F182" s="37"/>
    </row>
    <row r="183" spans="1:6">
      <c r="A183" s="34"/>
      <c r="B183" s="35" t="s">
        <v>401</v>
      </c>
      <c r="C183" s="35"/>
      <c r="D183" s="35"/>
      <c r="E183" s="36">
        <f>IF((F177+F179+F181-E178-E180-E182)&gt;0,F177+F179+F181-E178-E180-E182,0)</f>
        <v>83316.307580089095</v>
      </c>
      <c r="F183" s="37">
        <f>IF((E178+E180+E182-F177-F179-F181)&gt;0,E178+E180+E182-F177-F179-F181,0)</f>
        <v>0</v>
      </c>
    </row>
    <row r="184" spans="1:6">
      <c r="A184" s="34"/>
      <c r="B184" s="35"/>
      <c r="C184" s="35"/>
      <c r="D184" s="35"/>
      <c r="E184" s="38"/>
      <c r="F184" s="39"/>
    </row>
    <row r="185" spans="1:6">
      <c r="A185" s="34" t="s">
        <v>407</v>
      </c>
      <c r="B185" s="35"/>
      <c r="C185" s="35"/>
      <c r="D185" s="35"/>
      <c r="E185" s="38"/>
      <c r="F185" s="39"/>
    </row>
    <row r="186" spans="1:6">
      <c r="A186" s="34"/>
      <c r="B186" s="35"/>
      <c r="C186" s="35"/>
      <c r="D186" s="35"/>
      <c r="E186" s="38"/>
      <c r="F186" s="39"/>
    </row>
    <row r="187" spans="1:6" ht="30">
      <c r="A187" s="34">
        <v>12</v>
      </c>
      <c r="B187" s="35" t="s">
        <v>407</v>
      </c>
      <c r="C187" s="35"/>
      <c r="D187" s="35"/>
      <c r="E187" s="38"/>
      <c r="F187" s="39"/>
    </row>
    <row r="188" spans="1:6">
      <c r="A188" s="34"/>
      <c r="B188" s="35"/>
      <c r="C188" s="35"/>
      <c r="D188" s="35"/>
      <c r="E188" s="36"/>
      <c r="F188" s="37"/>
    </row>
    <row r="189" spans="1:6">
      <c r="A189" s="34"/>
      <c r="B189" s="35" t="s">
        <v>401</v>
      </c>
      <c r="C189" s="35"/>
      <c r="D189" s="35"/>
      <c r="E189" s="36">
        <f>IF((V13-C62-D62-H62-I62-J62-N62-O62-P62-Q62-T62)&gt;0,V13-C62-D62-H62-I62-J62-N62-O62-P62-Q62-T62,0)</f>
        <v>75102.027576376408</v>
      </c>
      <c r="F189" s="37">
        <f>IF((V13-C62-D62-H62-I62-J62-N62-O62-P62-Q62-T62)&lt;0,-V13+C62+D62+H62+I62+J62+N62+O62+P62+Q62+T62,0)</f>
        <v>0</v>
      </c>
    </row>
    <row r="190" spans="1:6">
      <c r="A190" s="34"/>
      <c r="B190" s="35" t="s">
        <v>399</v>
      </c>
      <c r="C190" s="35"/>
      <c r="D190" s="35"/>
      <c r="E190" s="36">
        <f>F189</f>
        <v>0</v>
      </c>
      <c r="F190" s="37">
        <f>E189</f>
        <v>75102.027576376408</v>
      </c>
    </row>
    <row r="191" spans="1:6">
      <c r="A191" s="34"/>
      <c r="B191" s="35"/>
      <c r="C191" s="35"/>
      <c r="D191" s="35"/>
      <c r="E191" s="38"/>
      <c r="F191" s="39"/>
    </row>
    <row r="192" spans="1:6">
      <c r="A192" s="34" t="s">
        <v>434</v>
      </c>
      <c r="B192" s="35"/>
      <c r="C192" s="35"/>
      <c r="D192" s="35"/>
      <c r="E192" s="38"/>
      <c r="F192" s="39"/>
    </row>
    <row r="193" spans="1:13">
      <c r="A193" s="34"/>
      <c r="B193" s="35"/>
      <c r="C193" s="35"/>
      <c r="D193" s="35"/>
      <c r="E193" s="38"/>
      <c r="F193" s="39"/>
    </row>
    <row r="194" spans="1:13" ht="30">
      <c r="A194" s="34">
        <v>13</v>
      </c>
      <c r="B194" s="212" t="s">
        <v>521</v>
      </c>
      <c r="C194" s="163"/>
      <c r="D194" s="35"/>
      <c r="E194" s="38"/>
      <c r="F194" s="37"/>
    </row>
    <row r="195" spans="1:13">
      <c r="A195" s="34"/>
      <c r="B195" s="35"/>
      <c r="C195" s="35"/>
      <c r="D195" s="35"/>
      <c r="E195" s="36"/>
      <c r="F195" s="37"/>
    </row>
    <row r="196" spans="1:13" ht="30">
      <c r="A196" s="34"/>
      <c r="B196" s="35" t="s">
        <v>435</v>
      </c>
      <c r="C196" s="35"/>
      <c r="D196" s="35"/>
      <c r="E196" s="36">
        <f>Info!C22</f>
        <v>0</v>
      </c>
      <c r="F196" s="37"/>
    </row>
    <row r="197" spans="1:13">
      <c r="A197" s="34"/>
      <c r="B197" s="35" t="s">
        <v>436</v>
      </c>
      <c r="C197" s="35"/>
      <c r="D197" s="35"/>
      <c r="E197" s="36"/>
      <c r="F197" s="37">
        <f>E196</f>
        <v>0</v>
      </c>
    </row>
    <row r="198" spans="1:13">
      <c r="A198" s="34"/>
      <c r="B198" s="35"/>
      <c r="C198" s="35"/>
      <c r="D198" s="35"/>
      <c r="E198" s="36"/>
      <c r="F198" s="37"/>
    </row>
    <row r="199" spans="1:13">
      <c r="A199" s="34"/>
      <c r="B199" s="35"/>
      <c r="C199" s="35"/>
      <c r="D199" s="35"/>
      <c r="E199" s="36"/>
      <c r="F199" s="37"/>
    </row>
    <row r="200" spans="1:13">
      <c r="A200" s="34"/>
      <c r="B200" s="35"/>
      <c r="C200" s="35"/>
      <c r="D200" s="35"/>
      <c r="E200" s="36"/>
      <c r="F200" s="37"/>
      <c r="H200" s="166" t="s">
        <v>507</v>
      </c>
      <c r="I200" s="23"/>
      <c r="J200" s="23"/>
      <c r="K200" s="23"/>
      <c r="L200" s="23"/>
      <c r="M200" s="24"/>
    </row>
    <row r="201" spans="1:13">
      <c r="A201" s="34" t="s">
        <v>455</v>
      </c>
      <c r="B201" s="35"/>
      <c r="C201" s="35"/>
      <c r="D201" s="35"/>
      <c r="E201" s="36"/>
      <c r="F201" s="37"/>
      <c r="H201" s="167"/>
      <c r="I201" s="168"/>
      <c r="J201" s="169"/>
      <c r="K201" s="213" t="s">
        <v>508</v>
      </c>
      <c r="L201" s="214" t="s">
        <v>313</v>
      </c>
      <c r="M201" s="215" t="s">
        <v>456</v>
      </c>
    </row>
    <row r="202" spans="1:13">
      <c r="A202" s="34"/>
      <c r="B202" s="35"/>
      <c r="C202" s="35"/>
      <c r="D202" s="35"/>
      <c r="E202" s="36"/>
      <c r="F202" s="37"/>
      <c r="H202" s="167"/>
      <c r="I202" s="168"/>
      <c r="J202" s="170"/>
      <c r="K202" s="171"/>
      <c r="L202" s="19"/>
      <c r="M202" s="20"/>
    </row>
    <row r="203" spans="1:13">
      <c r="A203" s="34">
        <v>14</v>
      </c>
      <c r="B203" s="165" t="s">
        <v>509</v>
      </c>
      <c r="C203" s="35"/>
      <c r="D203" s="35"/>
      <c r="E203" s="36">
        <f t="shared" ref="E203:E211" si="19">IF(M203&gt;0,M203,0)</f>
        <v>0</v>
      </c>
      <c r="F203" s="37">
        <f t="shared" ref="F203:F211" si="20">IF(M203&lt;0,-M203,0)</f>
        <v>0</v>
      </c>
      <c r="H203" s="167" t="s">
        <v>509</v>
      </c>
      <c r="I203" s="168"/>
      <c r="J203" s="172"/>
      <c r="K203" s="173">
        <f>J13</f>
        <v>0</v>
      </c>
      <c r="L203" s="174">
        <f>J18+E106-F106+E110-F110-F119-F127+E159-F177</f>
        <v>0</v>
      </c>
      <c r="M203" s="175">
        <f t="shared" ref="M203:M210" si="21">ROUND(K203-L203,0)</f>
        <v>0</v>
      </c>
    </row>
    <row r="204" spans="1:13">
      <c r="A204" s="34"/>
      <c r="B204" s="165" t="s">
        <v>510</v>
      </c>
      <c r="C204" s="35"/>
      <c r="D204" s="35"/>
      <c r="E204" s="36">
        <f t="shared" si="19"/>
        <v>36385</v>
      </c>
      <c r="F204" s="37">
        <f t="shared" si="20"/>
        <v>0</v>
      </c>
      <c r="H204" s="167" t="s">
        <v>510</v>
      </c>
      <c r="I204" s="168"/>
      <c r="J204" s="172"/>
      <c r="K204" s="173">
        <f>IF(K13-P13&gt;0,K13-P13,0)</f>
        <v>231741</v>
      </c>
      <c r="L204" s="174">
        <f>+E108-F108+E112-F112-F121-F129+E165-F179</f>
        <v>195355.91697999998</v>
      </c>
      <c r="M204" s="175">
        <f t="shared" si="21"/>
        <v>36385</v>
      </c>
    </row>
    <row r="205" spans="1:13">
      <c r="A205" s="34"/>
      <c r="B205" s="165" t="s">
        <v>511</v>
      </c>
      <c r="C205" s="35"/>
      <c r="D205" s="35"/>
      <c r="E205" s="36">
        <f t="shared" si="19"/>
        <v>0</v>
      </c>
      <c r="F205" s="37">
        <f t="shared" si="20"/>
        <v>0</v>
      </c>
      <c r="H205" s="167" t="s">
        <v>511</v>
      </c>
      <c r="I205" s="168"/>
      <c r="J205" s="172"/>
      <c r="K205" s="173">
        <f>L13</f>
        <v>95831</v>
      </c>
      <c r="L205" s="174">
        <f>L18-F123-F131+E171-F181</f>
        <v>95830.584888195997</v>
      </c>
      <c r="M205" s="175">
        <f t="shared" si="21"/>
        <v>0</v>
      </c>
    </row>
    <row r="206" spans="1:13">
      <c r="A206" s="34"/>
      <c r="B206" s="165" t="s">
        <v>512</v>
      </c>
      <c r="C206" s="35"/>
      <c r="D206" s="35"/>
      <c r="E206" s="36">
        <f t="shared" si="19"/>
        <v>1</v>
      </c>
      <c r="F206" s="37">
        <f t="shared" si="20"/>
        <v>0</v>
      </c>
      <c r="H206" s="167" t="s">
        <v>512</v>
      </c>
      <c r="I206" s="168"/>
      <c r="J206" s="172"/>
      <c r="K206" s="173">
        <f>M13</f>
        <v>15156</v>
      </c>
      <c r="L206" s="174">
        <f>M18+E114-F114-F125-F133+E141-F141+E147-F147-F153</f>
        <v>15155.285584978781</v>
      </c>
      <c r="M206" s="175">
        <f t="shared" si="21"/>
        <v>1</v>
      </c>
    </row>
    <row r="207" spans="1:13">
      <c r="A207" s="34"/>
      <c r="B207" s="165" t="s">
        <v>513</v>
      </c>
      <c r="C207" s="35"/>
      <c r="D207" s="35"/>
      <c r="E207" s="36">
        <f t="shared" si="19"/>
        <v>0</v>
      </c>
      <c r="F207" s="37">
        <f t="shared" si="20"/>
        <v>0</v>
      </c>
      <c r="H207" s="167" t="s">
        <v>513</v>
      </c>
      <c r="I207" s="168"/>
      <c r="J207" s="172"/>
      <c r="K207" s="173">
        <f>-O13</f>
        <v>-30711</v>
      </c>
      <c r="L207" s="174">
        <f>-O18+E107-F107+E111-F111+E120+E128-F160+E178</f>
        <v>-30710.825128113167</v>
      </c>
      <c r="M207" s="175">
        <f t="shared" si="21"/>
        <v>0</v>
      </c>
    </row>
    <row r="208" spans="1:13">
      <c r="A208" s="34"/>
      <c r="B208" s="165" t="s">
        <v>514</v>
      </c>
      <c r="C208" s="35"/>
      <c r="D208" s="35"/>
      <c r="E208" s="36">
        <f t="shared" si="19"/>
        <v>0</v>
      </c>
      <c r="F208" s="37">
        <f t="shared" si="20"/>
        <v>36386</v>
      </c>
      <c r="H208" s="167" t="s">
        <v>514</v>
      </c>
      <c r="I208" s="168"/>
      <c r="J208" s="172"/>
      <c r="K208" s="173">
        <f>IF(K13-P13&lt;0,P13-K13,0)</f>
        <v>0</v>
      </c>
      <c r="L208" s="174">
        <f>-P18+K18+E109-F109+E113-F113+E122+E130-F166+E180</f>
        <v>36385.972176759431</v>
      </c>
      <c r="M208" s="175">
        <f t="shared" si="21"/>
        <v>-36386</v>
      </c>
    </row>
    <row r="209" spans="1:20">
      <c r="A209" s="34"/>
      <c r="B209" s="165" t="s">
        <v>515</v>
      </c>
      <c r="C209" s="35"/>
      <c r="D209" s="35"/>
      <c r="E209" s="36">
        <f t="shared" si="19"/>
        <v>0</v>
      </c>
      <c r="F209" s="37">
        <f t="shared" si="20"/>
        <v>0</v>
      </c>
      <c r="H209" s="167" t="s">
        <v>515</v>
      </c>
      <c r="I209" s="168"/>
      <c r="J209" s="172"/>
      <c r="K209" s="173">
        <f>-Q13</f>
        <v>0</v>
      </c>
      <c r="L209" s="174">
        <f>-Q18+E124+E132-F172+E182</f>
        <v>0</v>
      </c>
      <c r="M209" s="175">
        <f t="shared" si="21"/>
        <v>0</v>
      </c>
    </row>
    <row r="210" spans="1:20">
      <c r="A210" s="34"/>
      <c r="B210" s="165" t="s">
        <v>516</v>
      </c>
      <c r="C210" s="35"/>
      <c r="D210" s="35"/>
      <c r="E210" s="36">
        <f t="shared" si="19"/>
        <v>0</v>
      </c>
      <c r="F210" s="37">
        <f t="shared" si="20"/>
        <v>0</v>
      </c>
      <c r="H210" s="167" t="s">
        <v>516</v>
      </c>
      <c r="I210" s="168"/>
      <c r="J210" s="172"/>
      <c r="K210" s="173">
        <f>-R13</f>
        <v>-10890</v>
      </c>
      <c r="L210" s="174">
        <f>-R18+E115-F115+E126+E134+E142-F142+E148-F148+E154</f>
        <v>-10890.256238043605</v>
      </c>
      <c r="M210" s="175">
        <f t="shared" si="21"/>
        <v>0</v>
      </c>
    </row>
    <row r="211" spans="1:20">
      <c r="A211" s="34"/>
      <c r="B211" s="165" t="s">
        <v>439</v>
      </c>
      <c r="C211" s="35"/>
      <c r="D211" s="35"/>
      <c r="E211" s="36">
        <f t="shared" si="19"/>
        <v>0</v>
      </c>
      <c r="F211" s="37">
        <f t="shared" si="20"/>
        <v>0</v>
      </c>
      <c r="H211" s="167" t="s">
        <v>439</v>
      </c>
      <c r="I211" s="168"/>
      <c r="J211" s="172"/>
      <c r="K211" s="173"/>
      <c r="L211" s="176"/>
      <c r="M211" s="175">
        <f>-SUM(M203:M210)</f>
        <v>0</v>
      </c>
    </row>
    <row r="212" spans="1:20">
      <c r="A212" s="34"/>
      <c r="B212" s="35"/>
      <c r="C212" s="35"/>
      <c r="D212" s="35"/>
      <c r="E212" s="36"/>
      <c r="F212" s="37"/>
      <c r="H212" s="27"/>
      <c r="I212" s="177"/>
      <c r="J212" s="177"/>
      <c r="K212" s="177"/>
      <c r="L212" s="177"/>
      <c r="M212" s="178"/>
    </row>
    <row r="213" spans="1:20">
      <c r="A213" s="41"/>
      <c r="B213" s="42"/>
      <c r="C213" s="42"/>
      <c r="D213" s="42"/>
      <c r="E213" s="43"/>
      <c r="F213" s="44"/>
    </row>
    <row r="216" spans="1:20">
      <c r="A216" s="18"/>
      <c r="B216" s="1"/>
      <c r="C216" s="1"/>
      <c r="D216" s="1"/>
      <c r="E216" s="1"/>
      <c r="F216" s="3"/>
      <c r="G216" s="3"/>
      <c r="I216" s="5"/>
      <c r="J216" s="5"/>
      <c r="K216" s="5"/>
      <c r="L216" s="5"/>
      <c r="M216" s="5"/>
      <c r="N216" s="5"/>
      <c r="O216" s="5"/>
      <c r="P216" s="5"/>
      <c r="Q216" s="5"/>
      <c r="R216" s="5"/>
      <c r="S216" s="5"/>
      <c r="T216" s="5"/>
    </row>
    <row r="217" spans="1:20">
      <c r="A217" s="18"/>
      <c r="B217" s="1"/>
      <c r="C217" s="1"/>
      <c r="D217" s="1"/>
      <c r="E217" s="1"/>
      <c r="F217" s="3"/>
      <c r="G217" s="3"/>
      <c r="I217" s="5"/>
      <c r="J217" s="5"/>
      <c r="K217" s="5"/>
      <c r="L217" s="5"/>
      <c r="M217" s="5"/>
      <c r="N217" s="5"/>
      <c r="O217" s="5"/>
      <c r="P217" s="5"/>
      <c r="Q217" s="5"/>
      <c r="R217" s="5"/>
      <c r="S217" s="5"/>
      <c r="T217" s="5"/>
    </row>
    <row r="218" spans="1:20">
      <c r="A218" s="18"/>
      <c r="B218" s="1"/>
      <c r="C218" s="1"/>
      <c r="D218" s="1"/>
      <c r="E218" s="1"/>
      <c r="F218" s="3"/>
      <c r="G218" s="3"/>
      <c r="I218" s="5"/>
      <c r="J218" s="5"/>
      <c r="K218" s="5"/>
      <c r="L218" s="5"/>
      <c r="M218" s="5"/>
      <c r="N218" s="5"/>
      <c r="O218" s="5"/>
      <c r="P218" s="5"/>
      <c r="Q218" s="5"/>
      <c r="R218" s="5"/>
      <c r="S218" s="5"/>
      <c r="T218" s="5"/>
    </row>
    <row r="219" spans="1:20">
      <c r="A219" s="46" t="s">
        <v>527</v>
      </c>
      <c r="B219" s="47"/>
      <c r="C219" s="47"/>
      <c r="D219" s="47"/>
      <c r="E219" s="48"/>
      <c r="F219" s="48"/>
      <c r="I219" s="5"/>
      <c r="J219" s="228"/>
      <c r="K219" s="228"/>
      <c r="L219" s="5"/>
      <c r="M219" s="5"/>
      <c r="N219" s="5"/>
      <c r="O219" s="5"/>
      <c r="P219" s="5"/>
      <c r="Q219" s="5"/>
      <c r="R219" s="5"/>
      <c r="S219" s="5"/>
      <c r="T219" s="5"/>
    </row>
    <row r="220" spans="1:20">
      <c r="A220" s="46"/>
      <c r="B220" s="47"/>
      <c r="C220" s="47"/>
      <c r="D220" s="47"/>
      <c r="E220" s="48"/>
      <c r="F220" s="48"/>
      <c r="I220" s="5"/>
      <c r="J220" s="216"/>
      <c r="K220" s="216"/>
      <c r="L220" s="5"/>
      <c r="M220" s="5"/>
      <c r="N220" s="5"/>
      <c r="O220" s="5"/>
      <c r="P220" s="5"/>
      <c r="Q220" s="5"/>
      <c r="R220" s="5"/>
      <c r="S220" s="5"/>
      <c r="T220" s="5"/>
    </row>
    <row r="221" spans="1:20">
      <c r="A221" s="46"/>
      <c r="B221" s="47" t="s">
        <v>532</v>
      </c>
      <c r="C221" s="47"/>
      <c r="D221" s="47"/>
      <c r="E221" s="57">
        <f>L93</f>
        <v>44228.989999999991</v>
      </c>
      <c r="F221" s="48"/>
      <c r="I221" s="5"/>
      <c r="J221" s="216"/>
      <c r="K221" s="216"/>
      <c r="L221" s="5"/>
      <c r="M221" s="5"/>
      <c r="N221" s="5"/>
      <c r="O221" s="5"/>
      <c r="P221" s="5"/>
      <c r="Q221" s="5"/>
      <c r="R221" s="5"/>
      <c r="S221" s="5"/>
      <c r="T221" s="5"/>
    </row>
    <row r="222" spans="1:20">
      <c r="A222" s="46"/>
      <c r="B222" s="47" t="s">
        <v>533</v>
      </c>
      <c r="C222" s="47"/>
      <c r="D222" s="47"/>
      <c r="E222" s="50">
        <f>-J93</f>
        <v>649806.66826377739</v>
      </c>
      <c r="F222" s="48"/>
      <c r="I222" s="5"/>
      <c r="J222" s="216"/>
      <c r="K222" s="216"/>
      <c r="L222" s="5"/>
      <c r="M222" s="5"/>
      <c r="N222" s="5"/>
      <c r="O222" s="5"/>
      <c r="P222" s="5"/>
      <c r="Q222" s="5"/>
      <c r="R222" s="5"/>
      <c r="S222" s="5"/>
      <c r="T222" s="5"/>
    </row>
    <row r="223" spans="1:20">
      <c r="A223" s="46"/>
      <c r="B223" s="47"/>
      <c r="C223" s="47"/>
      <c r="D223" s="47"/>
      <c r="E223" s="48"/>
      <c r="F223" s="48"/>
      <c r="I223" s="5"/>
      <c r="J223" s="216"/>
      <c r="K223" s="216"/>
      <c r="L223" s="5"/>
      <c r="M223" s="5"/>
      <c r="N223" s="5"/>
      <c r="O223" s="5"/>
      <c r="P223" s="5"/>
      <c r="Q223" s="5"/>
      <c r="R223" s="5"/>
      <c r="S223" s="5"/>
      <c r="T223" s="5"/>
    </row>
    <row r="224" spans="1:20">
      <c r="A224" s="46"/>
      <c r="B224" s="47"/>
      <c r="C224" s="47"/>
      <c r="D224" s="47"/>
      <c r="E224" s="48"/>
      <c r="F224" s="48"/>
      <c r="I224" s="5"/>
      <c r="J224" s="216"/>
      <c r="K224" s="216"/>
      <c r="L224" s="5"/>
      <c r="M224" s="5"/>
      <c r="N224" s="5"/>
      <c r="O224" s="5"/>
      <c r="P224" s="5"/>
      <c r="Q224" s="5"/>
      <c r="R224" s="5"/>
      <c r="S224" s="5"/>
      <c r="T224" s="5"/>
    </row>
    <row r="225" spans="1:20">
      <c r="A225" s="46"/>
      <c r="B225" s="47"/>
      <c r="C225" s="47"/>
      <c r="D225" s="47"/>
      <c r="E225" s="48"/>
      <c r="F225" s="48"/>
      <c r="I225" s="5"/>
      <c r="J225" s="216"/>
      <c r="K225" s="216"/>
      <c r="L225" s="5"/>
      <c r="M225" s="5"/>
      <c r="N225" s="5"/>
      <c r="O225" s="5"/>
      <c r="P225" s="5"/>
      <c r="Q225" s="5"/>
      <c r="R225" s="5"/>
      <c r="S225" s="5"/>
      <c r="T225" s="5"/>
    </row>
    <row r="226" spans="1:20" ht="30">
      <c r="A226" s="46"/>
      <c r="B226" s="47"/>
      <c r="C226" s="47"/>
      <c r="D226" s="47"/>
      <c r="E226" s="49" t="s">
        <v>319</v>
      </c>
      <c r="F226" s="49" t="s">
        <v>320</v>
      </c>
      <c r="I226" s="5"/>
      <c r="J226" s="138"/>
      <c r="K226" s="5"/>
      <c r="L226" s="5"/>
      <c r="M226" s="5"/>
      <c r="N226" s="5"/>
      <c r="O226" s="5"/>
      <c r="P226" s="6"/>
      <c r="Q226" s="189"/>
      <c r="R226" s="189"/>
      <c r="S226" s="5"/>
      <c r="T226" s="5"/>
    </row>
    <row r="227" spans="1:20" ht="15" customHeight="1">
      <c r="A227" s="46"/>
      <c r="B227" s="47" t="s">
        <v>314</v>
      </c>
      <c r="C227" s="47"/>
      <c r="D227" s="47"/>
      <c r="E227" s="50">
        <f>K203</f>
        <v>0</v>
      </c>
      <c r="F227" s="50">
        <f>-K207</f>
        <v>30711</v>
      </c>
      <c r="H227" s="229" t="s">
        <v>423</v>
      </c>
      <c r="I227" s="230"/>
      <c r="J227" s="230"/>
      <c r="K227" s="231"/>
      <c r="M227" s="88"/>
      <c r="N227" s="5"/>
      <c r="O227" s="88"/>
      <c r="P227" s="88"/>
      <c r="Q227" s="88"/>
      <c r="R227" s="96"/>
      <c r="S227" s="5"/>
      <c r="T227" s="5"/>
    </row>
    <row r="228" spans="1:20">
      <c r="A228" s="46"/>
      <c r="B228" s="47" t="s">
        <v>315</v>
      </c>
      <c r="C228" s="47"/>
      <c r="D228" s="47"/>
      <c r="E228" s="50">
        <f>K205</f>
        <v>95831</v>
      </c>
      <c r="F228" s="48">
        <f>-K209</f>
        <v>0</v>
      </c>
      <c r="H228" s="232"/>
      <c r="I228" s="233"/>
      <c r="J228" s="233"/>
      <c r="K228" s="234"/>
      <c r="M228" s="5"/>
      <c r="N228" s="5"/>
      <c r="O228" s="5"/>
      <c r="P228" s="5"/>
      <c r="Q228" s="88"/>
      <c r="R228" s="96"/>
      <c r="S228" s="5"/>
      <c r="T228" s="5"/>
    </row>
    <row r="229" spans="1:20" ht="30">
      <c r="A229" s="46"/>
      <c r="B229" s="47" t="s">
        <v>316</v>
      </c>
      <c r="C229" s="47"/>
      <c r="D229" s="47"/>
      <c r="E229" s="50">
        <f>K204</f>
        <v>231741</v>
      </c>
      <c r="F229" s="50">
        <f>-K208</f>
        <v>0</v>
      </c>
      <c r="H229" s="232"/>
      <c r="I229" s="233"/>
      <c r="J229" s="233"/>
      <c r="K229" s="234"/>
      <c r="M229" s="88"/>
      <c r="N229" s="5"/>
      <c r="O229" s="88"/>
      <c r="P229" s="88"/>
      <c r="Q229" s="88"/>
      <c r="R229" s="96"/>
      <c r="S229" s="5"/>
      <c r="T229" s="5"/>
    </row>
    <row r="230" spans="1:20" ht="30">
      <c r="A230" s="46"/>
      <c r="B230" s="47" t="s">
        <v>317</v>
      </c>
      <c r="C230" s="47"/>
      <c r="D230" s="47"/>
      <c r="E230" s="50">
        <f>K206</f>
        <v>15156</v>
      </c>
      <c r="F230" s="50">
        <f>-K210</f>
        <v>10890</v>
      </c>
      <c r="H230" s="235"/>
      <c r="I230" s="236"/>
      <c r="J230" s="236"/>
      <c r="K230" s="237"/>
      <c r="M230" s="88"/>
      <c r="N230" s="5"/>
      <c r="O230" s="88"/>
      <c r="P230" s="88"/>
      <c r="Q230" s="88"/>
      <c r="R230" s="96"/>
      <c r="S230" s="5"/>
      <c r="T230" s="5"/>
    </row>
    <row r="231" spans="1:20">
      <c r="A231" s="51"/>
      <c r="B231" s="47" t="s">
        <v>437</v>
      </c>
      <c r="C231" s="47"/>
      <c r="D231" s="47"/>
      <c r="E231" s="50">
        <f>E196</f>
        <v>0</v>
      </c>
      <c r="F231" s="52"/>
      <c r="I231" s="5"/>
      <c r="J231" s="5"/>
      <c r="K231" s="5"/>
      <c r="L231" s="5"/>
      <c r="M231" s="5"/>
      <c r="N231" s="5"/>
      <c r="O231" s="5"/>
      <c r="P231" s="5"/>
      <c r="Q231" s="88"/>
      <c r="R231" s="96"/>
      <c r="S231" s="5"/>
      <c r="T231" s="5"/>
    </row>
    <row r="232" spans="1:20" ht="15.75" thickBot="1">
      <c r="A232" s="51"/>
      <c r="B232" s="53" t="s">
        <v>318</v>
      </c>
      <c r="C232" s="53"/>
      <c r="D232" s="53"/>
      <c r="E232" s="54">
        <f>SUM(E227:E231)</f>
        <v>342728</v>
      </c>
      <c r="F232" s="54">
        <f>SUM(F227:F231)</f>
        <v>41601</v>
      </c>
      <c r="I232" s="5"/>
      <c r="J232" s="88"/>
      <c r="K232" s="88"/>
      <c r="L232" s="88"/>
      <c r="M232" s="88"/>
      <c r="N232" s="5"/>
      <c r="O232" s="88"/>
      <c r="P232" s="88"/>
      <c r="Q232" s="88"/>
      <c r="R232" s="96"/>
      <c r="S232" s="5"/>
      <c r="T232" s="5"/>
    </row>
    <row r="233" spans="1:20" ht="15.75" thickTop="1">
      <c r="A233" s="51"/>
      <c r="B233" s="47"/>
      <c r="C233" s="47"/>
      <c r="D233" s="47"/>
      <c r="E233" s="48"/>
      <c r="F233" s="48"/>
      <c r="I233" s="5"/>
      <c r="J233" s="5"/>
      <c r="K233" s="5"/>
      <c r="L233" s="5"/>
      <c r="M233" s="5"/>
      <c r="N233" s="5"/>
      <c r="O233" s="5"/>
      <c r="P233" s="5"/>
      <c r="Q233" s="5"/>
      <c r="R233" s="5"/>
      <c r="S233" s="5"/>
      <c r="T233" s="5"/>
    </row>
    <row r="234" spans="1:20" ht="60">
      <c r="A234" s="51"/>
      <c r="B234" s="47" t="s">
        <v>356</v>
      </c>
      <c r="C234" s="47"/>
      <c r="D234" s="47"/>
      <c r="E234" s="48"/>
      <c r="F234" s="48"/>
      <c r="I234" s="5"/>
      <c r="J234" s="5"/>
      <c r="K234" s="5"/>
      <c r="L234" s="5"/>
      <c r="M234" s="5"/>
      <c r="N234" s="5"/>
      <c r="O234" s="5"/>
      <c r="P234" s="5"/>
      <c r="Q234" s="5"/>
      <c r="R234" s="5"/>
      <c r="S234" s="5"/>
      <c r="T234" s="5"/>
    </row>
    <row r="235" spans="1:20">
      <c r="A235" s="51"/>
      <c r="B235" s="51"/>
      <c r="C235" s="51"/>
      <c r="D235" s="51"/>
      <c r="E235" s="51"/>
      <c r="F235" s="51"/>
    </row>
    <row r="236" spans="1:20">
      <c r="A236" s="51"/>
      <c r="B236" s="51" t="s">
        <v>321</v>
      </c>
      <c r="C236" s="51"/>
      <c r="D236" s="51"/>
      <c r="E236" s="51"/>
      <c r="F236" s="51"/>
    </row>
    <row r="237" spans="1:20">
      <c r="A237" s="51"/>
      <c r="B237" s="51"/>
      <c r="C237" s="51"/>
      <c r="D237" s="51"/>
      <c r="E237" s="51"/>
      <c r="F237" s="51"/>
    </row>
    <row r="238" spans="1:20">
      <c r="A238" s="51"/>
      <c r="B238" s="55" t="s">
        <v>322</v>
      </c>
      <c r="C238" s="55"/>
      <c r="D238" s="55"/>
      <c r="E238" s="51"/>
      <c r="F238" s="51"/>
    </row>
    <row r="239" spans="1:20">
      <c r="A239" s="51"/>
      <c r="B239" s="56">
        <v>2018</v>
      </c>
      <c r="C239" s="56"/>
      <c r="D239" s="56"/>
      <c r="E239" s="57">
        <f t="shared" ref="E239:E244" si="22">C76</f>
        <v>49201.972423623571</v>
      </c>
      <c r="F239" s="51"/>
    </row>
    <row r="240" spans="1:20">
      <c r="A240" s="51"/>
      <c r="B240" s="56">
        <v>2019</v>
      </c>
      <c r="C240" s="56"/>
      <c r="D240" s="56"/>
      <c r="E240" s="50">
        <f t="shared" si="22"/>
        <v>51512.584203103725</v>
      </c>
      <c r="F240" s="51"/>
    </row>
    <row r="241" spans="1:10">
      <c r="A241" s="51"/>
      <c r="B241" s="56">
        <v>2020</v>
      </c>
      <c r="C241" s="56"/>
      <c r="D241" s="56"/>
      <c r="E241" s="50">
        <f t="shared" si="22"/>
        <v>129617.86555889058</v>
      </c>
      <c r="F241" s="51"/>
    </row>
    <row r="242" spans="1:10" ht="12" customHeight="1">
      <c r="A242" s="51"/>
      <c r="B242" s="56">
        <v>2021</v>
      </c>
      <c r="C242" s="56"/>
      <c r="D242" s="56"/>
      <c r="E242" s="50">
        <f t="shared" si="22"/>
        <v>70794.691783400936</v>
      </c>
      <c r="F242" s="51"/>
    </row>
    <row r="243" spans="1:10" ht="12" customHeight="1">
      <c r="A243" s="51"/>
      <c r="B243" s="56">
        <v>2022</v>
      </c>
      <c r="C243" s="56"/>
      <c r="D243" s="56"/>
      <c r="E243" s="50">
        <f t="shared" si="22"/>
        <v>1.4551915228366852E-11</v>
      </c>
      <c r="F243" s="51"/>
    </row>
    <row r="244" spans="1:10">
      <c r="A244" s="51"/>
      <c r="B244" s="51" t="s">
        <v>323</v>
      </c>
      <c r="C244" s="51"/>
      <c r="D244" s="51"/>
      <c r="E244" s="50">
        <f t="shared" si="22"/>
        <v>0</v>
      </c>
      <c r="F244" s="51"/>
    </row>
    <row r="245" spans="1:10" ht="15.75" thickBot="1">
      <c r="A245" s="51"/>
      <c r="B245" s="51"/>
      <c r="C245" s="51"/>
      <c r="D245" s="51"/>
      <c r="E245" s="58">
        <f>SUM(E239:E244)</f>
        <v>301127.1139690188</v>
      </c>
      <c r="F245" s="51"/>
      <c r="J245" s="5"/>
    </row>
    <row r="246" spans="1:10" ht="15.75" thickTop="1">
      <c r="A246" s="51"/>
      <c r="B246" s="51"/>
      <c r="C246" s="51"/>
      <c r="D246" s="51"/>
      <c r="E246" s="51"/>
      <c r="F246" s="51"/>
    </row>
    <row r="247" spans="1:10">
      <c r="A247" s="5"/>
      <c r="B247" s="5"/>
      <c r="C247" s="5"/>
      <c r="D247" s="5"/>
      <c r="E247" s="5"/>
      <c r="F247" s="5"/>
      <c r="G247" s="5"/>
    </row>
    <row r="248" spans="1:10" ht="30">
      <c r="A248" s="55" t="s">
        <v>324</v>
      </c>
      <c r="B248" s="55"/>
      <c r="C248" s="55"/>
      <c r="D248" s="55"/>
      <c r="E248" s="59" t="s">
        <v>325</v>
      </c>
      <c r="F248" s="59" t="s">
        <v>326</v>
      </c>
      <c r="G248" s="59" t="s">
        <v>327</v>
      </c>
    </row>
    <row r="249" spans="1:10">
      <c r="A249" s="55"/>
      <c r="B249" s="150" t="s">
        <v>428</v>
      </c>
      <c r="C249" s="55"/>
      <c r="D249" s="55"/>
      <c r="E249" s="50">
        <v>17286557000</v>
      </c>
      <c r="F249" s="151">
        <f>H15</f>
        <v>9191032996</v>
      </c>
      <c r="G249" s="50">
        <v>2383807000</v>
      </c>
    </row>
    <row r="250" spans="1:10">
      <c r="A250" s="55"/>
      <c r="B250" s="55"/>
      <c r="C250" s="55"/>
      <c r="D250" s="55"/>
      <c r="E250" s="149"/>
      <c r="F250" s="149"/>
      <c r="G250" s="149"/>
    </row>
    <row r="251" spans="1:10">
      <c r="A251" s="51"/>
      <c r="B251" s="55" t="s">
        <v>429</v>
      </c>
      <c r="C251" s="55"/>
      <c r="D251" s="55"/>
      <c r="E251" s="152">
        <f>C13*E249</f>
        <v>1222159.5799</v>
      </c>
      <c r="F251" s="152">
        <f>H13</f>
        <v>649806</v>
      </c>
      <c r="G251" s="152">
        <f>C13*G249</f>
        <v>168535.15489999999</v>
      </c>
    </row>
    <row r="252" spans="1:10">
      <c r="A252" s="51"/>
      <c r="B252" s="51"/>
      <c r="C252" s="51"/>
      <c r="D252" s="51"/>
      <c r="E252" s="51"/>
      <c r="F252" s="51"/>
      <c r="G252" s="51"/>
    </row>
    <row r="255" spans="1:10">
      <c r="A255" s="238" t="s">
        <v>333</v>
      </c>
      <c r="B255" s="239"/>
      <c r="C255" s="190"/>
      <c r="D255" s="190"/>
      <c r="E255" s="190"/>
      <c r="F255" s="76"/>
      <c r="G255" s="76"/>
      <c r="H255" s="77"/>
      <c r="I255" s="77"/>
      <c r="J255" s="78"/>
    </row>
    <row r="256" spans="1:10" ht="57.75" customHeight="1">
      <c r="A256" s="79" t="s">
        <v>334</v>
      </c>
      <c r="B256" s="222" t="s">
        <v>335</v>
      </c>
      <c r="C256" s="222"/>
      <c r="D256" s="222"/>
      <c r="E256" s="222"/>
      <c r="F256" s="223"/>
      <c r="G256" s="223"/>
      <c r="H256" s="223"/>
      <c r="I256" s="223"/>
      <c r="J256" s="223"/>
    </row>
    <row r="257" spans="1:10">
      <c r="A257" s="80"/>
      <c r="B257" s="81"/>
      <c r="C257" s="81"/>
      <c r="D257" s="81"/>
      <c r="E257" s="81"/>
      <c r="F257" s="82"/>
      <c r="G257" s="82"/>
      <c r="H257" s="82"/>
      <c r="I257" s="82"/>
      <c r="J257" s="82"/>
    </row>
    <row r="258" spans="1:10" ht="58.5" customHeight="1">
      <c r="A258" s="79" t="s">
        <v>336</v>
      </c>
      <c r="B258" s="222" t="s">
        <v>337</v>
      </c>
      <c r="C258" s="222"/>
      <c r="D258" s="222"/>
      <c r="E258" s="222"/>
      <c r="F258" s="222"/>
      <c r="G258" s="222"/>
      <c r="H258" s="222"/>
      <c r="I258" s="222"/>
      <c r="J258" s="222"/>
    </row>
    <row r="259" spans="1:10">
      <c r="A259" s="80"/>
      <c r="B259" s="81"/>
      <c r="C259" s="81"/>
      <c r="D259" s="81"/>
      <c r="E259" s="81"/>
      <c r="F259" s="82"/>
      <c r="G259" s="82"/>
      <c r="H259" s="82"/>
      <c r="I259" s="82"/>
      <c r="J259" s="82"/>
    </row>
    <row r="260" spans="1:10" ht="28.5" customHeight="1">
      <c r="A260" s="79" t="s">
        <v>338</v>
      </c>
      <c r="B260" s="220" t="s">
        <v>339</v>
      </c>
      <c r="C260" s="220"/>
      <c r="D260" s="220"/>
      <c r="E260" s="220"/>
      <c r="F260" s="221"/>
      <c r="G260" s="221"/>
      <c r="H260" s="221"/>
      <c r="I260" s="221"/>
      <c r="J260" s="221"/>
    </row>
    <row r="261" spans="1:10">
      <c r="A261" s="80"/>
      <c r="B261" s="81"/>
      <c r="C261" s="81"/>
      <c r="D261" s="81"/>
      <c r="E261" s="81"/>
      <c r="F261" s="82"/>
      <c r="G261" s="82"/>
      <c r="H261" s="82"/>
      <c r="I261" s="82"/>
      <c r="J261" s="82"/>
    </row>
    <row r="262" spans="1:10" ht="51.75" customHeight="1">
      <c r="A262" s="79" t="s">
        <v>340</v>
      </c>
      <c r="B262" s="222" t="s">
        <v>341</v>
      </c>
      <c r="C262" s="222"/>
      <c r="D262" s="222"/>
      <c r="E262" s="222"/>
      <c r="F262" s="221"/>
      <c r="G262" s="221"/>
      <c r="H262" s="221"/>
      <c r="I262" s="221"/>
      <c r="J262" s="221"/>
    </row>
    <row r="263" spans="1:10">
      <c r="A263" s="80"/>
      <c r="B263" s="188"/>
      <c r="C263" s="188"/>
      <c r="D263" s="188"/>
      <c r="E263" s="188"/>
      <c r="F263" s="188"/>
      <c r="G263" s="188"/>
      <c r="H263" s="188"/>
      <c r="I263" s="188"/>
      <c r="J263" s="188"/>
    </row>
    <row r="264" spans="1:10">
      <c r="A264" s="79" t="s">
        <v>342</v>
      </c>
      <c r="B264" s="220" t="s">
        <v>343</v>
      </c>
      <c r="C264" s="220"/>
      <c r="D264" s="220"/>
      <c r="E264" s="220"/>
      <c r="F264" s="221"/>
      <c r="G264" s="221"/>
      <c r="H264" s="221"/>
      <c r="I264" s="221"/>
      <c r="J264" s="221"/>
    </row>
    <row r="265" spans="1:10">
      <c r="A265" s="80"/>
      <c r="B265" s="82"/>
      <c r="C265" s="82"/>
      <c r="D265" s="82"/>
      <c r="E265" s="82"/>
      <c r="F265" s="188"/>
      <c r="G265" s="188"/>
      <c r="H265" s="188"/>
      <c r="I265" s="188"/>
      <c r="J265" s="188"/>
    </row>
    <row r="266" spans="1:10" ht="47.25" customHeight="1">
      <c r="A266" s="79" t="s">
        <v>344</v>
      </c>
      <c r="B266" s="222" t="s">
        <v>345</v>
      </c>
      <c r="C266" s="222"/>
      <c r="D266" s="222"/>
      <c r="E266" s="222"/>
      <c r="F266" s="222"/>
      <c r="G266" s="222"/>
      <c r="H266" s="222"/>
      <c r="I266" s="222"/>
      <c r="J266" s="222"/>
    </row>
    <row r="267" spans="1:10">
      <c r="A267" s="80"/>
      <c r="B267" s="188"/>
      <c r="C267" s="188"/>
      <c r="D267" s="188"/>
      <c r="E267" s="188"/>
      <c r="F267" s="188"/>
      <c r="G267" s="188"/>
      <c r="H267" s="188"/>
      <c r="I267" s="188"/>
      <c r="J267" s="188"/>
    </row>
    <row r="268" spans="1:10" ht="71.25" customHeight="1">
      <c r="A268" s="83" t="s">
        <v>346</v>
      </c>
      <c r="B268" s="222" t="s">
        <v>347</v>
      </c>
      <c r="C268" s="222"/>
      <c r="D268" s="222"/>
      <c r="E268" s="222"/>
      <c r="F268" s="223"/>
      <c r="G268" s="223"/>
      <c r="H268" s="223"/>
      <c r="I268" s="223"/>
      <c r="J268" s="223"/>
    </row>
    <row r="269" spans="1:10" ht="12" customHeight="1">
      <c r="A269" s="80"/>
      <c r="B269" s="188"/>
      <c r="C269" s="188"/>
      <c r="D269" s="188"/>
      <c r="E269" s="188"/>
      <c r="F269" s="188"/>
      <c r="G269" s="188"/>
      <c r="H269" s="188"/>
      <c r="I269" s="188"/>
      <c r="J269" s="188"/>
    </row>
    <row r="270" spans="1:10" ht="85.5" customHeight="1">
      <c r="A270" s="79" t="s">
        <v>348</v>
      </c>
      <c r="B270" s="222" t="s">
        <v>349</v>
      </c>
      <c r="C270" s="222"/>
      <c r="D270" s="222"/>
      <c r="E270" s="222"/>
      <c r="F270" s="221"/>
      <c r="G270" s="221"/>
      <c r="H270" s="221"/>
      <c r="I270" s="221"/>
      <c r="J270" s="221"/>
    </row>
    <row r="271" spans="1:10" ht="12" customHeight="1">
      <c r="A271" s="80"/>
      <c r="B271" s="188"/>
      <c r="C271" s="188"/>
      <c r="D271" s="188"/>
      <c r="E271" s="188"/>
      <c r="F271" s="188"/>
      <c r="G271" s="188"/>
      <c r="H271" s="188"/>
      <c r="I271" s="188"/>
      <c r="J271" s="188"/>
    </row>
    <row r="272" spans="1:10" ht="12" customHeight="1">
      <c r="A272" s="84" t="s">
        <v>350</v>
      </c>
      <c r="B272" s="220" t="s">
        <v>351</v>
      </c>
      <c r="C272" s="220"/>
      <c r="D272" s="220"/>
      <c r="E272" s="220"/>
      <c r="F272" s="221"/>
      <c r="G272" s="221"/>
      <c r="H272" s="221"/>
      <c r="I272" s="221"/>
      <c r="J272" s="221"/>
    </row>
    <row r="273" spans="1:10">
      <c r="A273" s="80"/>
      <c r="B273" s="188"/>
      <c r="C273" s="188"/>
      <c r="D273" s="188"/>
      <c r="E273" s="188"/>
      <c r="F273" s="188"/>
      <c r="G273" s="188"/>
      <c r="H273" s="188"/>
      <c r="I273" s="188"/>
      <c r="J273" s="188"/>
    </row>
    <row r="274" spans="1:10" ht="27.75" customHeight="1">
      <c r="A274" s="84" t="s">
        <v>352</v>
      </c>
      <c r="B274" s="220" t="s">
        <v>353</v>
      </c>
      <c r="C274" s="220"/>
      <c r="D274" s="220"/>
      <c r="E274" s="220"/>
      <c r="F274" s="221"/>
      <c r="G274" s="221"/>
      <c r="H274" s="221"/>
      <c r="I274" s="221"/>
      <c r="J274" s="221"/>
    </row>
    <row r="275" spans="1:10" ht="12" customHeight="1">
      <c r="A275" s="84"/>
      <c r="B275" s="186"/>
      <c r="C275" s="186"/>
      <c r="D275" s="186"/>
      <c r="E275" s="186"/>
      <c r="F275" s="187"/>
      <c r="G275" s="187"/>
      <c r="H275" s="187"/>
      <c r="I275" s="187"/>
      <c r="J275" s="187"/>
    </row>
    <row r="276" spans="1:10" ht="45" customHeight="1">
      <c r="A276" s="84" t="s">
        <v>354</v>
      </c>
      <c r="B276" s="220" t="s">
        <v>355</v>
      </c>
      <c r="C276" s="220"/>
      <c r="D276" s="220"/>
      <c r="E276" s="220"/>
      <c r="F276" s="221"/>
      <c r="G276" s="221"/>
      <c r="H276" s="221"/>
      <c r="I276" s="221"/>
      <c r="J276" s="221"/>
    </row>
  </sheetData>
  <mergeCells count="20">
    <mergeCell ref="B260:J260"/>
    <mergeCell ref="C35:H35"/>
    <mergeCell ref="I35:N35"/>
    <mergeCell ref="O35:T35"/>
    <mergeCell ref="C36:H36"/>
    <mergeCell ref="I36:N36"/>
    <mergeCell ref="O36:T36"/>
    <mergeCell ref="J219:K219"/>
    <mergeCell ref="H227:K230"/>
    <mergeCell ref="A255:B255"/>
    <mergeCell ref="B256:J256"/>
    <mergeCell ref="B258:J258"/>
    <mergeCell ref="B274:J274"/>
    <mergeCell ref="B276:J276"/>
    <mergeCell ref="B262:J262"/>
    <mergeCell ref="B264:J264"/>
    <mergeCell ref="B266:J266"/>
    <mergeCell ref="B268:J268"/>
    <mergeCell ref="B270:J270"/>
    <mergeCell ref="B272:J272"/>
  </mergeCells>
  <conditionalFormatting sqref="F94 B94 B90:F93 C89:F89 A89:A94">
    <cfRule type="expression" dxfId="1" priority="2">
      <formula>$C$85=1</formula>
    </cfRule>
  </conditionalFormatting>
  <conditionalFormatting sqref="A87:F213">
    <cfRule type="expression" dxfId="0"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3"/>
  <sheetViews>
    <sheetView workbookViewId="0"/>
  </sheetViews>
  <sheetFormatPr defaultRowHeight="15"/>
  <cols>
    <col min="1" max="1" width="13" style="5" customWidth="1"/>
    <col min="2" max="2" width="35.140625" style="5" customWidth="1"/>
    <col min="3" max="4" width="13.85546875" style="5" customWidth="1"/>
    <col min="5" max="5" width="18.85546875" style="5" customWidth="1"/>
    <col min="6" max="6" width="13.85546875" style="5" customWidth="1"/>
    <col min="7" max="7" width="18.28515625" style="5" customWidth="1"/>
    <col min="8" max="8" width="1.7109375" style="5" customWidth="1"/>
    <col min="9" max="9" width="12" style="5" customWidth="1"/>
    <col min="10" max="10" width="20" style="5" customWidth="1"/>
    <col min="11" max="11" width="15.140625" style="5" customWidth="1"/>
    <col min="12" max="12" width="19.42578125" style="5" customWidth="1"/>
    <col min="13" max="13" width="1.28515625" style="5" customWidth="1"/>
    <col min="14" max="14" width="18.28515625" style="5" customWidth="1"/>
    <col min="15" max="15" width="20" style="5" customWidth="1"/>
    <col min="16" max="16" width="11.28515625" style="5" customWidth="1"/>
    <col min="17" max="17" width="19.42578125" style="5" customWidth="1"/>
    <col min="18" max="18" width="2" style="5" customWidth="1"/>
    <col min="19" max="19" width="16.42578125" style="5" bestFit="1" customWidth="1"/>
    <col min="20" max="20" width="22.42578125" style="5" customWidth="1"/>
    <col min="21" max="21" width="16" style="5" bestFit="1" customWidth="1"/>
    <col min="22" max="16384" width="9.140625" style="5"/>
  </cols>
  <sheetData>
    <row r="1" spans="1:21">
      <c r="A1" s="85"/>
      <c r="I1" s="86" t="s">
        <v>294</v>
      </c>
      <c r="J1" s="86"/>
      <c r="K1" s="86"/>
      <c r="L1" s="86"/>
      <c r="N1" s="86" t="s">
        <v>295</v>
      </c>
      <c r="O1" s="86"/>
      <c r="P1" s="86"/>
      <c r="Q1" s="86"/>
      <c r="S1" s="86" t="s">
        <v>296</v>
      </c>
      <c r="T1" s="86"/>
      <c r="U1" s="86"/>
    </row>
    <row r="2" spans="1:21" ht="120">
      <c r="A2" s="9" t="s">
        <v>282</v>
      </c>
      <c r="B2" s="9" t="s">
        <v>283</v>
      </c>
      <c r="C2" s="9" t="s">
        <v>357</v>
      </c>
      <c r="D2" s="9" t="s">
        <v>358</v>
      </c>
      <c r="E2" s="9" t="s">
        <v>306</v>
      </c>
      <c r="F2" s="9" t="s">
        <v>387</v>
      </c>
      <c r="G2" s="9" t="s">
        <v>386</v>
      </c>
      <c r="H2" s="9"/>
      <c r="I2" s="9" t="s">
        <v>297</v>
      </c>
      <c r="J2" s="9" t="s">
        <v>298</v>
      </c>
      <c r="K2" s="9" t="s">
        <v>299</v>
      </c>
      <c r="L2" s="9" t="s">
        <v>300</v>
      </c>
      <c r="M2" s="9"/>
      <c r="N2" s="9" t="s">
        <v>297</v>
      </c>
      <c r="O2" s="9" t="s">
        <v>298</v>
      </c>
      <c r="P2" s="9" t="s">
        <v>299</v>
      </c>
      <c r="Q2" s="9" t="s">
        <v>300</v>
      </c>
      <c r="R2" s="9"/>
      <c r="S2" s="9" t="s">
        <v>301</v>
      </c>
      <c r="T2" s="9" t="s">
        <v>302</v>
      </c>
      <c r="U2" s="9" t="s">
        <v>303</v>
      </c>
    </row>
    <row r="3" spans="1:21">
      <c r="A3" s="89">
        <v>10200</v>
      </c>
      <c r="B3" s="90" t="s">
        <v>0</v>
      </c>
      <c r="C3" s="97">
        <v>1.1054000000000001E-3</v>
      </c>
      <c r="D3" s="97">
        <v>1.1215000000000001E-3</v>
      </c>
      <c r="E3" s="92">
        <v>1368412.67</v>
      </c>
      <c r="F3" s="92">
        <v>4132950</v>
      </c>
      <c r="G3" s="92">
        <v>10159768</v>
      </c>
      <c r="H3" s="92"/>
      <c r="I3" s="93">
        <v>0</v>
      </c>
      <c r="J3" s="93">
        <v>5812643</v>
      </c>
      <c r="K3" s="93">
        <v>1498319</v>
      </c>
      <c r="L3" s="92">
        <v>87774</v>
      </c>
      <c r="M3" s="92"/>
      <c r="N3" s="93">
        <v>480165</v>
      </c>
      <c r="O3" s="93">
        <v>2189344</v>
      </c>
      <c r="P3" s="93">
        <v>0</v>
      </c>
      <c r="Q3" s="92">
        <v>127082</v>
      </c>
      <c r="R3" s="92"/>
      <c r="S3" s="93">
        <v>1946468</v>
      </c>
      <c r="T3" s="94">
        <v>8634</v>
      </c>
      <c r="U3" s="94">
        <v>1955102</v>
      </c>
    </row>
    <row r="4" spans="1:21">
      <c r="A4" s="89">
        <v>10400</v>
      </c>
      <c r="B4" s="90" t="s">
        <v>1</v>
      </c>
      <c r="C4" s="97">
        <v>3.2499999999999999E-3</v>
      </c>
      <c r="D4" s="97">
        <v>3.2226999999999998E-3</v>
      </c>
      <c r="E4" s="92">
        <v>4427732.9300000006</v>
      </c>
      <c r="F4" s="92">
        <v>11876288</v>
      </c>
      <c r="G4" s="92">
        <v>29870857</v>
      </c>
      <c r="H4" s="92"/>
      <c r="I4" s="93">
        <v>0</v>
      </c>
      <c r="J4" s="93">
        <v>17089823</v>
      </c>
      <c r="K4" s="93">
        <v>4405225.5</v>
      </c>
      <c r="L4" s="92">
        <v>323386</v>
      </c>
      <c r="M4" s="92"/>
      <c r="N4" s="93">
        <v>1411738.25</v>
      </c>
      <c r="O4" s="93">
        <v>6436918</v>
      </c>
      <c r="P4" s="93">
        <v>0</v>
      </c>
      <c r="Q4" s="92">
        <v>4527611</v>
      </c>
      <c r="R4" s="92"/>
      <c r="S4" s="93">
        <v>5722834</v>
      </c>
      <c r="T4" s="94">
        <v>-1642250</v>
      </c>
      <c r="U4" s="94">
        <v>4080584</v>
      </c>
    </row>
    <row r="5" spans="1:21">
      <c r="A5" s="89">
        <v>10500</v>
      </c>
      <c r="B5" s="90" t="s">
        <v>2</v>
      </c>
      <c r="C5" s="97">
        <v>7.2939999999999995E-4</v>
      </c>
      <c r="D5" s="97">
        <v>7.291E-4</v>
      </c>
      <c r="E5" s="92">
        <v>973166.72</v>
      </c>
      <c r="F5" s="92">
        <v>2686878</v>
      </c>
      <c r="G5" s="92">
        <v>6703939</v>
      </c>
      <c r="H5" s="92"/>
      <c r="I5" s="93">
        <v>0</v>
      </c>
      <c r="J5" s="93">
        <v>3835482</v>
      </c>
      <c r="K5" s="93">
        <v>988668</v>
      </c>
      <c r="L5" s="92">
        <v>44187</v>
      </c>
      <c r="M5" s="92"/>
      <c r="N5" s="93">
        <v>316838</v>
      </c>
      <c r="O5" s="93">
        <v>1444642</v>
      </c>
      <c r="P5" s="93">
        <v>0</v>
      </c>
      <c r="Q5" s="92">
        <v>56922</v>
      </c>
      <c r="R5" s="92"/>
      <c r="S5" s="93">
        <v>1284380</v>
      </c>
      <c r="T5" s="94">
        <v>-18368</v>
      </c>
      <c r="U5" s="94">
        <v>1266012</v>
      </c>
    </row>
    <row r="6" spans="1:21">
      <c r="A6" s="89">
        <v>10700</v>
      </c>
      <c r="B6" s="90" t="s">
        <v>3</v>
      </c>
      <c r="C6" s="97">
        <v>4.5304999999999998E-3</v>
      </c>
      <c r="D6" s="97">
        <v>1.854E-3</v>
      </c>
      <c r="E6" s="92">
        <v>5454042.5299999993</v>
      </c>
      <c r="F6" s="92">
        <v>6832357</v>
      </c>
      <c r="G6" s="92">
        <v>41639975</v>
      </c>
      <c r="H6" s="92"/>
      <c r="I6" s="93">
        <v>0</v>
      </c>
      <c r="J6" s="93">
        <v>23823213</v>
      </c>
      <c r="K6" s="93">
        <v>6140884</v>
      </c>
      <c r="L6" s="92">
        <v>9291283</v>
      </c>
      <c r="M6" s="92"/>
      <c r="N6" s="93">
        <v>1967963</v>
      </c>
      <c r="O6" s="93">
        <v>8973063</v>
      </c>
      <c r="P6" s="93">
        <v>0</v>
      </c>
      <c r="Q6" s="92">
        <v>0</v>
      </c>
      <c r="R6" s="92"/>
      <c r="S6" s="93">
        <v>7977631</v>
      </c>
      <c r="T6" s="94">
        <v>2692937</v>
      </c>
      <c r="U6" s="94">
        <v>10670568</v>
      </c>
    </row>
    <row r="7" spans="1:21">
      <c r="A7" s="89">
        <v>10800</v>
      </c>
      <c r="B7" s="90" t="s">
        <v>4</v>
      </c>
      <c r="C7" s="97">
        <v>1.9146300000000002E-2</v>
      </c>
      <c r="D7" s="97">
        <v>1.9480399999999998E-2</v>
      </c>
      <c r="E7" s="92">
        <v>26198397.030000001</v>
      </c>
      <c r="F7" s="92">
        <v>71789131</v>
      </c>
      <c r="G7" s="92">
        <v>175974275</v>
      </c>
      <c r="H7" s="92"/>
      <c r="I7" s="93">
        <v>0</v>
      </c>
      <c r="J7" s="93">
        <v>100679038</v>
      </c>
      <c r="K7" s="93">
        <v>25951929</v>
      </c>
      <c r="L7" s="92">
        <v>384557</v>
      </c>
      <c r="M7" s="92"/>
      <c r="N7" s="93">
        <v>8316789</v>
      </c>
      <c r="O7" s="93">
        <v>37920970</v>
      </c>
      <c r="P7" s="93">
        <v>0</v>
      </c>
      <c r="Q7" s="92">
        <v>397121</v>
      </c>
      <c r="R7" s="92"/>
      <c r="S7" s="93">
        <v>33714184</v>
      </c>
      <c r="T7" s="94">
        <v>-8384</v>
      </c>
      <c r="U7" s="94">
        <v>33705800</v>
      </c>
    </row>
    <row r="8" spans="1:21">
      <c r="A8" s="89">
        <v>10850</v>
      </c>
      <c r="B8" s="90" t="s">
        <v>5</v>
      </c>
      <c r="C8" s="97">
        <v>1.383E-4</v>
      </c>
      <c r="D8" s="97">
        <v>1.2410000000000001E-4</v>
      </c>
      <c r="E8" s="92">
        <v>267938.84000000003</v>
      </c>
      <c r="F8" s="92">
        <v>457333</v>
      </c>
      <c r="G8" s="92">
        <v>1271120</v>
      </c>
      <c r="H8" s="92"/>
      <c r="I8" s="93">
        <v>0</v>
      </c>
      <c r="J8" s="93">
        <v>727238</v>
      </c>
      <c r="K8" s="93">
        <v>187459</v>
      </c>
      <c r="L8" s="92">
        <v>264047</v>
      </c>
      <c r="M8" s="92"/>
      <c r="N8" s="93">
        <v>60075</v>
      </c>
      <c r="O8" s="93">
        <v>273916</v>
      </c>
      <c r="P8" s="93">
        <v>0</v>
      </c>
      <c r="Q8" s="92">
        <v>0</v>
      </c>
      <c r="R8" s="92"/>
      <c r="S8" s="93">
        <v>243529</v>
      </c>
      <c r="T8" s="94">
        <v>103484</v>
      </c>
      <c r="U8" s="94">
        <v>347013</v>
      </c>
    </row>
    <row r="9" spans="1:21">
      <c r="A9" s="89">
        <v>10900</v>
      </c>
      <c r="B9" s="90" t="s">
        <v>6</v>
      </c>
      <c r="C9" s="97">
        <v>1.9082000000000001E-3</v>
      </c>
      <c r="D9" s="97">
        <v>1.9277000000000001E-3</v>
      </c>
      <c r="E9" s="92">
        <v>3000627.11</v>
      </c>
      <c r="F9" s="92">
        <v>7103956</v>
      </c>
      <c r="G9" s="92">
        <v>17538329</v>
      </c>
      <c r="H9" s="92"/>
      <c r="I9" s="93">
        <v>0</v>
      </c>
      <c r="J9" s="93">
        <v>10034092</v>
      </c>
      <c r="K9" s="93">
        <v>2586477</v>
      </c>
      <c r="L9" s="92">
        <v>1355906</v>
      </c>
      <c r="M9" s="92"/>
      <c r="N9" s="93">
        <v>828886</v>
      </c>
      <c r="O9" s="93">
        <v>3779362</v>
      </c>
      <c r="P9" s="93">
        <v>0</v>
      </c>
      <c r="Q9" s="92">
        <v>0</v>
      </c>
      <c r="R9" s="92"/>
      <c r="S9" s="93">
        <v>3360096</v>
      </c>
      <c r="T9" s="94">
        <v>555722</v>
      </c>
      <c r="U9" s="94">
        <v>3915818</v>
      </c>
    </row>
    <row r="10" spans="1:21">
      <c r="A10" s="89">
        <v>10910</v>
      </c>
      <c r="B10" s="90" t="s">
        <v>7</v>
      </c>
      <c r="C10" s="97">
        <v>2.6919999999999998E-4</v>
      </c>
      <c r="D10" s="97">
        <v>3.3819999999999998E-4</v>
      </c>
      <c r="E10" s="92">
        <v>373715.86000000004</v>
      </c>
      <c r="F10" s="92">
        <v>1246334</v>
      </c>
      <c r="G10" s="92">
        <v>2474226</v>
      </c>
      <c r="H10" s="92"/>
      <c r="I10" s="93">
        <v>0</v>
      </c>
      <c r="J10" s="93">
        <v>1415563</v>
      </c>
      <c r="K10" s="93">
        <v>364888</v>
      </c>
      <c r="L10" s="92">
        <v>142463</v>
      </c>
      <c r="M10" s="92"/>
      <c r="N10" s="93">
        <v>116935</v>
      </c>
      <c r="O10" s="93">
        <v>533175</v>
      </c>
      <c r="P10" s="93">
        <v>0</v>
      </c>
      <c r="Q10" s="92">
        <v>248392</v>
      </c>
      <c r="R10" s="92"/>
      <c r="S10" s="93">
        <v>474027</v>
      </c>
      <c r="T10" s="94">
        <v>-25064</v>
      </c>
      <c r="U10" s="94">
        <v>448963</v>
      </c>
    </row>
    <row r="11" spans="1:21">
      <c r="A11" s="89">
        <v>10930</v>
      </c>
      <c r="B11" s="90" t="s">
        <v>8</v>
      </c>
      <c r="C11" s="97">
        <v>2.5428E-3</v>
      </c>
      <c r="D11" s="97">
        <v>2.6234000000000001E-3</v>
      </c>
      <c r="E11" s="92">
        <v>3811103.52</v>
      </c>
      <c r="F11" s="92">
        <v>9667748</v>
      </c>
      <c r="G11" s="92">
        <v>23370959</v>
      </c>
      <c r="H11" s="92"/>
      <c r="I11" s="93">
        <v>0</v>
      </c>
      <c r="J11" s="93">
        <v>13371077</v>
      </c>
      <c r="K11" s="93">
        <v>3446648</v>
      </c>
      <c r="L11" s="92">
        <v>1086418</v>
      </c>
      <c r="M11" s="92"/>
      <c r="N11" s="93">
        <v>1104544</v>
      </c>
      <c r="O11" s="93">
        <v>5036244</v>
      </c>
      <c r="P11" s="93">
        <v>0</v>
      </c>
      <c r="Q11" s="92">
        <v>139752</v>
      </c>
      <c r="R11" s="92"/>
      <c r="S11" s="93">
        <v>4477545</v>
      </c>
      <c r="T11" s="94">
        <v>322169</v>
      </c>
      <c r="U11" s="94">
        <v>4799715</v>
      </c>
    </row>
    <row r="12" spans="1:21">
      <c r="A12" s="89">
        <v>10940</v>
      </c>
      <c r="B12" s="90" t="s">
        <v>9</v>
      </c>
      <c r="C12" s="97">
        <v>6.9930000000000003E-4</v>
      </c>
      <c r="D12" s="97">
        <v>7.228E-4</v>
      </c>
      <c r="E12" s="92">
        <v>1046821.5700000001</v>
      </c>
      <c r="F12" s="92">
        <v>2663661</v>
      </c>
      <c r="G12" s="92">
        <v>6427289</v>
      </c>
      <c r="H12" s="92"/>
      <c r="I12" s="93">
        <v>0</v>
      </c>
      <c r="J12" s="93">
        <v>3677204</v>
      </c>
      <c r="K12" s="93">
        <v>947869</v>
      </c>
      <c r="L12" s="92">
        <v>39909</v>
      </c>
      <c r="M12" s="92"/>
      <c r="N12" s="93">
        <v>303763</v>
      </c>
      <c r="O12" s="93">
        <v>1385027</v>
      </c>
      <c r="P12" s="93">
        <v>0</v>
      </c>
      <c r="Q12" s="92">
        <v>358660</v>
      </c>
      <c r="R12" s="92"/>
      <c r="S12" s="93">
        <v>1231378</v>
      </c>
      <c r="T12" s="94">
        <v>-130950</v>
      </c>
      <c r="U12" s="94">
        <v>1100428</v>
      </c>
    </row>
    <row r="13" spans="1:21">
      <c r="A13" s="89">
        <v>10950</v>
      </c>
      <c r="B13" s="90" t="s">
        <v>10</v>
      </c>
      <c r="C13" s="97">
        <v>6.8150000000000003E-4</v>
      </c>
      <c r="D13" s="97">
        <v>6.7480000000000003E-4</v>
      </c>
      <c r="E13" s="92">
        <v>943659.91999999993</v>
      </c>
      <c r="F13" s="92">
        <v>2486772</v>
      </c>
      <c r="G13" s="92">
        <v>6263689</v>
      </c>
      <c r="H13" s="92"/>
      <c r="I13" s="93">
        <v>0</v>
      </c>
      <c r="J13" s="93">
        <v>3583604</v>
      </c>
      <c r="K13" s="93">
        <v>923742</v>
      </c>
      <c r="L13" s="92">
        <v>257180</v>
      </c>
      <c r="M13" s="92"/>
      <c r="N13" s="93">
        <v>296031</v>
      </c>
      <c r="O13" s="93">
        <v>1349772</v>
      </c>
      <c r="P13" s="93">
        <v>0</v>
      </c>
      <c r="Q13" s="92">
        <v>0</v>
      </c>
      <c r="R13" s="92"/>
      <c r="S13" s="93">
        <v>1200034</v>
      </c>
      <c r="T13" s="94">
        <v>110112</v>
      </c>
      <c r="U13" s="94">
        <v>1310146</v>
      </c>
    </row>
    <row r="14" spans="1:21">
      <c r="A14" s="89">
        <v>11300</v>
      </c>
      <c r="B14" s="90" t="s">
        <v>11</v>
      </c>
      <c r="C14" s="97">
        <v>5.2521E-3</v>
      </c>
      <c r="D14" s="97">
        <v>8.1285999999999997E-3</v>
      </c>
      <c r="E14" s="92">
        <v>8514289.7599999998</v>
      </c>
      <c r="F14" s="92">
        <v>29955500</v>
      </c>
      <c r="G14" s="92">
        <v>48272224</v>
      </c>
      <c r="H14" s="92"/>
      <c r="I14" s="93">
        <v>0</v>
      </c>
      <c r="J14" s="93">
        <v>27617679</v>
      </c>
      <c r="K14" s="93">
        <v>7118980</v>
      </c>
      <c r="L14" s="92">
        <v>0</v>
      </c>
      <c r="M14" s="92"/>
      <c r="N14" s="93">
        <v>2281412</v>
      </c>
      <c r="O14" s="93">
        <v>10402257</v>
      </c>
      <c r="P14" s="93">
        <v>0</v>
      </c>
      <c r="Q14" s="92">
        <v>9492954</v>
      </c>
      <c r="R14" s="92"/>
      <c r="S14" s="93">
        <v>9248276</v>
      </c>
      <c r="T14" s="94">
        <v>-2825960</v>
      </c>
      <c r="U14" s="94">
        <v>6422316</v>
      </c>
    </row>
    <row r="15" spans="1:21">
      <c r="A15" s="89">
        <v>11310</v>
      </c>
      <c r="B15" s="90" t="s">
        <v>12</v>
      </c>
      <c r="C15" s="97">
        <v>5.0109999999999998E-4</v>
      </c>
      <c r="D15" s="97">
        <v>5.1639999999999998E-4</v>
      </c>
      <c r="E15" s="92">
        <v>719213.91</v>
      </c>
      <c r="F15" s="92">
        <v>1903036</v>
      </c>
      <c r="G15" s="92">
        <v>4605627</v>
      </c>
      <c r="H15" s="92"/>
      <c r="I15" s="93">
        <v>0</v>
      </c>
      <c r="J15" s="93">
        <v>2634988</v>
      </c>
      <c r="K15" s="93">
        <v>679218</v>
      </c>
      <c r="L15" s="92">
        <v>56069</v>
      </c>
      <c r="M15" s="92"/>
      <c r="N15" s="93">
        <v>217668</v>
      </c>
      <c r="O15" s="93">
        <v>992474</v>
      </c>
      <c r="P15" s="93">
        <v>0</v>
      </c>
      <c r="Q15" s="92">
        <v>0</v>
      </c>
      <c r="R15" s="92"/>
      <c r="S15" s="93">
        <v>882373</v>
      </c>
      <c r="T15" s="94">
        <v>23055</v>
      </c>
      <c r="U15" s="94">
        <v>905428</v>
      </c>
    </row>
    <row r="16" spans="1:21">
      <c r="A16" s="89">
        <v>11600</v>
      </c>
      <c r="B16" s="90" t="s">
        <v>13</v>
      </c>
      <c r="C16" s="97">
        <v>2.1102E-3</v>
      </c>
      <c r="D16" s="97">
        <v>2.1665E-3</v>
      </c>
      <c r="E16" s="92">
        <v>2680079.3199999998</v>
      </c>
      <c r="F16" s="92">
        <v>7983981</v>
      </c>
      <c r="G16" s="92">
        <v>19394918</v>
      </c>
      <c r="H16" s="92"/>
      <c r="I16" s="93">
        <v>0</v>
      </c>
      <c r="J16" s="93">
        <v>11096290</v>
      </c>
      <c r="K16" s="93">
        <v>2860279</v>
      </c>
      <c r="L16" s="92">
        <v>98558</v>
      </c>
      <c r="M16" s="92"/>
      <c r="N16" s="93">
        <v>916631</v>
      </c>
      <c r="O16" s="93">
        <v>4179441</v>
      </c>
      <c r="P16" s="93">
        <v>0</v>
      </c>
      <c r="Q16" s="92">
        <v>408215</v>
      </c>
      <c r="R16" s="92"/>
      <c r="S16" s="93">
        <v>3715792</v>
      </c>
      <c r="T16" s="94">
        <v>-81966</v>
      </c>
      <c r="U16" s="94">
        <v>3633826</v>
      </c>
    </row>
    <row r="17" spans="1:21">
      <c r="A17" s="89">
        <v>11900</v>
      </c>
      <c r="B17" s="90" t="s">
        <v>14</v>
      </c>
      <c r="C17" s="97">
        <v>2.4699999999999999E-4</v>
      </c>
      <c r="D17" s="97">
        <v>2.474E-4</v>
      </c>
      <c r="E17" s="92">
        <v>297961.31999999995</v>
      </c>
      <c r="F17" s="92">
        <v>911718</v>
      </c>
      <c r="G17" s="92">
        <v>2270185</v>
      </c>
      <c r="H17" s="92"/>
      <c r="I17" s="93">
        <v>0</v>
      </c>
      <c r="J17" s="93">
        <v>1298827</v>
      </c>
      <c r="K17" s="93">
        <v>334797</v>
      </c>
      <c r="L17" s="92">
        <v>70027</v>
      </c>
      <c r="M17" s="92"/>
      <c r="N17" s="93">
        <v>107292</v>
      </c>
      <c r="O17" s="93">
        <v>489205.73</v>
      </c>
      <c r="P17" s="93">
        <v>0</v>
      </c>
      <c r="Q17" s="92">
        <v>42325</v>
      </c>
      <c r="R17" s="92"/>
      <c r="S17" s="93">
        <v>434935</v>
      </c>
      <c r="T17" s="94">
        <v>7007</v>
      </c>
      <c r="U17" s="94">
        <v>441943</v>
      </c>
    </row>
    <row r="18" spans="1:21">
      <c r="A18" s="89">
        <v>12100</v>
      </c>
      <c r="B18" s="90" t="s">
        <v>15</v>
      </c>
      <c r="C18" s="97">
        <v>2.6439999999999998E-4</v>
      </c>
      <c r="D18" s="97">
        <v>2.677E-4</v>
      </c>
      <c r="E18" s="92">
        <v>378243.38</v>
      </c>
      <c r="F18" s="92">
        <v>986528</v>
      </c>
      <c r="G18" s="92">
        <v>2430109</v>
      </c>
      <c r="H18" s="92"/>
      <c r="I18" s="93">
        <v>0</v>
      </c>
      <c r="J18" s="93">
        <v>1390323</v>
      </c>
      <c r="K18" s="93">
        <v>358382</v>
      </c>
      <c r="L18" s="92">
        <v>211401</v>
      </c>
      <c r="M18" s="92"/>
      <c r="N18" s="93">
        <v>114850</v>
      </c>
      <c r="O18" s="93">
        <v>523668</v>
      </c>
      <c r="P18" s="93">
        <v>0</v>
      </c>
      <c r="Q18" s="92">
        <v>0</v>
      </c>
      <c r="R18" s="92"/>
      <c r="S18" s="93">
        <v>465575</v>
      </c>
      <c r="T18" s="94">
        <v>100753</v>
      </c>
      <c r="U18" s="94">
        <v>566328</v>
      </c>
    </row>
    <row r="19" spans="1:21">
      <c r="A19" s="89">
        <v>12150</v>
      </c>
      <c r="B19" s="90" t="s">
        <v>16</v>
      </c>
      <c r="C19" s="97">
        <v>4.0200000000000001E-5</v>
      </c>
      <c r="D19" s="97">
        <v>4.3000000000000002E-5</v>
      </c>
      <c r="E19" s="92">
        <v>44062.060000000012</v>
      </c>
      <c r="F19" s="92">
        <v>158464</v>
      </c>
      <c r="G19" s="92">
        <v>369480</v>
      </c>
      <c r="H19" s="92"/>
      <c r="I19" s="93">
        <v>0</v>
      </c>
      <c r="J19" s="93">
        <v>211388</v>
      </c>
      <c r="K19" s="93">
        <v>54489</v>
      </c>
      <c r="L19" s="92">
        <v>28067</v>
      </c>
      <c r="M19" s="92"/>
      <c r="N19" s="93">
        <v>17462</v>
      </c>
      <c r="O19" s="93">
        <v>79620</v>
      </c>
      <c r="P19" s="93">
        <v>0</v>
      </c>
      <c r="Q19" s="92">
        <v>15305</v>
      </c>
      <c r="R19" s="92"/>
      <c r="S19" s="93">
        <v>70787</v>
      </c>
      <c r="T19" s="94">
        <v>7324</v>
      </c>
      <c r="U19" s="94">
        <v>78111</v>
      </c>
    </row>
    <row r="20" spans="1:21">
      <c r="A20" s="89">
        <v>12160</v>
      </c>
      <c r="B20" s="90" t="s">
        <v>17</v>
      </c>
      <c r="C20" s="97">
        <v>1.8841000000000001E-3</v>
      </c>
      <c r="D20" s="97">
        <v>1.8278000000000001E-3</v>
      </c>
      <c r="E20" s="92">
        <v>2668036.5100000002</v>
      </c>
      <c r="F20" s="92">
        <v>6735805</v>
      </c>
      <c r="G20" s="92">
        <v>17316825</v>
      </c>
      <c r="H20" s="92"/>
      <c r="I20" s="93">
        <v>0</v>
      </c>
      <c r="J20" s="93">
        <v>9907365</v>
      </c>
      <c r="K20" s="93">
        <v>2553811</v>
      </c>
      <c r="L20" s="92">
        <v>935381</v>
      </c>
      <c r="M20" s="92"/>
      <c r="N20" s="93">
        <v>818417</v>
      </c>
      <c r="O20" s="93">
        <v>3731630</v>
      </c>
      <c r="P20" s="93">
        <v>0</v>
      </c>
      <c r="Q20" s="92">
        <v>0</v>
      </c>
      <c r="R20" s="92"/>
      <c r="S20" s="93">
        <v>3317659</v>
      </c>
      <c r="T20" s="94">
        <v>385282</v>
      </c>
      <c r="U20" s="94">
        <v>3702941</v>
      </c>
    </row>
    <row r="21" spans="1:21">
      <c r="A21" s="89">
        <v>12220</v>
      </c>
      <c r="B21" s="90" t="s">
        <v>18</v>
      </c>
      <c r="C21" s="97">
        <v>4.7691699999999997E-2</v>
      </c>
      <c r="D21" s="97">
        <v>4.9292900000000001E-2</v>
      </c>
      <c r="E21" s="92">
        <v>67600773.789999992</v>
      </c>
      <c r="F21" s="92">
        <v>181654096</v>
      </c>
      <c r="G21" s="92">
        <v>438335989</v>
      </c>
      <c r="H21" s="92"/>
      <c r="I21" s="93">
        <v>0</v>
      </c>
      <c r="J21" s="93">
        <v>250782369</v>
      </c>
      <c r="K21" s="93">
        <v>64643906</v>
      </c>
      <c r="L21" s="92">
        <v>4166992</v>
      </c>
      <c r="M21" s="92"/>
      <c r="N21" s="93">
        <v>20716368</v>
      </c>
      <c r="O21" s="93">
        <v>94457704</v>
      </c>
      <c r="P21" s="93">
        <v>0</v>
      </c>
      <c r="Q21" s="92">
        <v>220180</v>
      </c>
      <c r="R21" s="92"/>
      <c r="S21" s="93">
        <v>83978979</v>
      </c>
      <c r="T21" s="94">
        <v>1715732</v>
      </c>
      <c r="U21" s="94">
        <v>85694712</v>
      </c>
    </row>
    <row r="22" spans="1:21">
      <c r="A22" s="89">
        <v>12510</v>
      </c>
      <c r="B22" s="90" t="s">
        <v>19</v>
      </c>
      <c r="C22" s="97">
        <v>5.4278E-3</v>
      </c>
      <c r="D22" s="97">
        <v>5.705E-3</v>
      </c>
      <c r="E22" s="92">
        <v>8288804.7699999986</v>
      </c>
      <c r="F22" s="92">
        <v>21024055</v>
      </c>
      <c r="G22" s="92">
        <v>49887089</v>
      </c>
      <c r="H22" s="92"/>
      <c r="I22" s="93">
        <v>0</v>
      </c>
      <c r="J22" s="93">
        <v>28541582</v>
      </c>
      <c r="K22" s="93">
        <v>7357133</v>
      </c>
      <c r="L22" s="92">
        <v>266475</v>
      </c>
      <c r="M22" s="92"/>
      <c r="N22" s="93">
        <v>2357733</v>
      </c>
      <c r="O22" s="93">
        <v>10750246</v>
      </c>
      <c r="P22" s="93">
        <v>0</v>
      </c>
      <c r="Q22" s="92">
        <v>1031684</v>
      </c>
      <c r="R22" s="92"/>
      <c r="S22" s="93">
        <v>9557661</v>
      </c>
      <c r="T22" s="94">
        <v>-275016</v>
      </c>
      <c r="U22" s="94">
        <v>9282645</v>
      </c>
    </row>
    <row r="23" spans="1:21">
      <c r="A23" s="89">
        <v>12600</v>
      </c>
      <c r="B23" s="90" t="s">
        <v>20</v>
      </c>
      <c r="C23" s="97">
        <v>1.4882000000000001E-3</v>
      </c>
      <c r="D23" s="97">
        <v>1.5257000000000001E-3</v>
      </c>
      <c r="E23" s="92">
        <v>2245693.3999999994</v>
      </c>
      <c r="F23" s="92">
        <v>5622507</v>
      </c>
      <c r="G23" s="92">
        <v>13678095</v>
      </c>
      <c r="H23" s="92"/>
      <c r="I23" s="93">
        <v>0</v>
      </c>
      <c r="J23" s="93">
        <v>7825561</v>
      </c>
      <c r="K23" s="93">
        <v>2017187</v>
      </c>
      <c r="L23" s="92">
        <v>178502</v>
      </c>
      <c r="M23" s="92"/>
      <c r="N23" s="93">
        <v>646446</v>
      </c>
      <c r="O23" s="93">
        <v>2947514</v>
      </c>
      <c r="P23" s="93">
        <v>0</v>
      </c>
      <c r="Q23" s="92">
        <v>32241</v>
      </c>
      <c r="R23" s="92"/>
      <c r="S23" s="93">
        <v>2620530</v>
      </c>
      <c r="T23" s="94">
        <v>36597</v>
      </c>
      <c r="U23" s="94">
        <v>2657127</v>
      </c>
    </row>
    <row r="24" spans="1:21">
      <c r="A24" s="89">
        <v>12700</v>
      </c>
      <c r="B24" s="90" t="s">
        <v>21</v>
      </c>
      <c r="C24" s="97">
        <v>1.1444999999999999E-3</v>
      </c>
      <c r="D24" s="97">
        <v>1.1758000000000001E-3</v>
      </c>
      <c r="E24" s="92">
        <v>1696550.85</v>
      </c>
      <c r="F24" s="92">
        <v>4333056</v>
      </c>
      <c r="G24" s="92">
        <v>10519137</v>
      </c>
      <c r="H24" s="92"/>
      <c r="I24" s="93">
        <v>0</v>
      </c>
      <c r="J24" s="93">
        <v>6018247</v>
      </c>
      <c r="K24" s="93">
        <v>1551317</v>
      </c>
      <c r="L24" s="92">
        <v>77391</v>
      </c>
      <c r="M24" s="92"/>
      <c r="N24" s="93">
        <v>497149</v>
      </c>
      <c r="O24" s="93">
        <v>2266785</v>
      </c>
      <c r="P24" s="93">
        <v>0</v>
      </c>
      <c r="Q24" s="92">
        <v>45855</v>
      </c>
      <c r="R24" s="92"/>
      <c r="S24" s="93">
        <v>2015318</v>
      </c>
      <c r="T24" s="94">
        <v>3400</v>
      </c>
      <c r="U24" s="94">
        <v>2018718</v>
      </c>
    </row>
    <row r="25" spans="1:21">
      <c r="A25" s="89">
        <v>13500</v>
      </c>
      <c r="B25" s="90" t="s">
        <v>22</v>
      </c>
      <c r="C25" s="97">
        <v>4.3654999999999996E-3</v>
      </c>
      <c r="D25" s="97">
        <v>4.2383999999999998E-3</v>
      </c>
      <c r="E25" s="92">
        <v>6111936.2200000007</v>
      </c>
      <c r="F25" s="92">
        <v>15619343</v>
      </c>
      <c r="G25" s="92">
        <v>40123455</v>
      </c>
      <c r="H25" s="92"/>
      <c r="I25" s="93">
        <v>0</v>
      </c>
      <c r="J25" s="93">
        <v>22955576</v>
      </c>
      <c r="K25" s="93">
        <v>5917234</v>
      </c>
      <c r="L25" s="92">
        <v>1147174</v>
      </c>
      <c r="M25" s="92"/>
      <c r="N25" s="93">
        <v>1896290</v>
      </c>
      <c r="O25" s="93">
        <v>8646266</v>
      </c>
      <c r="P25" s="93">
        <v>0</v>
      </c>
      <c r="Q25" s="92">
        <v>0</v>
      </c>
      <c r="R25" s="92"/>
      <c r="S25" s="93">
        <v>7687087</v>
      </c>
      <c r="T25" s="94">
        <v>370257</v>
      </c>
      <c r="U25" s="94">
        <v>8057344</v>
      </c>
    </row>
    <row r="26" spans="1:21">
      <c r="A26" s="89">
        <v>13700</v>
      </c>
      <c r="B26" s="90" t="s">
        <v>23</v>
      </c>
      <c r="C26" s="97">
        <v>5.1610000000000002E-4</v>
      </c>
      <c r="D26" s="97">
        <v>5.3370000000000002E-4</v>
      </c>
      <c r="E26" s="92">
        <v>750673.48</v>
      </c>
      <c r="F26" s="92">
        <v>1966790</v>
      </c>
      <c r="G26" s="92">
        <v>4743492</v>
      </c>
      <c r="H26" s="92"/>
      <c r="I26" s="93">
        <v>0</v>
      </c>
      <c r="J26" s="93">
        <v>2713864</v>
      </c>
      <c r="K26" s="93">
        <v>699550</v>
      </c>
      <c r="L26" s="92">
        <v>29670</v>
      </c>
      <c r="M26" s="92"/>
      <c r="N26" s="93">
        <v>224184</v>
      </c>
      <c r="O26" s="93">
        <v>1022182</v>
      </c>
      <c r="P26" s="93">
        <v>0</v>
      </c>
      <c r="Q26" s="92">
        <v>74198</v>
      </c>
      <c r="R26" s="92"/>
      <c r="S26" s="93">
        <v>908786</v>
      </c>
      <c r="T26" s="94">
        <v>-14991</v>
      </c>
      <c r="U26" s="94">
        <v>893796</v>
      </c>
    </row>
    <row r="27" spans="1:21">
      <c r="A27" s="89">
        <v>14200</v>
      </c>
      <c r="B27" s="90" t="s">
        <v>284</v>
      </c>
      <c r="C27" s="97">
        <v>0</v>
      </c>
      <c r="D27" s="97">
        <v>0</v>
      </c>
      <c r="E27" s="92"/>
      <c r="F27" s="92">
        <v>0</v>
      </c>
      <c r="G27" s="92">
        <v>0</v>
      </c>
      <c r="H27" s="92"/>
      <c r="I27" s="93">
        <v>0</v>
      </c>
      <c r="J27" s="93">
        <v>0</v>
      </c>
      <c r="K27" s="93">
        <v>0</v>
      </c>
      <c r="L27" s="92">
        <v>0</v>
      </c>
      <c r="M27" s="92"/>
      <c r="N27" s="93">
        <v>0</v>
      </c>
      <c r="O27" s="93">
        <v>0</v>
      </c>
      <c r="P27" s="93">
        <v>0</v>
      </c>
      <c r="Q27" s="92">
        <v>4537</v>
      </c>
      <c r="R27" s="92"/>
      <c r="S27" s="93">
        <v>0</v>
      </c>
      <c r="T27" s="94">
        <v>-2535</v>
      </c>
      <c r="U27" s="94">
        <v>-2535</v>
      </c>
    </row>
    <row r="28" spans="1:21">
      <c r="A28" s="89">
        <v>14300</v>
      </c>
      <c r="B28" s="90" t="s">
        <v>464</v>
      </c>
      <c r="C28" s="97">
        <v>1.4986999999999999E-3</v>
      </c>
      <c r="D28" s="97">
        <v>1.3797E-3</v>
      </c>
      <c r="E28" s="92">
        <v>2263219.52</v>
      </c>
      <c r="F28" s="92">
        <v>5771389</v>
      </c>
      <c r="G28" s="92">
        <v>13774601</v>
      </c>
      <c r="H28" s="92"/>
      <c r="I28" s="93">
        <v>0</v>
      </c>
      <c r="J28" s="93">
        <v>7880775</v>
      </c>
      <c r="K28" s="93">
        <v>2031419</v>
      </c>
      <c r="L28" s="92">
        <v>560748</v>
      </c>
      <c r="M28" s="92"/>
      <c r="N28" s="93">
        <v>651007</v>
      </c>
      <c r="O28" s="93">
        <v>2968310</v>
      </c>
      <c r="P28" s="93">
        <v>0</v>
      </c>
      <c r="Q28" s="92">
        <v>31733</v>
      </c>
      <c r="R28" s="92"/>
      <c r="S28" s="93">
        <v>2639019</v>
      </c>
      <c r="T28" s="94">
        <v>148991</v>
      </c>
      <c r="U28" s="94">
        <v>2788010</v>
      </c>
    </row>
    <row r="29" spans="1:21">
      <c r="A29" s="89">
        <v>14300.2</v>
      </c>
      <c r="B29" s="90" t="s">
        <v>465</v>
      </c>
      <c r="C29" s="97">
        <v>1.694E-4</v>
      </c>
      <c r="D29" s="97">
        <v>1.864E-4</v>
      </c>
      <c r="E29" s="92"/>
      <c r="F29" s="92"/>
      <c r="G29" s="92">
        <v>1556961</v>
      </c>
      <c r="H29" s="92"/>
      <c r="I29" s="93">
        <v>0</v>
      </c>
      <c r="J29" s="93">
        <v>890774</v>
      </c>
      <c r="K29" s="93">
        <v>229614</v>
      </c>
      <c r="L29" s="92">
        <v>8453</v>
      </c>
      <c r="M29" s="92"/>
      <c r="N29" s="93">
        <v>73584</v>
      </c>
      <c r="O29" s="93">
        <v>335512</v>
      </c>
      <c r="P29" s="93">
        <v>0</v>
      </c>
      <c r="Q29" s="92">
        <v>35751</v>
      </c>
      <c r="R29" s="92"/>
      <c r="S29" s="93">
        <v>298292</v>
      </c>
      <c r="T29" s="94">
        <v>-8172</v>
      </c>
      <c r="U29" s="94">
        <v>290120</v>
      </c>
    </row>
    <row r="30" spans="1:21">
      <c r="A30" s="89">
        <v>18400</v>
      </c>
      <c r="B30" s="90" t="s">
        <v>25</v>
      </c>
      <c r="C30" s="97">
        <v>5.6007000000000001E-3</v>
      </c>
      <c r="D30" s="97">
        <v>5.7102999999999998E-3</v>
      </c>
      <c r="E30" s="92">
        <v>7896103.669999999</v>
      </c>
      <c r="F30" s="92">
        <v>21043586</v>
      </c>
      <c r="G30" s="92">
        <v>51476219</v>
      </c>
      <c r="H30" s="92"/>
      <c r="I30" s="93">
        <v>0</v>
      </c>
      <c r="J30" s="93">
        <v>29450760</v>
      </c>
      <c r="K30" s="93">
        <v>7591491</v>
      </c>
      <c r="L30" s="92">
        <v>886093</v>
      </c>
      <c r="M30" s="92"/>
      <c r="N30" s="93">
        <v>2432838</v>
      </c>
      <c r="O30" s="93">
        <v>11092690</v>
      </c>
      <c r="P30" s="93">
        <v>0</v>
      </c>
      <c r="Q30" s="92">
        <v>0</v>
      </c>
      <c r="R30" s="92"/>
      <c r="S30" s="93">
        <v>9862116</v>
      </c>
      <c r="T30" s="94">
        <v>386763</v>
      </c>
      <c r="U30" s="94">
        <v>10248879</v>
      </c>
    </row>
    <row r="31" spans="1:21">
      <c r="A31" s="89">
        <v>18600</v>
      </c>
      <c r="B31" s="90" t="s">
        <v>26</v>
      </c>
      <c r="C31" s="97">
        <v>2.19E-5</v>
      </c>
      <c r="D31" s="97">
        <v>1.8600000000000001E-5</v>
      </c>
      <c r="E31" s="92">
        <v>31180.090000000004</v>
      </c>
      <c r="F31" s="92">
        <v>68545</v>
      </c>
      <c r="G31" s="92">
        <v>201284</v>
      </c>
      <c r="H31" s="92"/>
      <c r="I31" s="93">
        <v>0</v>
      </c>
      <c r="J31" s="93">
        <v>115159</v>
      </c>
      <c r="K31" s="93">
        <v>29684</v>
      </c>
      <c r="L31" s="92">
        <v>16996</v>
      </c>
      <c r="M31" s="92"/>
      <c r="N31" s="93">
        <v>9513</v>
      </c>
      <c r="O31" s="93">
        <v>43375</v>
      </c>
      <c r="P31" s="93">
        <v>0</v>
      </c>
      <c r="Q31" s="92">
        <v>10775</v>
      </c>
      <c r="R31" s="92"/>
      <c r="S31" s="93">
        <v>38563</v>
      </c>
      <c r="T31" s="94">
        <v>1521</v>
      </c>
      <c r="U31" s="94">
        <v>40084</v>
      </c>
    </row>
    <row r="32" spans="1:21">
      <c r="A32" s="89">
        <v>18640</v>
      </c>
      <c r="B32" s="90" t="s">
        <v>27</v>
      </c>
      <c r="C32" s="97">
        <v>0</v>
      </c>
      <c r="D32" s="97">
        <v>0</v>
      </c>
      <c r="E32" s="92">
        <v>0</v>
      </c>
      <c r="F32" s="92">
        <v>0</v>
      </c>
      <c r="G32" s="92">
        <v>0</v>
      </c>
      <c r="H32" s="92"/>
      <c r="I32" s="93">
        <v>0</v>
      </c>
      <c r="J32" s="93">
        <v>0</v>
      </c>
      <c r="K32" s="93">
        <v>0</v>
      </c>
      <c r="L32" s="92">
        <v>0</v>
      </c>
      <c r="M32" s="92"/>
      <c r="N32" s="93">
        <v>0</v>
      </c>
      <c r="O32" s="93">
        <v>0</v>
      </c>
      <c r="P32" s="93">
        <v>0</v>
      </c>
      <c r="Q32" s="92">
        <v>10248</v>
      </c>
      <c r="R32" s="92"/>
      <c r="S32" s="93">
        <v>0</v>
      </c>
      <c r="T32" s="94">
        <v>-4758</v>
      </c>
      <c r="U32" s="94">
        <v>-4758</v>
      </c>
    </row>
    <row r="33" spans="1:21">
      <c r="A33" s="89">
        <v>18670</v>
      </c>
      <c r="B33" s="90" t="s">
        <v>285</v>
      </c>
      <c r="C33" s="97">
        <v>0</v>
      </c>
      <c r="D33" s="97">
        <v>0</v>
      </c>
      <c r="E33" s="92"/>
      <c r="F33" s="92">
        <v>0</v>
      </c>
      <c r="G33" s="92">
        <v>0</v>
      </c>
      <c r="H33" s="92"/>
      <c r="I33" s="93">
        <v>0</v>
      </c>
      <c r="J33" s="93">
        <v>0</v>
      </c>
      <c r="K33" s="93">
        <v>0</v>
      </c>
      <c r="L33" s="92">
        <v>0</v>
      </c>
      <c r="M33" s="92"/>
      <c r="N33" s="93">
        <v>0</v>
      </c>
      <c r="O33" s="93">
        <v>0</v>
      </c>
      <c r="P33" s="93">
        <v>0</v>
      </c>
      <c r="Q33" s="92">
        <v>13373</v>
      </c>
      <c r="R33" s="92"/>
      <c r="S33" s="93">
        <v>0</v>
      </c>
      <c r="T33" s="94">
        <v>-5591</v>
      </c>
      <c r="U33" s="94">
        <v>-5591</v>
      </c>
    </row>
    <row r="34" spans="1:21">
      <c r="A34" s="89">
        <v>18690</v>
      </c>
      <c r="B34" s="90" t="s">
        <v>28</v>
      </c>
      <c r="C34" s="97">
        <v>5.2000000000000002E-6</v>
      </c>
      <c r="D34" s="97">
        <v>8.6999999999999997E-6</v>
      </c>
      <c r="E34" s="92">
        <v>17512.64</v>
      </c>
      <c r="F34" s="92">
        <v>32061</v>
      </c>
      <c r="G34" s="92">
        <v>47793</v>
      </c>
      <c r="H34" s="92"/>
      <c r="I34" s="93">
        <v>0</v>
      </c>
      <c r="J34" s="93">
        <v>27344</v>
      </c>
      <c r="K34" s="93">
        <v>7048</v>
      </c>
      <c r="L34" s="92">
        <v>11143</v>
      </c>
      <c r="M34" s="92"/>
      <c r="N34" s="93">
        <v>2259</v>
      </c>
      <c r="O34" s="93">
        <v>10299</v>
      </c>
      <c r="P34" s="93">
        <v>0</v>
      </c>
      <c r="Q34" s="92">
        <v>5844</v>
      </c>
      <c r="R34" s="92"/>
      <c r="S34" s="93">
        <v>9157</v>
      </c>
      <c r="T34" s="94">
        <v>4351</v>
      </c>
      <c r="U34" s="94">
        <v>13508</v>
      </c>
    </row>
    <row r="35" spans="1:21">
      <c r="A35" s="89">
        <v>18740</v>
      </c>
      <c r="B35" s="90" t="s">
        <v>29</v>
      </c>
      <c r="C35" s="97">
        <v>7.7999999999999999E-6</v>
      </c>
      <c r="D35" s="97">
        <v>6.2999999999999998E-6</v>
      </c>
      <c r="E35" s="92">
        <v>9499.4600000000009</v>
      </c>
      <c r="F35" s="92">
        <v>23217</v>
      </c>
      <c r="G35" s="92">
        <v>71690</v>
      </c>
      <c r="H35" s="92"/>
      <c r="I35" s="93">
        <v>0</v>
      </c>
      <c r="J35" s="93">
        <v>41016</v>
      </c>
      <c r="K35" s="93">
        <v>10573</v>
      </c>
      <c r="L35" s="92">
        <v>5197</v>
      </c>
      <c r="M35" s="92"/>
      <c r="N35" s="93">
        <v>3388</v>
      </c>
      <c r="O35" s="93">
        <v>15449</v>
      </c>
      <c r="P35" s="93">
        <v>0</v>
      </c>
      <c r="Q35" s="92">
        <v>933</v>
      </c>
      <c r="R35" s="92"/>
      <c r="S35" s="93">
        <v>13735</v>
      </c>
      <c r="T35" s="94">
        <v>1206</v>
      </c>
      <c r="U35" s="94">
        <v>14941</v>
      </c>
    </row>
    <row r="36" spans="1:21">
      <c r="A36" s="89">
        <v>18780</v>
      </c>
      <c r="B36" s="90" t="s">
        <v>30</v>
      </c>
      <c r="C36" s="97">
        <v>1.5500000000000001E-5</v>
      </c>
      <c r="D36" s="97">
        <v>1.3200000000000001E-5</v>
      </c>
      <c r="E36" s="92">
        <v>22953.699999999997</v>
      </c>
      <c r="F36" s="92">
        <v>48645</v>
      </c>
      <c r="G36" s="92">
        <v>142461</v>
      </c>
      <c r="H36" s="92"/>
      <c r="I36" s="93">
        <v>0</v>
      </c>
      <c r="J36" s="93">
        <v>81505</v>
      </c>
      <c r="K36" s="93">
        <v>21010</v>
      </c>
      <c r="L36" s="92">
        <v>21003</v>
      </c>
      <c r="M36" s="92"/>
      <c r="N36" s="93">
        <v>6733</v>
      </c>
      <c r="O36" s="93">
        <v>30699</v>
      </c>
      <c r="P36" s="93">
        <v>0</v>
      </c>
      <c r="Q36" s="92">
        <v>0</v>
      </c>
      <c r="R36" s="92"/>
      <c r="S36" s="93">
        <v>27294</v>
      </c>
      <c r="T36" s="94">
        <v>8228</v>
      </c>
      <c r="U36" s="94">
        <v>35521</v>
      </c>
    </row>
    <row r="37" spans="1:21">
      <c r="A37" s="89">
        <v>19005</v>
      </c>
      <c r="B37" s="90" t="s">
        <v>31</v>
      </c>
      <c r="C37" s="97">
        <v>7.7099999999999998E-4</v>
      </c>
      <c r="D37" s="97">
        <v>8.0519999999999995E-4</v>
      </c>
      <c r="E37" s="92">
        <v>1180058.3</v>
      </c>
      <c r="F37" s="92">
        <v>2967321</v>
      </c>
      <c r="G37" s="92">
        <v>7086286</v>
      </c>
      <c r="H37" s="92"/>
      <c r="I37" s="93">
        <v>0</v>
      </c>
      <c r="J37" s="93">
        <v>4054232</v>
      </c>
      <c r="K37" s="93">
        <v>1045055</v>
      </c>
      <c r="L37" s="92">
        <v>159264</v>
      </c>
      <c r="M37" s="92"/>
      <c r="N37" s="93">
        <v>334908</v>
      </c>
      <c r="O37" s="93">
        <v>1527034.89</v>
      </c>
      <c r="P37" s="93">
        <v>0</v>
      </c>
      <c r="Q37" s="92">
        <v>0</v>
      </c>
      <c r="R37" s="92"/>
      <c r="S37" s="93">
        <v>1357632</v>
      </c>
      <c r="T37" s="94">
        <v>61818</v>
      </c>
      <c r="U37" s="94">
        <v>1419450</v>
      </c>
    </row>
    <row r="38" spans="1:21">
      <c r="A38" s="89">
        <v>19100</v>
      </c>
      <c r="B38" s="90" t="s">
        <v>32</v>
      </c>
      <c r="C38" s="97">
        <v>6.9063399999999997E-2</v>
      </c>
      <c r="D38" s="97">
        <v>7.0273699999999995E-2</v>
      </c>
      <c r="E38" s="92">
        <v>90973310.329999998</v>
      </c>
      <c r="F38" s="92">
        <v>258972499</v>
      </c>
      <c r="G38" s="92">
        <v>634763988</v>
      </c>
      <c r="H38" s="92"/>
      <c r="I38" s="93">
        <v>0</v>
      </c>
      <c r="J38" s="93">
        <v>363163466</v>
      </c>
      <c r="K38" s="93">
        <v>93612262</v>
      </c>
      <c r="L38" s="92">
        <v>2943403</v>
      </c>
      <c r="M38" s="92"/>
      <c r="N38" s="93">
        <v>29999829</v>
      </c>
      <c r="O38" s="93">
        <v>136786279</v>
      </c>
      <c r="P38" s="93">
        <v>0</v>
      </c>
      <c r="Q38" s="92">
        <v>4601332</v>
      </c>
      <c r="R38" s="92"/>
      <c r="S38" s="93">
        <v>121611807</v>
      </c>
      <c r="T38" s="94">
        <v>-948034</v>
      </c>
      <c r="U38" s="94">
        <v>120663773</v>
      </c>
    </row>
    <row r="39" spans="1:21">
      <c r="A39" s="89">
        <v>20100</v>
      </c>
      <c r="B39" s="90" t="s">
        <v>33</v>
      </c>
      <c r="C39" s="97">
        <v>5.9985000000000004E-3</v>
      </c>
      <c r="D39" s="97">
        <v>5.7920999999999997E-3</v>
      </c>
      <c r="E39" s="92">
        <v>7786600.6699999999</v>
      </c>
      <c r="F39" s="92">
        <v>21345035</v>
      </c>
      <c r="G39" s="92">
        <v>55132411</v>
      </c>
      <c r="H39" s="92"/>
      <c r="I39" s="93">
        <v>0</v>
      </c>
      <c r="J39" s="93">
        <v>31542554</v>
      </c>
      <c r="K39" s="93">
        <v>8130691</v>
      </c>
      <c r="L39" s="92">
        <v>1759842</v>
      </c>
      <c r="M39" s="92"/>
      <c r="N39" s="93">
        <v>2605634</v>
      </c>
      <c r="O39" s="93">
        <v>11880569</v>
      </c>
      <c r="P39" s="93">
        <v>0</v>
      </c>
      <c r="Q39" s="92">
        <v>0</v>
      </c>
      <c r="R39" s="92"/>
      <c r="S39" s="93">
        <v>10562591</v>
      </c>
      <c r="T39" s="94">
        <v>642093</v>
      </c>
      <c r="U39" s="94">
        <v>11204684</v>
      </c>
    </row>
    <row r="40" spans="1:21">
      <c r="A40" s="89">
        <v>20200</v>
      </c>
      <c r="B40" s="90" t="s">
        <v>34</v>
      </c>
      <c r="C40" s="97">
        <v>8.2930000000000005E-4</v>
      </c>
      <c r="D40" s="97">
        <v>8.0079999999999995E-4</v>
      </c>
      <c r="E40" s="92">
        <v>1198426.92</v>
      </c>
      <c r="F40" s="92">
        <v>2951107</v>
      </c>
      <c r="G40" s="92">
        <v>7622124</v>
      </c>
      <c r="H40" s="92"/>
      <c r="I40" s="93">
        <v>0</v>
      </c>
      <c r="J40" s="93">
        <v>4360797</v>
      </c>
      <c r="K40" s="93">
        <v>1124078</v>
      </c>
      <c r="L40" s="92">
        <v>314828</v>
      </c>
      <c r="M40" s="92"/>
      <c r="N40" s="93">
        <v>360232</v>
      </c>
      <c r="O40" s="93">
        <v>1642503</v>
      </c>
      <c r="P40" s="93">
        <v>0</v>
      </c>
      <c r="Q40" s="92">
        <v>0</v>
      </c>
      <c r="R40" s="92"/>
      <c r="S40" s="93">
        <v>1460291</v>
      </c>
      <c r="T40" s="94">
        <v>108975</v>
      </c>
      <c r="U40" s="94">
        <v>1569267</v>
      </c>
    </row>
    <row r="41" spans="1:21">
      <c r="A41" s="89">
        <v>20300</v>
      </c>
      <c r="B41" s="90" t="s">
        <v>35</v>
      </c>
      <c r="C41" s="97">
        <v>1.3350000000000001E-2</v>
      </c>
      <c r="D41" s="97">
        <v>1.34568E-2</v>
      </c>
      <c r="E41" s="92">
        <v>17641708.859999999</v>
      </c>
      <c r="F41" s="92">
        <v>49590972</v>
      </c>
      <c r="G41" s="92">
        <v>122700291</v>
      </c>
      <c r="H41" s="92"/>
      <c r="I41" s="93">
        <v>0</v>
      </c>
      <c r="J41" s="93">
        <v>70199733</v>
      </c>
      <c r="K41" s="93">
        <v>18095311</v>
      </c>
      <c r="L41" s="92">
        <v>1446477</v>
      </c>
      <c r="M41" s="92"/>
      <c r="N41" s="93">
        <v>5798986</v>
      </c>
      <c r="O41" s="93">
        <v>26440877</v>
      </c>
      <c r="P41" s="93">
        <v>0</v>
      </c>
      <c r="Q41" s="92">
        <v>582528</v>
      </c>
      <c r="R41" s="92"/>
      <c r="S41" s="93">
        <v>23507641</v>
      </c>
      <c r="T41" s="94">
        <v>547469</v>
      </c>
      <c r="U41" s="94">
        <v>24055110</v>
      </c>
    </row>
    <row r="42" spans="1:21">
      <c r="A42" s="89">
        <v>20400</v>
      </c>
      <c r="B42" s="90" t="s">
        <v>36</v>
      </c>
      <c r="C42" s="97">
        <v>1.0759999999999999E-3</v>
      </c>
      <c r="D42" s="97">
        <v>1.1751999999999999E-3</v>
      </c>
      <c r="E42" s="92">
        <v>1557395.6899999997</v>
      </c>
      <c r="F42" s="92">
        <v>4330845</v>
      </c>
      <c r="G42" s="92">
        <v>9889552</v>
      </c>
      <c r="H42" s="92"/>
      <c r="I42" s="93">
        <v>0</v>
      </c>
      <c r="J42" s="93">
        <v>5658046</v>
      </c>
      <c r="K42" s="93">
        <v>1458469</v>
      </c>
      <c r="L42" s="92">
        <v>0</v>
      </c>
      <c r="M42" s="92"/>
      <c r="N42" s="93">
        <v>467394</v>
      </c>
      <c r="O42" s="93">
        <v>2131114.84</v>
      </c>
      <c r="P42" s="93">
        <v>0</v>
      </c>
      <c r="Q42" s="92">
        <v>1447937</v>
      </c>
      <c r="R42" s="92"/>
      <c r="S42" s="93">
        <v>1894698</v>
      </c>
      <c r="T42" s="94">
        <v>-616117</v>
      </c>
      <c r="U42" s="94">
        <v>1278581</v>
      </c>
    </row>
    <row r="43" spans="1:21">
      <c r="A43" s="89">
        <v>20600</v>
      </c>
      <c r="B43" s="90" t="s">
        <v>37</v>
      </c>
      <c r="C43" s="97">
        <v>1.9053E-3</v>
      </c>
      <c r="D43" s="97">
        <v>1.9930999999999998E-3</v>
      </c>
      <c r="E43" s="92">
        <v>2715457.72</v>
      </c>
      <c r="F43" s="92">
        <v>7344968</v>
      </c>
      <c r="G43" s="92">
        <v>17511675</v>
      </c>
      <c r="H43" s="92"/>
      <c r="I43" s="93">
        <v>0</v>
      </c>
      <c r="J43" s="93">
        <v>10018843</v>
      </c>
      <c r="K43" s="93">
        <v>2582547</v>
      </c>
      <c r="L43" s="92">
        <v>5704</v>
      </c>
      <c r="M43" s="92"/>
      <c r="N43" s="93">
        <v>827626</v>
      </c>
      <c r="O43" s="93">
        <v>3773618</v>
      </c>
      <c r="P43" s="93">
        <v>0</v>
      </c>
      <c r="Q43" s="92">
        <v>296973</v>
      </c>
      <c r="R43" s="92"/>
      <c r="S43" s="93">
        <v>3354989</v>
      </c>
      <c r="T43" s="94">
        <v>-102797</v>
      </c>
      <c r="U43" s="94">
        <v>3252192</v>
      </c>
    </row>
    <row r="44" spans="1:21">
      <c r="A44" s="89">
        <v>20700</v>
      </c>
      <c r="B44" s="90" t="s">
        <v>38</v>
      </c>
      <c r="C44" s="97">
        <v>4.0360999999999999E-3</v>
      </c>
      <c r="D44" s="97">
        <v>3.9925000000000004E-3</v>
      </c>
      <c r="E44" s="92">
        <v>5852680.54</v>
      </c>
      <c r="F44" s="92">
        <v>14713153</v>
      </c>
      <c r="G44" s="92">
        <v>37095928</v>
      </c>
      <c r="H44" s="92"/>
      <c r="I44" s="93">
        <v>0</v>
      </c>
      <c r="J44" s="93">
        <v>21223456</v>
      </c>
      <c r="K44" s="93">
        <v>5470748</v>
      </c>
      <c r="L44" s="92">
        <v>845405</v>
      </c>
      <c r="M44" s="92"/>
      <c r="N44" s="93">
        <v>1753205</v>
      </c>
      <c r="O44" s="93">
        <v>7993859</v>
      </c>
      <c r="P44" s="93">
        <v>0</v>
      </c>
      <c r="Q44" s="92">
        <v>0</v>
      </c>
      <c r="R44" s="92"/>
      <c r="S44" s="93">
        <v>7107055</v>
      </c>
      <c r="T44" s="94">
        <v>272503</v>
      </c>
      <c r="U44" s="94">
        <v>7379559</v>
      </c>
    </row>
    <row r="45" spans="1:21">
      <c r="A45" s="89">
        <v>20800</v>
      </c>
      <c r="B45" s="90" t="s">
        <v>39</v>
      </c>
      <c r="C45" s="97">
        <v>3.6143E-3</v>
      </c>
      <c r="D45" s="97">
        <v>3.6311E-3</v>
      </c>
      <c r="E45" s="92">
        <v>4969461.5700000012</v>
      </c>
      <c r="F45" s="92">
        <v>13381322</v>
      </c>
      <c r="G45" s="92">
        <v>33219151</v>
      </c>
      <c r="H45" s="92"/>
      <c r="I45" s="93">
        <v>0</v>
      </c>
      <c r="J45" s="93">
        <v>19005460</v>
      </c>
      <c r="K45" s="93">
        <v>4899017</v>
      </c>
      <c r="L45" s="92">
        <v>321737</v>
      </c>
      <c r="M45" s="92"/>
      <c r="N45" s="93">
        <v>1569983</v>
      </c>
      <c r="O45" s="93">
        <v>7158446</v>
      </c>
      <c r="P45" s="93">
        <v>0</v>
      </c>
      <c r="Q45" s="92">
        <v>598392</v>
      </c>
      <c r="R45" s="92"/>
      <c r="S45" s="93">
        <v>6364320</v>
      </c>
      <c r="T45" s="94">
        <v>-112076</v>
      </c>
      <c r="U45" s="94">
        <v>6252243</v>
      </c>
    </row>
    <row r="46" spans="1:21">
      <c r="A46" s="89">
        <v>20900</v>
      </c>
      <c r="B46" s="90" t="s">
        <v>40</v>
      </c>
      <c r="C46" s="97">
        <v>4.7756999999999999E-3</v>
      </c>
      <c r="D46" s="97">
        <v>4.9801000000000003E-3</v>
      </c>
      <c r="E46" s="92">
        <v>6786867.4800000004</v>
      </c>
      <c r="F46" s="92">
        <v>18352655</v>
      </c>
      <c r="G46" s="92">
        <v>43893616</v>
      </c>
      <c r="H46" s="92"/>
      <c r="I46" s="93">
        <v>0</v>
      </c>
      <c r="J46" s="93">
        <v>25112574</v>
      </c>
      <c r="K46" s="93">
        <v>6473242</v>
      </c>
      <c r="L46" s="92">
        <v>0</v>
      </c>
      <c r="M46" s="92"/>
      <c r="N46" s="93">
        <v>2074473</v>
      </c>
      <c r="O46" s="93">
        <v>9458704</v>
      </c>
      <c r="P46" s="93">
        <v>0</v>
      </c>
      <c r="Q46" s="92">
        <v>1237001</v>
      </c>
      <c r="R46" s="92"/>
      <c r="S46" s="93">
        <v>8409396</v>
      </c>
      <c r="T46" s="94">
        <v>-520026</v>
      </c>
      <c r="U46" s="94">
        <v>7889371</v>
      </c>
    </row>
    <row r="47" spans="1:21">
      <c r="A47" s="89">
        <v>21200</v>
      </c>
      <c r="B47" s="90" t="s">
        <v>41</v>
      </c>
      <c r="C47" s="97">
        <v>1.7662000000000001E-3</v>
      </c>
      <c r="D47" s="97">
        <v>1.6559000000000001E-3</v>
      </c>
      <c r="E47" s="92">
        <v>2326806.46</v>
      </c>
      <c r="F47" s="92">
        <v>6102319</v>
      </c>
      <c r="G47" s="92">
        <v>16233202</v>
      </c>
      <c r="H47" s="92"/>
      <c r="I47" s="93">
        <v>0</v>
      </c>
      <c r="J47" s="93">
        <v>9287398</v>
      </c>
      <c r="K47" s="93">
        <v>2394003</v>
      </c>
      <c r="L47" s="92">
        <v>531802</v>
      </c>
      <c r="M47" s="92"/>
      <c r="N47" s="93">
        <v>767204</v>
      </c>
      <c r="O47" s="93">
        <v>3498118</v>
      </c>
      <c r="P47" s="93">
        <v>0</v>
      </c>
      <c r="Q47" s="92">
        <v>83285</v>
      </c>
      <c r="R47" s="92"/>
      <c r="S47" s="93">
        <v>3110052</v>
      </c>
      <c r="T47" s="94">
        <v>113930</v>
      </c>
      <c r="U47" s="94">
        <v>3223982</v>
      </c>
    </row>
    <row r="48" spans="1:21">
      <c r="A48" s="89">
        <v>21300</v>
      </c>
      <c r="B48" s="90" t="s">
        <v>42</v>
      </c>
      <c r="C48" s="97">
        <v>2.20202E-2</v>
      </c>
      <c r="D48" s="97">
        <v>2.1394E-2</v>
      </c>
      <c r="E48" s="92">
        <v>28792582.189999998</v>
      </c>
      <c r="F48" s="92">
        <v>78841126</v>
      </c>
      <c r="G48" s="92">
        <v>202388385</v>
      </c>
      <c r="H48" s="92"/>
      <c r="I48" s="93">
        <v>0</v>
      </c>
      <c r="J48" s="93">
        <v>115791174</v>
      </c>
      <c r="K48" s="93">
        <v>29847368</v>
      </c>
      <c r="L48" s="92">
        <v>4612434</v>
      </c>
      <c r="M48" s="92"/>
      <c r="N48" s="93">
        <v>9565156</v>
      </c>
      <c r="O48" s="93">
        <v>43612988</v>
      </c>
      <c r="P48" s="93">
        <v>0</v>
      </c>
      <c r="Q48" s="92">
        <v>0</v>
      </c>
      <c r="R48" s="92"/>
      <c r="S48" s="93">
        <v>38774754</v>
      </c>
      <c r="T48" s="94">
        <v>1709019</v>
      </c>
      <c r="U48" s="94">
        <v>40483773</v>
      </c>
    </row>
    <row r="49" spans="1:21">
      <c r="A49" s="89">
        <v>21520</v>
      </c>
      <c r="B49" s="90" t="s">
        <v>43</v>
      </c>
      <c r="C49" s="97">
        <v>3.0936100000000001E-2</v>
      </c>
      <c r="D49" s="97">
        <v>3.1222699999999999E-2</v>
      </c>
      <c r="E49" s="92">
        <v>41988703.839999989</v>
      </c>
      <c r="F49" s="92">
        <v>115061832</v>
      </c>
      <c r="G49" s="92">
        <v>284334716</v>
      </c>
      <c r="H49" s="92"/>
      <c r="I49" s="93">
        <v>0</v>
      </c>
      <c r="J49" s="93">
        <v>162674605</v>
      </c>
      <c r="K49" s="93">
        <v>41932460</v>
      </c>
      <c r="L49" s="92">
        <v>2354130</v>
      </c>
      <c r="M49" s="92"/>
      <c r="N49" s="93">
        <v>13438054</v>
      </c>
      <c r="O49" s="93">
        <v>61271730</v>
      </c>
      <c r="P49" s="93">
        <v>0</v>
      </c>
      <c r="Q49" s="92">
        <v>2031640</v>
      </c>
      <c r="R49" s="92"/>
      <c r="S49" s="93">
        <v>54474512</v>
      </c>
      <c r="T49" s="94">
        <v>253042</v>
      </c>
      <c r="U49" s="94">
        <v>54727554</v>
      </c>
    </row>
    <row r="50" spans="1:21">
      <c r="A50" s="89">
        <v>21525</v>
      </c>
      <c r="B50" s="90" t="s">
        <v>466</v>
      </c>
      <c r="C50" s="97">
        <v>1.2384E-3</v>
      </c>
      <c r="D50" s="97">
        <v>1.1854999999999999E-3</v>
      </c>
      <c r="E50" s="92">
        <v>1974156.6799999997</v>
      </c>
      <c r="F50" s="92">
        <v>4851195</v>
      </c>
      <c r="G50" s="92">
        <v>11382175</v>
      </c>
      <c r="H50" s="92"/>
      <c r="I50" s="93">
        <v>0</v>
      </c>
      <c r="J50" s="93">
        <v>6512011</v>
      </c>
      <c r="K50" s="93">
        <v>1678594</v>
      </c>
      <c r="L50" s="92">
        <v>428623</v>
      </c>
      <c r="M50" s="92"/>
      <c r="N50" s="93">
        <v>537937</v>
      </c>
      <c r="O50" s="93">
        <v>2452763</v>
      </c>
      <c r="P50" s="93">
        <v>0</v>
      </c>
      <c r="Q50" s="92">
        <v>23011</v>
      </c>
      <c r="R50" s="92"/>
      <c r="S50" s="93">
        <v>2180664</v>
      </c>
      <c r="T50" s="94">
        <v>135538</v>
      </c>
      <c r="U50" s="94">
        <v>2316202</v>
      </c>
    </row>
    <row r="51" spans="1:21">
      <c r="A51" s="89">
        <v>21525.200000000001</v>
      </c>
      <c r="B51" s="90" t="s">
        <v>467</v>
      </c>
      <c r="C51" s="97">
        <v>1.1459999999999999E-4</v>
      </c>
      <c r="D51" s="97">
        <v>1.3090000000000001E-4</v>
      </c>
      <c r="E51" s="92"/>
      <c r="F51" s="92"/>
      <c r="G51" s="92">
        <v>1053292</v>
      </c>
      <c r="H51" s="92"/>
      <c r="I51" s="93">
        <v>0</v>
      </c>
      <c r="J51" s="93">
        <v>602613</v>
      </c>
      <c r="K51" s="93">
        <v>155335</v>
      </c>
      <c r="L51" s="92">
        <v>8736</v>
      </c>
      <c r="M51" s="92"/>
      <c r="N51" s="93">
        <v>49780</v>
      </c>
      <c r="O51" s="93">
        <v>226976</v>
      </c>
      <c r="P51" s="93">
        <v>0</v>
      </c>
      <c r="Q51" s="92">
        <v>27335</v>
      </c>
      <c r="R51" s="92"/>
      <c r="S51" s="93">
        <v>201796</v>
      </c>
      <c r="T51" s="94">
        <v>-3197</v>
      </c>
      <c r="U51" s="94">
        <v>198599</v>
      </c>
    </row>
    <row r="52" spans="1:21">
      <c r="A52" s="89">
        <v>21550</v>
      </c>
      <c r="B52" s="90" t="s">
        <v>45</v>
      </c>
      <c r="C52" s="97">
        <v>3.5286900000000003E-2</v>
      </c>
      <c r="D52" s="97">
        <v>3.5722400000000001E-2</v>
      </c>
      <c r="E52" s="92">
        <v>46226676</v>
      </c>
      <c r="F52" s="92">
        <v>131644117</v>
      </c>
      <c r="G52" s="92">
        <v>324323062</v>
      </c>
      <c r="H52" s="92"/>
      <c r="I52" s="93">
        <v>0</v>
      </c>
      <c r="J52" s="93">
        <v>185552882</v>
      </c>
      <c r="K52" s="93">
        <v>47829770</v>
      </c>
      <c r="L52" s="92">
        <v>4630165</v>
      </c>
      <c r="M52" s="92"/>
      <c r="N52" s="93">
        <v>15327959</v>
      </c>
      <c r="O52" s="93">
        <v>69888881</v>
      </c>
      <c r="P52" s="93">
        <v>0</v>
      </c>
      <c r="Q52" s="92">
        <v>4601832</v>
      </c>
      <c r="R52" s="92"/>
      <c r="S52" s="93">
        <v>62135714</v>
      </c>
      <c r="T52" s="94">
        <v>870566</v>
      </c>
      <c r="U52" s="94">
        <v>63006280</v>
      </c>
    </row>
    <row r="53" spans="1:21">
      <c r="A53" s="89">
        <v>21570</v>
      </c>
      <c r="B53" s="90" t="s">
        <v>46</v>
      </c>
      <c r="C53" s="97">
        <v>1.895E-4</v>
      </c>
      <c r="D53" s="97">
        <v>1.7019999999999999E-4</v>
      </c>
      <c r="E53" s="92">
        <v>266936.26</v>
      </c>
      <c r="F53" s="92">
        <v>627221</v>
      </c>
      <c r="G53" s="92">
        <v>1741701</v>
      </c>
      <c r="H53" s="92"/>
      <c r="I53" s="93">
        <v>0</v>
      </c>
      <c r="J53" s="93">
        <v>996468</v>
      </c>
      <c r="K53" s="93">
        <v>256859</v>
      </c>
      <c r="L53" s="92">
        <v>87656</v>
      </c>
      <c r="M53" s="92"/>
      <c r="N53" s="93">
        <v>82315</v>
      </c>
      <c r="O53" s="93">
        <v>375322</v>
      </c>
      <c r="P53" s="93">
        <v>0</v>
      </c>
      <c r="Q53" s="92">
        <v>69938</v>
      </c>
      <c r="R53" s="92"/>
      <c r="S53" s="93">
        <v>333685</v>
      </c>
      <c r="T53" s="94">
        <v>-8311</v>
      </c>
      <c r="U53" s="94">
        <v>325374</v>
      </c>
    </row>
    <row r="54" spans="1:21">
      <c r="A54" s="89">
        <v>21800</v>
      </c>
      <c r="B54" s="90" t="s">
        <v>47</v>
      </c>
      <c r="C54" s="97">
        <v>3.0324000000000002E-3</v>
      </c>
      <c r="D54" s="97">
        <v>2.9962999999999999E-3</v>
      </c>
      <c r="E54" s="92">
        <v>4093880.15</v>
      </c>
      <c r="F54" s="92">
        <v>11041959</v>
      </c>
      <c r="G54" s="92">
        <v>27870888</v>
      </c>
      <c r="H54" s="92"/>
      <c r="I54" s="93">
        <v>0</v>
      </c>
      <c r="J54" s="93">
        <v>15945593</v>
      </c>
      <c r="K54" s="93">
        <v>4110279</v>
      </c>
      <c r="L54" s="92">
        <v>993383</v>
      </c>
      <c r="M54" s="92"/>
      <c r="N54" s="93">
        <v>1317217</v>
      </c>
      <c r="O54" s="93">
        <v>6005941</v>
      </c>
      <c r="P54" s="93">
        <v>0</v>
      </c>
      <c r="Q54" s="92">
        <v>0</v>
      </c>
      <c r="R54" s="92"/>
      <c r="S54" s="93">
        <v>5339668</v>
      </c>
      <c r="T54" s="94">
        <v>408328</v>
      </c>
      <c r="U54" s="94">
        <v>5747996</v>
      </c>
    </row>
    <row r="55" spans="1:21">
      <c r="A55" s="89">
        <v>21900</v>
      </c>
      <c r="B55" s="90" t="s">
        <v>48</v>
      </c>
      <c r="C55" s="97">
        <v>2.3151999999999999E-3</v>
      </c>
      <c r="D55" s="97">
        <v>2.3990999999999999E-3</v>
      </c>
      <c r="E55" s="92">
        <v>3221979.68</v>
      </c>
      <c r="F55" s="92">
        <v>8841159</v>
      </c>
      <c r="G55" s="92">
        <v>21279080</v>
      </c>
      <c r="H55" s="92"/>
      <c r="I55" s="93">
        <v>0</v>
      </c>
      <c r="J55" s="93">
        <v>12174264</v>
      </c>
      <c r="K55" s="93">
        <v>3138147</v>
      </c>
      <c r="L55" s="92">
        <v>194157</v>
      </c>
      <c r="M55" s="92"/>
      <c r="N55" s="93">
        <v>1005679</v>
      </c>
      <c r="O55" s="93">
        <v>4585462</v>
      </c>
      <c r="P55" s="93">
        <v>0</v>
      </c>
      <c r="Q55" s="92">
        <v>137999</v>
      </c>
      <c r="R55" s="92"/>
      <c r="S55" s="93">
        <v>4076771</v>
      </c>
      <c r="T55" s="94">
        <v>63197</v>
      </c>
      <c r="U55" s="94">
        <v>4139968</v>
      </c>
    </row>
    <row r="56" spans="1:21">
      <c r="A56" s="89">
        <v>22000</v>
      </c>
      <c r="B56" s="90" t="s">
        <v>49</v>
      </c>
      <c r="C56" s="97">
        <v>3.8665000000000001E-3</v>
      </c>
      <c r="D56" s="97">
        <v>4.1340999999999999E-3</v>
      </c>
      <c r="E56" s="92">
        <v>5790351.4700000007</v>
      </c>
      <c r="F56" s="92">
        <v>15234977</v>
      </c>
      <c r="G56" s="92">
        <v>35537129</v>
      </c>
      <c r="H56" s="92"/>
      <c r="I56" s="93">
        <v>0</v>
      </c>
      <c r="J56" s="93">
        <v>20331631</v>
      </c>
      <c r="K56" s="93">
        <v>5240863</v>
      </c>
      <c r="L56" s="92">
        <v>525345</v>
      </c>
      <c r="M56" s="92"/>
      <c r="N56" s="93">
        <v>1679534</v>
      </c>
      <c r="O56" s="93">
        <v>7657951</v>
      </c>
      <c r="P56" s="93">
        <v>0</v>
      </c>
      <c r="Q56" s="92">
        <v>710995</v>
      </c>
      <c r="R56" s="92"/>
      <c r="S56" s="93">
        <v>6808412</v>
      </c>
      <c r="T56" s="94">
        <v>46137</v>
      </c>
      <c r="U56" s="94">
        <v>6854548</v>
      </c>
    </row>
    <row r="57" spans="1:21">
      <c r="A57" s="89">
        <v>23000</v>
      </c>
      <c r="B57" s="90" t="s">
        <v>50</v>
      </c>
      <c r="C57" s="97">
        <v>1.1896000000000001E-3</v>
      </c>
      <c r="D57" s="97">
        <v>1.1814E-3</v>
      </c>
      <c r="E57" s="92">
        <v>1693791.54</v>
      </c>
      <c r="F57" s="92">
        <v>4353693</v>
      </c>
      <c r="G57" s="92">
        <v>10933653</v>
      </c>
      <c r="H57" s="92"/>
      <c r="I57" s="93">
        <v>0</v>
      </c>
      <c r="J57" s="93">
        <v>6255401</v>
      </c>
      <c r="K57" s="93">
        <v>1612448</v>
      </c>
      <c r="L57" s="92">
        <v>514641</v>
      </c>
      <c r="M57" s="92"/>
      <c r="N57" s="93">
        <v>516740</v>
      </c>
      <c r="O57" s="93">
        <v>2356110</v>
      </c>
      <c r="P57" s="93">
        <v>0</v>
      </c>
      <c r="Q57" s="92">
        <v>0</v>
      </c>
      <c r="R57" s="92"/>
      <c r="S57" s="93">
        <v>2094733</v>
      </c>
      <c r="T57" s="94">
        <v>224563</v>
      </c>
      <c r="U57" s="94">
        <v>2319296</v>
      </c>
    </row>
    <row r="58" spans="1:21">
      <c r="A58" s="89">
        <v>23100</v>
      </c>
      <c r="B58" s="90" t="s">
        <v>51</v>
      </c>
      <c r="C58" s="97">
        <v>6.6102000000000001E-3</v>
      </c>
      <c r="D58" s="97">
        <v>6.7044000000000001E-3</v>
      </c>
      <c r="E58" s="92">
        <v>9303817.6699999999</v>
      </c>
      <c r="F58" s="92">
        <v>24707041</v>
      </c>
      <c r="G58" s="92">
        <v>60754566</v>
      </c>
      <c r="H58" s="92"/>
      <c r="I58" s="93">
        <v>0</v>
      </c>
      <c r="J58" s="93">
        <v>34759122</v>
      </c>
      <c r="K58" s="93">
        <v>8959822</v>
      </c>
      <c r="L58" s="92">
        <v>949749</v>
      </c>
      <c r="M58" s="92"/>
      <c r="N58" s="93">
        <v>2871345</v>
      </c>
      <c r="O58" s="93">
        <v>13092096</v>
      </c>
      <c r="P58" s="93">
        <v>0</v>
      </c>
      <c r="Q58" s="92">
        <v>0</v>
      </c>
      <c r="R58" s="92"/>
      <c r="S58" s="93">
        <v>11639716</v>
      </c>
      <c r="T58" s="94">
        <v>426689</v>
      </c>
      <c r="U58" s="94">
        <v>12066405</v>
      </c>
    </row>
    <row r="59" spans="1:21">
      <c r="A59" s="89">
        <v>23200</v>
      </c>
      <c r="B59" s="90" t="s">
        <v>52</v>
      </c>
      <c r="C59" s="97">
        <v>3.5978E-3</v>
      </c>
      <c r="D59" s="97">
        <v>3.5723E-3</v>
      </c>
      <c r="E59" s="92">
        <v>4896074.54</v>
      </c>
      <c r="F59" s="92">
        <v>13164633</v>
      </c>
      <c r="G59" s="92">
        <v>33067499</v>
      </c>
      <c r="H59" s="92"/>
      <c r="I59" s="93">
        <v>0</v>
      </c>
      <c r="J59" s="93">
        <v>18918697</v>
      </c>
      <c r="K59" s="93">
        <v>4876652</v>
      </c>
      <c r="L59" s="92">
        <v>337196</v>
      </c>
      <c r="M59" s="92"/>
      <c r="N59" s="93">
        <v>1562816</v>
      </c>
      <c r="O59" s="93">
        <v>7125767</v>
      </c>
      <c r="P59" s="93">
        <v>0</v>
      </c>
      <c r="Q59" s="92">
        <v>304802</v>
      </c>
      <c r="R59" s="92"/>
      <c r="S59" s="93">
        <v>6335265</v>
      </c>
      <c r="T59" s="94">
        <v>-71938</v>
      </c>
      <c r="U59" s="94">
        <v>6263327</v>
      </c>
    </row>
    <row r="60" spans="1:21">
      <c r="A60" s="89">
        <v>30000</v>
      </c>
      <c r="B60" s="90" t="s">
        <v>53</v>
      </c>
      <c r="C60" s="97">
        <v>1.0038E-3</v>
      </c>
      <c r="D60" s="97">
        <v>1.0149E-3</v>
      </c>
      <c r="E60" s="92">
        <v>1219677.1400000001</v>
      </c>
      <c r="F60" s="92">
        <v>3740107</v>
      </c>
      <c r="G60" s="92">
        <v>9225959</v>
      </c>
      <c r="H60" s="92"/>
      <c r="I60" s="93">
        <v>0</v>
      </c>
      <c r="J60" s="93">
        <v>5278389</v>
      </c>
      <c r="K60" s="93">
        <v>1360605</v>
      </c>
      <c r="L60" s="92">
        <v>0</v>
      </c>
      <c r="M60" s="92"/>
      <c r="N60" s="93">
        <v>436032</v>
      </c>
      <c r="O60" s="93">
        <v>1988116</v>
      </c>
      <c r="P60" s="93">
        <v>0</v>
      </c>
      <c r="Q60" s="92">
        <v>213016</v>
      </c>
      <c r="R60" s="92"/>
      <c r="S60" s="93">
        <v>1767563</v>
      </c>
      <c r="T60" s="94">
        <v>-89518</v>
      </c>
      <c r="U60" s="94">
        <v>1678045</v>
      </c>
    </row>
    <row r="61" spans="1:21">
      <c r="A61" s="89">
        <v>30100</v>
      </c>
      <c r="B61" s="90" t="s">
        <v>54</v>
      </c>
      <c r="C61" s="97">
        <v>8.8232999999999992E-3</v>
      </c>
      <c r="D61" s="97">
        <v>8.5774000000000006E-3</v>
      </c>
      <c r="E61" s="92">
        <v>10432012.620000001</v>
      </c>
      <c r="F61" s="92">
        <v>31609417</v>
      </c>
      <c r="G61" s="92">
        <v>81095241</v>
      </c>
      <c r="H61" s="92"/>
      <c r="I61" s="93">
        <v>0</v>
      </c>
      <c r="J61" s="93">
        <v>46396502</v>
      </c>
      <c r="K61" s="93">
        <v>11959577</v>
      </c>
      <c r="L61" s="92">
        <v>373040</v>
      </c>
      <c r="M61" s="92"/>
      <c r="N61" s="93">
        <v>3832674</v>
      </c>
      <c r="O61" s="93">
        <v>17475340</v>
      </c>
      <c r="P61" s="93">
        <v>0</v>
      </c>
      <c r="Q61" s="92">
        <v>657861</v>
      </c>
      <c r="R61" s="92"/>
      <c r="S61" s="93">
        <v>15536702</v>
      </c>
      <c r="T61" s="94">
        <v>-248207</v>
      </c>
      <c r="U61" s="94">
        <v>15288495</v>
      </c>
    </row>
    <row r="62" spans="1:21">
      <c r="A62" s="89">
        <v>30102</v>
      </c>
      <c r="B62" s="90" t="s">
        <v>55</v>
      </c>
      <c r="C62" s="97">
        <v>1.5970000000000001E-4</v>
      </c>
      <c r="D62" s="97">
        <v>1.407E-4</v>
      </c>
      <c r="E62" s="92">
        <v>181617.28999999998</v>
      </c>
      <c r="F62" s="92">
        <v>518507</v>
      </c>
      <c r="G62" s="92">
        <v>1467808</v>
      </c>
      <c r="H62" s="92"/>
      <c r="I62" s="93">
        <v>0</v>
      </c>
      <c r="J62" s="93">
        <v>839768</v>
      </c>
      <c r="K62" s="93">
        <v>216466</v>
      </c>
      <c r="L62" s="92">
        <v>102898</v>
      </c>
      <c r="M62" s="92"/>
      <c r="N62" s="93">
        <v>69371</v>
      </c>
      <c r="O62" s="93">
        <v>316300</v>
      </c>
      <c r="P62" s="93">
        <v>0</v>
      </c>
      <c r="Q62" s="92">
        <v>0</v>
      </c>
      <c r="R62" s="92"/>
      <c r="S62" s="93">
        <v>281211</v>
      </c>
      <c r="T62" s="94">
        <v>36558</v>
      </c>
      <c r="U62" s="94">
        <v>317769</v>
      </c>
    </row>
    <row r="63" spans="1:21">
      <c r="A63" s="89">
        <v>30103</v>
      </c>
      <c r="B63" s="90" t="s">
        <v>56</v>
      </c>
      <c r="C63" s="97">
        <v>1.8699999999999999E-4</v>
      </c>
      <c r="D63" s="97">
        <v>1.8760000000000001E-4</v>
      </c>
      <c r="E63" s="92">
        <v>211589.10000000003</v>
      </c>
      <c r="F63" s="92">
        <v>691343</v>
      </c>
      <c r="G63" s="92">
        <v>1718723</v>
      </c>
      <c r="H63" s="92"/>
      <c r="I63" s="93">
        <v>0</v>
      </c>
      <c r="J63" s="93">
        <v>983322</v>
      </c>
      <c r="K63" s="93">
        <v>253470</v>
      </c>
      <c r="L63" s="92">
        <v>59739</v>
      </c>
      <c r="M63" s="92"/>
      <c r="N63" s="93">
        <v>81229</v>
      </c>
      <c r="O63" s="93">
        <v>370370</v>
      </c>
      <c r="P63" s="93">
        <v>0</v>
      </c>
      <c r="Q63" s="92">
        <v>22552</v>
      </c>
      <c r="R63" s="92"/>
      <c r="S63" s="93">
        <v>329283</v>
      </c>
      <c r="T63" s="94">
        <v>21929</v>
      </c>
      <c r="U63" s="94">
        <v>351212</v>
      </c>
    </row>
    <row r="64" spans="1:21">
      <c r="A64" s="89">
        <v>30104</v>
      </c>
      <c r="B64" s="90" t="s">
        <v>57</v>
      </c>
      <c r="C64" s="97">
        <v>1.081E-4</v>
      </c>
      <c r="D64" s="97">
        <v>8.6700000000000007E-5</v>
      </c>
      <c r="E64" s="92">
        <v>118103.81999999998</v>
      </c>
      <c r="F64" s="92">
        <v>319507</v>
      </c>
      <c r="G64" s="92">
        <v>993551</v>
      </c>
      <c r="H64" s="92"/>
      <c r="I64" s="93">
        <v>0</v>
      </c>
      <c r="J64" s="93">
        <v>568434</v>
      </c>
      <c r="K64" s="93">
        <v>146525</v>
      </c>
      <c r="L64" s="92">
        <v>137326</v>
      </c>
      <c r="M64" s="92"/>
      <c r="N64" s="93">
        <v>46957</v>
      </c>
      <c r="O64" s="93">
        <v>214102</v>
      </c>
      <c r="P64" s="93">
        <v>0</v>
      </c>
      <c r="Q64" s="92">
        <v>0</v>
      </c>
      <c r="R64" s="92"/>
      <c r="S64" s="93">
        <v>190350</v>
      </c>
      <c r="T64" s="94">
        <v>52746</v>
      </c>
      <c r="U64" s="94">
        <v>243097</v>
      </c>
    </row>
    <row r="65" spans="1:21">
      <c r="A65" s="89">
        <v>30105</v>
      </c>
      <c r="B65" s="90" t="s">
        <v>58</v>
      </c>
      <c r="C65" s="97">
        <v>8.5320000000000003E-4</v>
      </c>
      <c r="D65" s="97">
        <v>8.1840000000000005E-4</v>
      </c>
      <c r="E65" s="92">
        <v>1143841.04</v>
      </c>
      <c r="F65" s="92">
        <v>3015966</v>
      </c>
      <c r="G65" s="92">
        <v>7841789</v>
      </c>
      <c r="H65" s="92"/>
      <c r="I65" s="93">
        <v>0</v>
      </c>
      <c r="J65" s="93">
        <v>4486473</v>
      </c>
      <c r="K65" s="93">
        <v>1156473</v>
      </c>
      <c r="L65" s="92">
        <v>264743</v>
      </c>
      <c r="M65" s="92"/>
      <c r="N65" s="93">
        <v>370614</v>
      </c>
      <c r="O65" s="93">
        <v>1689839</v>
      </c>
      <c r="P65" s="93">
        <v>0</v>
      </c>
      <c r="Q65" s="92">
        <v>0</v>
      </c>
      <c r="R65" s="92"/>
      <c r="S65" s="93">
        <v>1502376</v>
      </c>
      <c r="T65" s="94">
        <v>98522</v>
      </c>
      <c r="U65" s="94">
        <v>1600898</v>
      </c>
    </row>
    <row r="66" spans="1:21">
      <c r="A66" s="89">
        <v>30200</v>
      </c>
      <c r="B66" s="90" t="s">
        <v>59</v>
      </c>
      <c r="C66" s="97">
        <v>1.9545000000000001E-3</v>
      </c>
      <c r="D66" s="97">
        <v>2.0178000000000001E-3</v>
      </c>
      <c r="E66" s="92">
        <v>2394754.19</v>
      </c>
      <c r="F66" s="92">
        <v>7435993</v>
      </c>
      <c r="G66" s="92">
        <v>17963874</v>
      </c>
      <c r="H66" s="92"/>
      <c r="I66" s="93">
        <v>0</v>
      </c>
      <c r="J66" s="93">
        <v>10277556</v>
      </c>
      <c r="K66" s="93">
        <v>2649235</v>
      </c>
      <c r="L66" s="92">
        <v>0</v>
      </c>
      <c r="M66" s="92"/>
      <c r="N66" s="93">
        <v>848998</v>
      </c>
      <c r="O66" s="93">
        <v>3871063</v>
      </c>
      <c r="P66" s="93">
        <v>0</v>
      </c>
      <c r="Q66" s="92">
        <v>523572</v>
      </c>
      <c r="R66" s="92"/>
      <c r="S66" s="93">
        <v>3441624</v>
      </c>
      <c r="T66" s="94">
        <v>-199493</v>
      </c>
      <c r="U66" s="94">
        <v>3242131</v>
      </c>
    </row>
    <row r="67" spans="1:21">
      <c r="A67" s="89">
        <v>30300</v>
      </c>
      <c r="B67" s="90" t="s">
        <v>60</v>
      </c>
      <c r="C67" s="97">
        <v>6.8050000000000001E-4</v>
      </c>
      <c r="D67" s="97">
        <v>6.734E-4</v>
      </c>
      <c r="E67" s="92">
        <v>839107.02</v>
      </c>
      <c r="F67" s="92">
        <v>2481612</v>
      </c>
      <c r="G67" s="92">
        <v>6254498</v>
      </c>
      <c r="H67" s="92"/>
      <c r="I67" s="93">
        <v>0</v>
      </c>
      <c r="J67" s="93">
        <v>3578346</v>
      </c>
      <c r="K67" s="93">
        <v>922386</v>
      </c>
      <c r="L67" s="92">
        <v>4161</v>
      </c>
      <c r="M67" s="92"/>
      <c r="N67" s="93">
        <v>295596</v>
      </c>
      <c r="O67" s="93">
        <v>1347791</v>
      </c>
      <c r="P67" s="93">
        <v>0</v>
      </c>
      <c r="Q67" s="92">
        <v>18103</v>
      </c>
      <c r="R67" s="92"/>
      <c r="S67" s="93">
        <v>1198273</v>
      </c>
      <c r="T67" s="94">
        <v>-8476</v>
      </c>
      <c r="U67" s="94">
        <v>1189797</v>
      </c>
    </row>
    <row r="68" spans="1:21">
      <c r="A68" s="89">
        <v>30400</v>
      </c>
      <c r="B68" s="90" t="s">
        <v>61</v>
      </c>
      <c r="C68" s="97">
        <v>1.2626E-3</v>
      </c>
      <c r="D68" s="97">
        <v>1.3213000000000001E-3</v>
      </c>
      <c r="E68" s="92">
        <v>1698373.8399999999</v>
      </c>
      <c r="F68" s="92">
        <v>4869252</v>
      </c>
      <c r="G68" s="92">
        <v>11604598</v>
      </c>
      <c r="H68" s="92"/>
      <c r="I68" s="93">
        <v>0</v>
      </c>
      <c r="J68" s="93">
        <v>6639265</v>
      </c>
      <c r="K68" s="93">
        <v>1711396</v>
      </c>
      <c r="L68" s="92">
        <v>187296</v>
      </c>
      <c r="M68" s="92"/>
      <c r="N68" s="93">
        <v>548449</v>
      </c>
      <c r="O68" s="93">
        <v>2500693</v>
      </c>
      <c r="P68" s="93">
        <v>0</v>
      </c>
      <c r="Q68" s="92">
        <v>273573</v>
      </c>
      <c r="R68" s="92"/>
      <c r="S68" s="93">
        <v>2223277</v>
      </c>
      <c r="T68" s="94">
        <v>-44639</v>
      </c>
      <c r="U68" s="94">
        <v>2178638</v>
      </c>
    </row>
    <row r="69" spans="1:21">
      <c r="A69" s="89">
        <v>30405</v>
      </c>
      <c r="B69" s="90" t="s">
        <v>62</v>
      </c>
      <c r="C69" s="97">
        <v>8.2660000000000003E-4</v>
      </c>
      <c r="D69" s="97">
        <v>8.0889999999999998E-4</v>
      </c>
      <c r="E69" s="92">
        <v>1030942.5799999998</v>
      </c>
      <c r="F69" s="92">
        <v>2980957</v>
      </c>
      <c r="G69" s="92">
        <v>7597308</v>
      </c>
      <c r="H69" s="92"/>
      <c r="I69" s="93">
        <v>0</v>
      </c>
      <c r="J69" s="93">
        <v>4346599</v>
      </c>
      <c r="K69" s="93">
        <v>1120418</v>
      </c>
      <c r="L69" s="92">
        <v>353578</v>
      </c>
      <c r="M69" s="92"/>
      <c r="N69" s="93">
        <v>359059</v>
      </c>
      <c r="O69" s="93">
        <v>1637156</v>
      </c>
      <c r="P69" s="93">
        <v>0</v>
      </c>
      <c r="Q69" s="92">
        <v>0</v>
      </c>
      <c r="R69" s="92"/>
      <c r="S69" s="93">
        <v>1455537</v>
      </c>
      <c r="T69" s="94">
        <v>154877</v>
      </c>
      <c r="U69" s="94">
        <v>1610414</v>
      </c>
    </row>
    <row r="70" spans="1:21">
      <c r="A70" s="89">
        <v>30500</v>
      </c>
      <c r="B70" s="90" t="s">
        <v>63</v>
      </c>
      <c r="C70" s="97">
        <v>1.3144000000000001E-3</v>
      </c>
      <c r="D70" s="97">
        <v>1.3231E-3</v>
      </c>
      <c r="E70" s="92">
        <v>1632441.9199999997</v>
      </c>
      <c r="F70" s="92">
        <v>4875885</v>
      </c>
      <c r="G70" s="92">
        <v>12080694</v>
      </c>
      <c r="H70" s="92"/>
      <c r="I70" s="93">
        <v>0</v>
      </c>
      <c r="J70" s="93">
        <v>6911650</v>
      </c>
      <c r="K70" s="93">
        <v>1781609</v>
      </c>
      <c r="L70" s="92">
        <v>38990</v>
      </c>
      <c r="M70" s="92"/>
      <c r="N70" s="93">
        <v>570950</v>
      </c>
      <c r="O70" s="93">
        <v>2603287</v>
      </c>
      <c r="P70" s="93">
        <v>0</v>
      </c>
      <c r="Q70" s="92">
        <v>150326</v>
      </c>
      <c r="R70" s="92"/>
      <c r="S70" s="93">
        <v>2314490</v>
      </c>
      <c r="T70" s="94">
        <v>-52351</v>
      </c>
      <c r="U70" s="94">
        <v>2262139</v>
      </c>
    </row>
    <row r="71" spans="1:21">
      <c r="A71" s="89">
        <v>30600</v>
      </c>
      <c r="B71" s="90" t="s">
        <v>64</v>
      </c>
      <c r="C71" s="97">
        <v>1.0258999999999999E-3</v>
      </c>
      <c r="D71" s="97">
        <v>1.0248E-3</v>
      </c>
      <c r="E71" s="92">
        <v>1274945.5900000001</v>
      </c>
      <c r="F71" s="92">
        <v>3776591</v>
      </c>
      <c r="G71" s="92">
        <v>9429081</v>
      </c>
      <c r="H71" s="92"/>
      <c r="I71" s="93">
        <v>0</v>
      </c>
      <c r="J71" s="93">
        <v>5394600</v>
      </c>
      <c r="K71" s="93">
        <v>1390560</v>
      </c>
      <c r="L71" s="92">
        <v>43081</v>
      </c>
      <c r="M71" s="92"/>
      <c r="N71" s="93">
        <v>445631</v>
      </c>
      <c r="O71" s="93">
        <v>2031887</v>
      </c>
      <c r="P71" s="93">
        <v>0</v>
      </c>
      <c r="Q71" s="92">
        <v>19622</v>
      </c>
      <c r="R71" s="92"/>
      <c r="S71" s="93">
        <v>1806479</v>
      </c>
      <c r="T71" s="94">
        <v>12199</v>
      </c>
      <c r="U71" s="94">
        <v>1818677</v>
      </c>
    </row>
    <row r="72" spans="1:21">
      <c r="A72" s="89">
        <v>30601</v>
      </c>
      <c r="B72" s="90" t="s">
        <v>65</v>
      </c>
      <c r="C72" s="97">
        <v>2.3099999999999999E-5</v>
      </c>
      <c r="D72" s="97">
        <v>2.51E-5</v>
      </c>
      <c r="E72" s="92">
        <v>27323.84</v>
      </c>
      <c r="F72" s="92">
        <v>92498</v>
      </c>
      <c r="G72" s="92">
        <v>212313</v>
      </c>
      <c r="H72" s="92"/>
      <c r="I72" s="93">
        <v>0</v>
      </c>
      <c r="J72" s="93">
        <v>121469</v>
      </c>
      <c r="K72" s="93">
        <v>31311</v>
      </c>
      <c r="L72" s="92">
        <v>9773</v>
      </c>
      <c r="M72" s="92"/>
      <c r="N72" s="93">
        <v>10034</v>
      </c>
      <c r="O72" s="93">
        <v>45752</v>
      </c>
      <c r="P72" s="93">
        <v>0</v>
      </c>
      <c r="Q72" s="92">
        <v>9199</v>
      </c>
      <c r="R72" s="92"/>
      <c r="S72" s="93">
        <v>40676</v>
      </c>
      <c r="T72" s="94">
        <v>947</v>
      </c>
      <c r="U72" s="94">
        <v>41623</v>
      </c>
    </row>
    <row r="73" spans="1:21">
      <c r="A73" s="89">
        <v>30700</v>
      </c>
      <c r="B73" s="90" t="s">
        <v>66</v>
      </c>
      <c r="C73" s="97">
        <v>2.6148999999999999E-3</v>
      </c>
      <c r="D73" s="97">
        <v>2.6264000000000001E-3</v>
      </c>
      <c r="E73" s="92">
        <v>3368691.9099999997</v>
      </c>
      <c r="F73" s="92">
        <v>9678804</v>
      </c>
      <c r="G73" s="92">
        <v>24033632</v>
      </c>
      <c r="H73" s="92"/>
      <c r="I73" s="93">
        <v>0</v>
      </c>
      <c r="J73" s="93">
        <v>13750208</v>
      </c>
      <c r="K73" s="93">
        <v>3544377</v>
      </c>
      <c r="L73" s="92">
        <v>171016</v>
      </c>
      <c r="M73" s="92"/>
      <c r="N73" s="93">
        <v>1135863</v>
      </c>
      <c r="O73" s="93">
        <v>5179045</v>
      </c>
      <c r="P73" s="93">
        <v>0</v>
      </c>
      <c r="Q73" s="92">
        <v>7585</v>
      </c>
      <c r="R73" s="92"/>
      <c r="S73" s="93">
        <v>4604504</v>
      </c>
      <c r="T73" s="94">
        <v>68464</v>
      </c>
      <c r="U73" s="94">
        <v>4672969</v>
      </c>
    </row>
    <row r="74" spans="1:21">
      <c r="A74" s="89">
        <v>30705</v>
      </c>
      <c r="B74" s="90" t="s">
        <v>67</v>
      </c>
      <c r="C74" s="97">
        <v>5.3589999999999996E-4</v>
      </c>
      <c r="D74" s="97">
        <v>4.9689999999999999E-4</v>
      </c>
      <c r="E74" s="92">
        <v>700449.64</v>
      </c>
      <c r="F74" s="92">
        <v>1831175</v>
      </c>
      <c r="G74" s="92">
        <v>4925475</v>
      </c>
      <c r="H74" s="92"/>
      <c r="I74" s="93">
        <v>0</v>
      </c>
      <c r="J74" s="93">
        <v>2817980</v>
      </c>
      <c r="K74" s="93">
        <v>726388</v>
      </c>
      <c r="L74" s="92">
        <v>220334</v>
      </c>
      <c r="M74" s="92"/>
      <c r="N74" s="93">
        <v>232785</v>
      </c>
      <c r="O74" s="93">
        <v>1061398</v>
      </c>
      <c r="P74" s="93">
        <v>0</v>
      </c>
      <c r="Q74" s="92">
        <v>5288</v>
      </c>
      <c r="R74" s="92"/>
      <c r="S74" s="93">
        <v>943651</v>
      </c>
      <c r="T74" s="94">
        <v>79964</v>
      </c>
      <c r="U74" s="94">
        <v>1023615</v>
      </c>
    </row>
    <row r="75" spans="1:21">
      <c r="A75" s="89">
        <v>30800</v>
      </c>
      <c r="B75" s="90" t="s">
        <v>68</v>
      </c>
      <c r="C75" s="97">
        <v>1.0441999999999999E-3</v>
      </c>
      <c r="D75" s="97">
        <v>1.1248E-3</v>
      </c>
      <c r="E75" s="92">
        <v>1371376.91</v>
      </c>
      <c r="F75" s="92">
        <v>4145111</v>
      </c>
      <c r="G75" s="92">
        <v>9597277</v>
      </c>
      <c r="H75" s="92"/>
      <c r="I75" s="93">
        <v>0</v>
      </c>
      <c r="J75" s="93">
        <v>5490829</v>
      </c>
      <c r="K75" s="93">
        <v>1415365</v>
      </c>
      <c r="L75" s="92">
        <v>129367</v>
      </c>
      <c r="M75" s="92"/>
      <c r="N75" s="93">
        <v>453581</v>
      </c>
      <c r="O75" s="93">
        <v>2068132</v>
      </c>
      <c r="P75" s="93">
        <v>0</v>
      </c>
      <c r="Q75" s="92">
        <v>304479</v>
      </c>
      <c r="R75" s="92"/>
      <c r="S75" s="93">
        <v>1838703</v>
      </c>
      <c r="T75" s="94">
        <v>-20355</v>
      </c>
      <c r="U75" s="94">
        <v>1818348</v>
      </c>
    </row>
    <row r="76" spans="1:21">
      <c r="A76" s="89">
        <v>30900</v>
      </c>
      <c r="B76" s="90" t="s">
        <v>69</v>
      </c>
      <c r="C76" s="97">
        <v>1.7328000000000001E-3</v>
      </c>
      <c r="D76" s="97">
        <v>1.7661E-3</v>
      </c>
      <c r="E76" s="92">
        <v>2245056.1</v>
      </c>
      <c r="F76" s="92">
        <v>6508428</v>
      </c>
      <c r="G76" s="92">
        <v>15926222</v>
      </c>
      <c r="H76" s="92"/>
      <c r="I76" s="93">
        <v>0</v>
      </c>
      <c r="J76" s="93">
        <v>9111768</v>
      </c>
      <c r="K76" s="93">
        <v>2348731</v>
      </c>
      <c r="L76" s="92">
        <v>0</v>
      </c>
      <c r="M76" s="92"/>
      <c r="N76" s="93">
        <v>752695</v>
      </c>
      <c r="O76" s="93">
        <v>3431966</v>
      </c>
      <c r="P76" s="93">
        <v>0</v>
      </c>
      <c r="Q76" s="92">
        <v>310651</v>
      </c>
      <c r="R76" s="92"/>
      <c r="S76" s="93">
        <v>3051239</v>
      </c>
      <c r="T76" s="94">
        <v>-122011</v>
      </c>
      <c r="U76" s="94">
        <v>2929228</v>
      </c>
    </row>
    <row r="77" spans="1:21">
      <c r="A77" s="89">
        <v>30905</v>
      </c>
      <c r="B77" s="90" t="s">
        <v>70</v>
      </c>
      <c r="C77" s="97">
        <v>3.5169999999999998E-4</v>
      </c>
      <c r="D77" s="97">
        <v>3.7520000000000001E-4</v>
      </c>
      <c r="E77" s="92">
        <v>515129.81000000006</v>
      </c>
      <c r="F77" s="92">
        <v>1382686</v>
      </c>
      <c r="G77" s="92">
        <v>3232486</v>
      </c>
      <c r="H77" s="92"/>
      <c r="I77" s="93">
        <v>0</v>
      </c>
      <c r="J77" s="93">
        <v>1849382</v>
      </c>
      <c r="K77" s="93">
        <v>476713</v>
      </c>
      <c r="L77" s="92">
        <v>871</v>
      </c>
      <c r="M77" s="92"/>
      <c r="N77" s="93">
        <v>152772</v>
      </c>
      <c r="O77" s="93">
        <v>696574</v>
      </c>
      <c r="P77" s="93">
        <v>0</v>
      </c>
      <c r="Q77" s="92">
        <v>90580</v>
      </c>
      <c r="R77" s="92"/>
      <c r="S77" s="93">
        <v>619299</v>
      </c>
      <c r="T77" s="94">
        <v>-31355</v>
      </c>
      <c r="U77" s="94">
        <v>587944</v>
      </c>
    </row>
    <row r="78" spans="1:21">
      <c r="A78" s="89">
        <v>31000</v>
      </c>
      <c r="B78" s="90" t="s">
        <v>71</v>
      </c>
      <c r="C78" s="97">
        <v>4.8155000000000003E-3</v>
      </c>
      <c r="D78" s="97">
        <v>4.8412000000000004E-3</v>
      </c>
      <c r="E78" s="92">
        <v>6024227.25</v>
      </c>
      <c r="F78" s="92">
        <v>17840781</v>
      </c>
      <c r="G78" s="92">
        <v>44259419</v>
      </c>
      <c r="H78" s="92"/>
      <c r="I78" s="93">
        <v>0</v>
      </c>
      <c r="J78" s="93">
        <v>25321859</v>
      </c>
      <c r="K78" s="93">
        <v>6527189</v>
      </c>
      <c r="L78" s="92">
        <v>516552</v>
      </c>
      <c r="M78" s="92"/>
      <c r="N78" s="93">
        <v>2091762</v>
      </c>
      <c r="O78" s="93">
        <v>9537531</v>
      </c>
      <c r="P78" s="93">
        <v>0</v>
      </c>
      <c r="Q78" s="92">
        <v>169263</v>
      </c>
      <c r="R78" s="92"/>
      <c r="S78" s="93">
        <v>8479479</v>
      </c>
      <c r="T78" s="94">
        <v>206780</v>
      </c>
      <c r="U78" s="94">
        <v>8686259</v>
      </c>
    </row>
    <row r="79" spans="1:21">
      <c r="A79" s="89">
        <v>31005</v>
      </c>
      <c r="B79" s="90" t="s">
        <v>72</v>
      </c>
      <c r="C79" s="97">
        <v>4.8200000000000001E-4</v>
      </c>
      <c r="D79" s="97">
        <v>4.6559999999999999E-4</v>
      </c>
      <c r="E79" s="92">
        <v>700886.58</v>
      </c>
      <c r="F79" s="92">
        <v>1715828</v>
      </c>
      <c r="G79" s="92">
        <v>4430078</v>
      </c>
      <c r="H79" s="92"/>
      <c r="I79" s="93">
        <v>0</v>
      </c>
      <c r="J79" s="93">
        <v>2534552</v>
      </c>
      <c r="K79" s="93">
        <v>653329</v>
      </c>
      <c r="L79" s="92">
        <v>138803</v>
      </c>
      <c r="M79" s="92"/>
      <c r="N79" s="93">
        <v>209372</v>
      </c>
      <c r="O79" s="93">
        <v>954644.38</v>
      </c>
      <c r="P79" s="93">
        <v>0</v>
      </c>
      <c r="Q79" s="92">
        <v>17553</v>
      </c>
      <c r="R79" s="92"/>
      <c r="S79" s="93">
        <v>848740</v>
      </c>
      <c r="T79" s="94">
        <v>31244</v>
      </c>
      <c r="U79" s="94">
        <v>879984</v>
      </c>
    </row>
    <row r="80" spans="1:21">
      <c r="A80" s="89">
        <v>31100</v>
      </c>
      <c r="B80" s="90" t="s">
        <v>73</v>
      </c>
      <c r="C80" s="97">
        <v>9.9386000000000006E-3</v>
      </c>
      <c r="D80" s="97">
        <v>9.9407000000000002E-3</v>
      </c>
      <c r="E80" s="92">
        <v>12146133.370000001</v>
      </c>
      <c r="F80" s="92">
        <v>36633448</v>
      </c>
      <c r="G80" s="92">
        <v>91346001</v>
      </c>
      <c r="H80" s="92"/>
      <c r="I80" s="93">
        <v>0</v>
      </c>
      <c r="J80" s="93">
        <v>52261204</v>
      </c>
      <c r="K80" s="93">
        <v>13471315</v>
      </c>
      <c r="L80" s="92">
        <v>0</v>
      </c>
      <c r="M80" s="92"/>
      <c r="N80" s="93">
        <v>4317139</v>
      </c>
      <c r="O80" s="93">
        <v>19684292</v>
      </c>
      <c r="P80" s="93">
        <v>0</v>
      </c>
      <c r="Q80" s="92">
        <v>797515</v>
      </c>
      <c r="R80" s="92"/>
      <c r="S80" s="93">
        <v>17500602</v>
      </c>
      <c r="T80" s="94">
        <v>-303786</v>
      </c>
      <c r="U80" s="94">
        <v>17196817</v>
      </c>
    </row>
    <row r="81" spans="1:21">
      <c r="A81" s="89">
        <v>31101</v>
      </c>
      <c r="B81" s="90" t="s">
        <v>74</v>
      </c>
      <c r="C81" s="97">
        <v>6.7299999999999996E-5</v>
      </c>
      <c r="D81" s="97">
        <v>6.86E-5</v>
      </c>
      <c r="E81" s="92">
        <v>71654.200000000012</v>
      </c>
      <c r="F81" s="92">
        <v>252805</v>
      </c>
      <c r="G81" s="92">
        <v>618557</v>
      </c>
      <c r="H81" s="92"/>
      <c r="I81" s="93">
        <v>0</v>
      </c>
      <c r="J81" s="93">
        <v>353891</v>
      </c>
      <c r="K81" s="93">
        <v>91222</v>
      </c>
      <c r="L81" s="92">
        <v>0</v>
      </c>
      <c r="M81" s="92"/>
      <c r="N81" s="93">
        <v>29234</v>
      </c>
      <c r="O81" s="93">
        <v>133294</v>
      </c>
      <c r="P81" s="93">
        <v>0</v>
      </c>
      <c r="Q81" s="92">
        <v>53374</v>
      </c>
      <c r="R81" s="92"/>
      <c r="S81" s="93">
        <v>118507</v>
      </c>
      <c r="T81" s="94">
        <v>-19578</v>
      </c>
      <c r="U81" s="94">
        <v>98929</v>
      </c>
    </row>
    <row r="82" spans="1:21">
      <c r="A82" s="89">
        <v>31102</v>
      </c>
      <c r="B82" s="90" t="s">
        <v>75</v>
      </c>
      <c r="C82" s="97">
        <v>1.5300000000000001E-4</v>
      </c>
      <c r="D82" s="97">
        <v>1.5589999999999999E-4</v>
      </c>
      <c r="E82" s="92">
        <v>164728.73000000001</v>
      </c>
      <c r="F82" s="92">
        <v>574522</v>
      </c>
      <c r="G82" s="92">
        <v>1406228</v>
      </c>
      <c r="H82" s="92"/>
      <c r="I82" s="93">
        <v>0</v>
      </c>
      <c r="J82" s="93">
        <v>804536</v>
      </c>
      <c r="K82" s="93">
        <v>207384</v>
      </c>
      <c r="L82" s="92">
        <v>0</v>
      </c>
      <c r="M82" s="92"/>
      <c r="N82" s="93">
        <v>66460</v>
      </c>
      <c r="O82" s="93">
        <v>303030.27</v>
      </c>
      <c r="P82" s="93">
        <v>0</v>
      </c>
      <c r="Q82" s="92">
        <v>114676</v>
      </c>
      <c r="R82" s="92"/>
      <c r="S82" s="93">
        <v>269413</v>
      </c>
      <c r="T82" s="94">
        <v>-51538</v>
      </c>
      <c r="U82" s="94">
        <v>217875</v>
      </c>
    </row>
    <row r="83" spans="1:21">
      <c r="A83" s="89">
        <v>31105</v>
      </c>
      <c r="B83" s="90" t="s">
        <v>76</v>
      </c>
      <c r="C83" s="97">
        <v>1.5401E-3</v>
      </c>
      <c r="D83" s="97">
        <v>1.6336E-3</v>
      </c>
      <c r="E83" s="92">
        <v>2068384.7399999998</v>
      </c>
      <c r="F83" s="92">
        <v>6020139</v>
      </c>
      <c r="G83" s="92">
        <v>14155110</v>
      </c>
      <c r="H83" s="92"/>
      <c r="I83" s="93">
        <v>0</v>
      </c>
      <c r="J83" s="93">
        <v>8098473</v>
      </c>
      <c r="K83" s="93">
        <v>2087535</v>
      </c>
      <c r="L83" s="92">
        <v>298531</v>
      </c>
      <c r="M83" s="92"/>
      <c r="N83" s="93">
        <v>668990</v>
      </c>
      <c r="O83" s="93">
        <v>3050307</v>
      </c>
      <c r="P83" s="93">
        <v>0</v>
      </c>
      <c r="Q83" s="92">
        <v>242509</v>
      </c>
      <c r="R83" s="92"/>
      <c r="S83" s="93">
        <v>2711919</v>
      </c>
      <c r="T83" s="94">
        <v>53333</v>
      </c>
      <c r="U83" s="94">
        <v>2765252</v>
      </c>
    </row>
    <row r="84" spans="1:21">
      <c r="A84" s="89">
        <v>31110</v>
      </c>
      <c r="B84" s="90" t="s">
        <v>77</v>
      </c>
      <c r="C84" s="97">
        <v>2.3018000000000001E-3</v>
      </c>
      <c r="D84" s="97">
        <v>2.3462000000000001E-3</v>
      </c>
      <c r="E84" s="92">
        <v>2663672.4600000004</v>
      </c>
      <c r="F84" s="92">
        <v>8646212</v>
      </c>
      <c r="G84" s="92">
        <v>21155920</v>
      </c>
      <c r="H84" s="92"/>
      <c r="I84" s="93">
        <v>0</v>
      </c>
      <c r="J84" s="93">
        <v>12103801</v>
      </c>
      <c r="K84" s="93">
        <v>3119984</v>
      </c>
      <c r="L84" s="92">
        <v>201088</v>
      </c>
      <c r="M84" s="92"/>
      <c r="N84" s="93">
        <v>999858</v>
      </c>
      <c r="O84" s="93">
        <v>4558922</v>
      </c>
      <c r="P84" s="93">
        <v>0</v>
      </c>
      <c r="Q84" s="92">
        <v>361139</v>
      </c>
      <c r="R84" s="92"/>
      <c r="S84" s="93">
        <v>4053175</v>
      </c>
      <c r="T84" s="94">
        <v>-22160</v>
      </c>
      <c r="U84" s="94">
        <v>4031015</v>
      </c>
    </row>
    <row r="85" spans="1:21">
      <c r="A85" s="89">
        <v>31200</v>
      </c>
      <c r="B85" s="90" t="s">
        <v>78</v>
      </c>
      <c r="C85" s="97">
        <v>4.7600000000000003E-3</v>
      </c>
      <c r="D85" s="97">
        <v>4.8599000000000003E-3</v>
      </c>
      <c r="E85" s="92">
        <v>5837120.2100000009</v>
      </c>
      <c r="F85" s="92">
        <v>17909694</v>
      </c>
      <c r="G85" s="92">
        <v>43749317</v>
      </c>
      <c r="H85" s="92"/>
      <c r="I85" s="93">
        <v>0</v>
      </c>
      <c r="J85" s="93">
        <v>25030017</v>
      </c>
      <c r="K85" s="93">
        <v>6451961</v>
      </c>
      <c r="L85" s="92">
        <v>0</v>
      </c>
      <c r="M85" s="92"/>
      <c r="N85" s="93">
        <v>2067653.56</v>
      </c>
      <c r="O85" s="93">
        <v>9427608</v>
      </c>
      <c r="P85" s="93">
        <v>0</v>
      </c>
      <c r="Q85" s="92">
        <v>1535883</v>
      </c>
      <c r="R85" s="92"/>
      <c r="S85" s="93">
        <v>8381751</v>
      </c>
      <c r="T85" s="94">
        <v>-584566</v>
      </c>
      <c r="U85" s="94">
        <v>7797185</v>
      </c>
    </row>
    <row r="86" spans="1:21">
      <c r="A86" s="89">
        <v>31205</v>
      </c>
      <c r="B86" s="90" t="s">
        <v>79</v>
      </c>
      <c r="C86" s="97">
        <v>5.8929999999999996E-4</v>
      </c>
      <c r="D86" s="97">
        <v>6.2350000000000003E-4</v>
      </c>
      <c r="E86" s="92">
        <v>815299.16</v>
      </c>
      <c r="F86" s="92">
        <v>2297721</v>
      </c>
      <c r="G86" s="92">
        <v>5416276</v>
      </c>
      <c r="H86" s="92"/>
      <c r="I86" s="93">
        <v>0</v>
      </c>
      <c r="J86" s="93">
        <v>3098779</v>
      </c>
      <c r="K86" s="93">
        <v>798769</v>
      </c>
      <c r="L86" s="92">
        <v>0</v>
      </c>
      <c r="M86" s="92"/>
      <c r="N86" s="93">
        <v>255981</v>
      </c>
      <c r="O86" s="93">
        <v>1167162</v>
      </c>
      <c r="P86" s="93">
        <v>0</v>
      </c>
      <c r="Q86" s="92">
        <v>312082</v>
      </c>
      <c r="R86" s="92"/>
      <c r="S86" s="93">
        <v>1037682</v>
      </c>
      <c r="T86" s="94">
        <v>-127738</v>
      </c>
      <c r="U86" s="94">
        <v>909943</v>
      </c>
    </row>
    <row r="87" spans="1:21">
      <c r="A87" s="89">
        <v>31300</v>
      </c>
      <c r="B87" s="90" t="s">
        <v>80</v>
      </c>
      <c r="C87" s="97">
        <v>1.1785500000000001E-2</v>
      </c>
      <c r="D87" s="97">
        <v>1.12263E-2</v>
      </c>
      <c r="E87" s="92">
        <v>13640746.890000001</v>
      </c>
      <c r="F87" s="92">
        <v>41371138</v>
      </c>
      <c r="G87" s="92">
        <v>108320919</v>
      </c>
      <c r="H87" s="92"/>
      <c r="I87" s="93">
        <v>0</v>
      </c>
      <c r="J87" s="93">
        <v>61972956</v>
      </c>
      <c r="K87" s="93">
        <v>15974703</v>
      </c>
      <c r="L87" s="92">
        <v>2044914</v>
      </c>
      <c r="M87" s="92"/>
      <c r="N87" s="93">
        <v>5119397</v>
      </c>
      <c r="O87" s="93">
        <v>23342243</v>
      </c>
      <c r="P87" s="93">
        <v>0</v>
      </c>
      <c r="Q87" s="92">
        <v>838689</v>
      </c>
      <c r="R87" s="92"/>
      <c r="S87" s="93">
        <v>20752757</v>
      </c>
      <c r="T87" s="94">
        <v>227420</v>
      </c>
      <c r="U87" s="94">
        <v>20980177</v>
      </c>
    </row>
    <row r="88" spans="1:21">
      <c r="A88" s="89">
        <v>31301</v>
      </c>
      <c r="B88" s="90" t="s">
        <v>81</v>
      </c>
      <c r="C88" s="97">
        <v>2.3729999999999999E-4</v>
      </c>
      <c r="D88" s="97">
        <v>1.9369999999999999E-4</v>
      </c>
      <c r="E88" s="92">
        <v>261806.38999999998</v>
      </c>
      <c r="F88" s="92">
        <v>713823</v>
      </c>
      <c r="G88" s="92">
        <v>2181032</v>
      </c>
      <c r="H88" s="92"/>
      <c r="I88" s="93">
        <v>0</v>
      </c>
      <c r="J88" s="93">
        <v>1247820</v>
      </c>
      <c r="K88" s="93">
        <v>321649</v>
      </c>
      <c r="L88" s="92">
        <v>166752</v>
      </c>
      <c r="M88" s="92"/>
      <c r="N88" s="93">
        <v>103079</v>
      </c>
      <c r="O88" s="93">
        <v>469994</v>
      </c>
      <c r="P88" s="93">
        <v>0</v>
      </c>
      <c r="Q88" s="92">
        <v>0</v>
      </c>
      <c r="R88" s="92"/>
      <c r="S88" s="93">
        <v>417855</v>
      </c>
      <c r="T88" s="94">
        <v>56215</v>
      </c>
      <c r="U88" s="94">
        <v>474070</v>
      </c>
    </row>
    <row r="89" spans="1:21">
      <c r="A89" s="89">
        <v>31320</v>
      </c>
      <c r="B89" s="90" t="s">
        <v>82</v>
      </c>
      <c r="C89" s="97">
        <v>2.2084000000000001E-3</v>
      </c>
      <c r="D89" s="97">
        <v>2.2095000000000001E-3</v>
      </c>
      <c r="E89" s="92">
        <v>2577748.19</v>
      </c>
      <c r="F89" s="92">
        <v>8142445</v>
      </c>
      <c r="G89" s="92">
        <v>20297477</v>
      </c>
      <c r="H89" s="92"/>
      <c r="I89" s="93">
        <v>0</v>
      </c>
      <c r="J89" s="93">
        <v>11612666</v>
      </c>
      <c r="K89" s="93">
        <v>2993385</v>
      </c>
      <c r="L89" s="92">
        <v>0</v>
      </c>
      <c r="M89" s="92"/>
      <c r="N89" s="93">
        <v>959287</v>
      </c>
      <c r="O89" s="93">
        <v>4373935</v>
      </c>
      <c r="P89" s="93">
        <v>0</v>
      </c>
      <c r="Q89" s="92">
        <v>538165</v>
      </c>
      <c r="R89" s="92"/>
      <c r="S89" s="93">
        <v>3888710</v>
      </c>
      <c r="T89" s="94">
        <v>-231373</v>
      </c>
      <c r="U89" s="94">
        <v>3657337</v>
      </c>
    </row>
    <row r="90" spans="1:21">
      <c r="A90" s="89">
        <v>31400</v>
      </c>
      <c r="B90" s="90" t="s">
        <v>83</v>
      </c>
      <c r="C90" s="97">
        <v>4.731E-3</v>
      </c>
      <c r="D90" s="97">
        <v>4.7343000000000003E-3</v>
      </c>
      <c r="E90" s="92">
        <v>5877573.2699999996</v>
      </c>
      <c r="F90" s="92">
        <v>17446833</v>
      </c>
      <c r="G90" s="92">
        <v>43482777</v>
      </c>
      <c r="H90" s="92"/>
      <c r="I90" s="93">
        <v>0</v>
      </c>
      <c r="J90" s="93">
        <v>24877524</v>
      </c>
      <c r="K90" s="93">
        <v>6412653</v>
      </c>
      <c r="L90" s="92">
        <v>0</v>
      </c>
      <c r="M90" s="92"/>
      <c r="N90" s="93">
        <v>2055057</v>
      </c>
      <c r="O90" s="93">
        <v>9370171</v>
      </c>
      <c r="P90" s="93">
        <v>0</v>
      </c>
      <c r="Q90" s="92">
        <v>422982</v>
      </c>
      <c r="R90" s="92"/>
      <c r="S90" s="93">
        <v>8330685</v>
      </c>
      <c r="T90" s="94">
        <v>-192193</v>
      </c>
      <c r="U90" s="94">
        <v>8138493</v>
      </c>
    </row>
    <row r="91" spans="1:21">
      <c r="A91" s="89">
        <v>31405</v>
      </c>
      <c r="B91" s="90" t="s">
        <v>84</v>
      </c>
      <c r="C91" s="97">
        <v>9.4410000000000002E-4</v>
      </c>
      <c r="D91" s="97">
        <v>9.8060000000000009E-4</v>
      </c>
      <c r="E91" s="92">
        <v>1348309.2700000003</v>
      </c>
      <c r="F91" s="92">
        <v>3613705</v>
      </c>
      <c r="G91" s="92">
        <v>8677254</v>
      </c>
      <c r="H91" s="92"/>
      <c r="I91" s="93">
        <v>0</v>
      </c>
      <c r="J91" s="93">
        <v>4964462</v>
      </c>
      <c r="K91" s="93">
        <v>1279684</v>
      </c>
      <c r="L91" s="92">
        <v>0</v>
      </c>
      <c r="M91" s="92"/>
      <c r="N91" s="93">
        <v>410099</v>
      </c>
      <c r="O91" s="93">
        <v>1869875</v>
      </c>
      <c r="P91" s="93">
        <v>0</v>
      </c>
      <c r="Q91" s="92">
        <v>227378</v>
      </c>
      <c r="R91" s="92"/>
      <c r="S91" s="93">
        <v>1662439</v>
      </c>
      <c r="T91" s="94">
        <v>-95727</v>
      </c>
      <c r="U91" s="94">
        <v>1566713</v>
      </c>
    </row>
    <row r="92" spans="1:21">
      <c r="A92" s="89">
        <v>31500</v>
      </c>
      <c r="B92" s="90" t="s">
        <v>85</v>
      </c>
      <c r="C92" s="97">
        <v>7.2920000000000005E-4</v>
      </c>
      <c r="D92" s="97">
        <v>7.4350000000000002E-4</v>
      </c>
      <c r="E92" s="92">
        <v>953251.6399999999</v>
      </c>
      <c r="F92" s="92">
        <v>2739945</v>
      </c>
      <c r="G92" s="92">
        <v>6702101</v>
      </c>
      <c r="H92" s="92"/>
      <c r="I92" s="93">
        <v>0</v>
      </c>
      <c r="J92" s="93">
        <v>3834430</v>
      </c>
      <c r="K92" s="93">
        <v>988397</v>
      </c>
      <c r="L92" s="92">
        <v>0</v>
      </c>
      <c r="M92" s="92"/>
      <c r="N92" s="93">
        <v>316751</v>
      </c>
      <c r="O92" s="93">
        <v>1444246</v>
      </c>
      <c r="P92" s="93">
        <v>0</v>
      </c>
      <c r="Q92" s="92">
        <v>126500</v>
      </c>
      <c r="R92" s="92"/>
      <c r="S92" s="93">
        <v>1284028</v>
      </c>
      <c r="T92" s="94">
        <v>-47532</v>
      </c>
      <c r="U92" s="94">
        <v>1236496</v>
      </c>
    </row>
    <row r="93" spans="1:21">
      <c r="A93" s="89">
        <v>31600</v>
      </c>
      <c r="B93" s="90" t="s">
        <v>86</v>
      </c>
      <c r="C93" s="97">
        <v>3.2935999999999998E-3</v>
      </c>
      <c r="D93" s="97">
        <v>3.2607000000000001E-3</v>
      </c>
      <c r="E93" s="92">
        <v>4145193.6500000004</v>
      </c>
      <c r="F93" s="92">
        <v>12016325</v>
      </c>
      <c r="G93" s="92">
        <v>30271586</v>
      </c>
      <c r="H93" s="92"/>
      <c r="I93" s="93">
        <v>0</v>
      </c>
      <c r="J93" s="93">
        <v>17319089</v>
      </c>
      <c r="K93" s="93">
        <v>4464323</v>
      </c>
      <c r="L93" s="92">
        <v>391819</v>
      </c>
      <c r="M93" s="92"/>
      <c r="N93" s="93">
        <v>1430677</v>
      </c>
      <c r="O93" s="93">
        <v>6523271</v>
      </c>
      <c r="P93" s="93">
        <v>0</v>
      </c>
      <c r="Q93" s="92">
        <v>0</v>
      </c>
      <c r="R93" s="92"/>
      <c r="S93" s="93">
        <v>5799608</v>
      </c>
      <c r="T93" s="94">
        <v>177894</v>
      </c>
      <c r="U93" s="94">
        <v>5977502</v>
      </c>
    </row>
    <row r="94" spans="1:21">
      <c r="A94" s="89">
        <v>31601</v>
      </c>
      <c r="B94" s="90" t="s">
        <v>286</v>
      </c>
      <c r="C94" s="97">
        <v>0</v>
      </c>
      <c r="D94" s="97">
        <v>0</v>
      </c>
      <c r="E94" s="92"/>
      <c r="F94" s="92">
        <v>0</v>
      </c>
      <c r="G94" s="92">
        <v>0</v>
      </c>
      <c r="H94" s="92"/>
      <c r="I94" s="93">
        <v>0</v>
      </c>
      <c r="J94" s="93">
        <v>0</v>
      </c>
      <c r="K94" s="93">
        <v>0</v>
      </c>
      <c r="L94" s="92">
        <v>0</v>
      </c>
      <c r="M94" s="92"/>
      <c r="N94" s="93">
        <v>0</v>
      </c>
      <c r="O94" s="93">
        <v>0</v>
      </c>
      <c r="P94" s="93">
        <v>0</v>
      </c>
      <c r="Q94" s="92">
        <v>31472</v>
      </c>
      <c r="R94" s="92"/>
      <c r="S94" s="93">
        <v>0</v>
      </c>
      <c r="T94" s="94">
        <v>-12747</v>
      </c>
      <c r="U94" s="94">
        <v>-12747</v>
      </c>
    </row>
    <row r="95" spans="1:21">
      <c r="A95" s="89">
        <v>31605</v>
      </c>
      <c r="B95" s="90" t="s">
        <v>87</v>
      </c>
      <c r="C95" s="97">
        <v>4.7249999999999999E-4</v>
      </c>
      <c r="D95" s="97">
        <v>4.7429999999999998E-4</v>
      </c>
      <c r="E95" s="92">
        <v>682594.32000000007</v>
      </c>
      <c r="F95" s="92">
        <v>1747889</v>
      </c>
      <c r="G95" s="92">
        <v>4342763</v>
      </c>
      <c r="H95" s="92"/>
      <c r="I95" s="93">
        <v>0</v>
      </c>
      <c r="J95" s="93">
        <v>2484597</v>
      </c>
      <c r="K95" s="93">
        <v>640452</v>
      </c>
      <c r="L95" s="92">
        <v>80559</v>
      </c>
      <c r="M95" s="92"/>
      <c r="N95" s="93">
        <v>205245</v>
      </c>
      <c r="O95" s="93">
        <v>935829</v>
      </c>
      <c r="P95" s="93">
        <v>0</v>
      </c>
      <c r="Q95" s="92">
        <v>9017</v>
      </c>
      <c r="R95" s="92"/>
      <c r="S95" s="93">
        <v>832012.02</v>
      </c>
      <c r="T95" s="94">
        <v>20318</v>
      </c>
      <c r="U95" s="94">
        <v>852330</v>
      </c>
    </row>
    <row r="96" spans="1:21">
      <c r="A96" s="89">
        <v>31700</v>
      </c>
      <c r="B96" s="90" t="s">
        <v>88</v>
      </c>
      <c r="C96" s="97">
        <v>9.8649999999999996E-4</v>
      </c>
      <c r="D96" s="97">
        <v>9.8630000000000007E-4</v>
      </c>
      <c r="E96" s="92">
        <v>1325133.3800000001</v>
      </c>
      <c r="F96" s="92">
        <v>3634711</v>
      </c>
      <c r="G96" s="92">
        <v>9066954</v>
      </c>
      <c r="H96" s="92"/>
      <c r="I96" s="93">
        <v>0</v>
      </c>
      <c r="J96" s="93">
        <v>5187419</v>
      </c>
      <c r="K96" s="93">
        <v>1337155</v>
      </c>
      <c r="L96" s="92">
        <v>205470</v>
      </c>
      <c r="M96" s="92"/>
      <c r="N96" s="93">
        <v>428517</v>
      </c>
      <c r="O96" s="93">
        <v>1953852</v>
      </c>
      <c r="P96" s="93">
        <v>0</v>
      </c>
      <c r="Q96" s="92">
        <v>43026</v>
      </c>
      <c r="R96" s="92"/>
      <c r="S96" s="93">
        <v>1737100</v>
      </c>
      <c r="T96" s="94">
        <v>49355</v>
      </c>
      <c r="U96" s="94">
        <v>1786455</v>
      </c>
    </row>
    <row r="97" spans="1:21">
      <c r="A97" s="89">
        <v>31800</v>
      </c>
      <c r="B97" s="90" t="s">
        <v>89</v>
      </c>
      <c r="C97" s="97">
        <v>6.1303E-3</v>
      </c>
      <c r="D97" s="97">
        <v>6.2585999999999996E-3</v>
      </c>
      <c r="E97" s="92">
        <v>7617114.8900000015</v>
      </c>
      <c r="F97" s="92">
        <v>23064180</v>
      </c>
      <c r="G97" s="92">
        <v>56343790</v>
      </c>
      <c r="H97" s="92"/>
      <c r="I97" s="93">
        <v>0</v>
      </c>
      <c r="J97" s="93">
        <v>32235612</v>
      </c>
      <c r="K97" s="93">
        <v>8309340</v>
      </c>
      <c r="L97" s="92">
        <v>41346</v>
      </c>
      <c r="M97" s="92"/>
      <c r="N97" s="93">
        <v>2662886</v>
      </c>
      <c r="O97" s="93">
        <v>12141611</v>
      </c>
      <c r="P97" s="93">
        <v>0</v>
      </c>
      <c r="Q97" s="92">
        <v>668257</v>
      </c>
      <c r="R97" s="92"/>
      <c r="S97" s="93">
        <v>10794674</v>
      </c>
      <c r="T97" s="94">
        <v>-196815</v>
      </c>
      <c r="U97" s="94">
        <v>10597859</v>
      </c>
    </row>
    <row r="98" spans="1:21">
      <c r="A98" s="89">
        <v>31805</v>
      </c>
      <c r="B98" s="90" t="s">
        <v>90</v>
      </c>
      <c r="C98" s="97">
        <v>1.1666999999999999E-3</v>
      </c>
      <c r="D98" s="97">
        <v>1.1642E-3</v>
      </c>
      <c r="E98" s="92">
        <v>1606789.14</v>
      </c>
      <c r="F98" s="92">
        <v>4290308</v>
      </c>
      <c r="G98" s="92">
        <v>10723178</v>
      </c>
      <c r="H98" s="92"/>
      <c r="I98" s="93">
        <v>0</v>
      </c>
      <c r="J98" s="93">
        <v>6134983</v>
      </c>
      <c r="K98" s="93">
        <v>1581408</v>
      </c>
      <c r="L98" s="92">
        <v>127717</v>
      </c>
      <c r="M98" s="92"/>
      <c r="N98" s="93">
        <v>506792</v>
      </c>
      <c r="O98" s="93">
        <v>2310754</v>
      </c>
      <c r="P98" s="93">
        <v>0</v>
      </c>
      <c r="Q98" s="92">
        <v>129796</v>
      </c>
      <c r="R98" s="92"/>
      <c r="S98" s="93">
        <v>2054409</v>
      </c>
      <c r="T98" s="94">
        <v>-6677</v>
      </c>
      <c r="U98" s="94">
        <v>2047733</v>
      </c>
    </row>
    <row r="99" spans="1:21">
      <c r="A99" s="89">
        <v>31810</v>
      </c>
      <c r="B99" s="90" t="s">
        <v>91</v>
      </c>
      <c r="C99" s="97">
        <v>1.5257999999999999E-3</v>
      </c>
      <c r="D99" s="97">
        <v>1.4873E-3</v>
      </c>
      <c r="E99" s="92">
        <v>1900263.9399999997</v>
      </c>
      <c r="F99" s="92">
        <v>5480995</v>
      </c>
      <c r="G99" s="92">
        <v>14023678</v>
      </c>
      <c r="H99" s="92"/>
      <c r="I99" s="93">
        <v>0</v>
      </c>
      <c r="J99" s="93">
        <v>8023277</v>
      </c>
      <c r="K99" s="93">
        <v>2068152</v>
      </c>
      <c r="L99" s="92">
        <v>103016</v>
      </c>
      <c r="M99" s="92"/>
      <c r="N99" s="93">
        <v>662779</v>
      </c>
      <c r="O99" s="93">
        <v>3021984</v>
      </c>
      <c r="P99" s="93">
        <v>0</v>
      </c>
      <c r="Q99" s="92">
        <v>249459</v>
      </c>
      <c r="R99" s="92"/>
      <c r="S99" s="93">
        <v>2686738</v>
      </c>
      <c r="T99" s="94">
        <v>-103973</v>
      </c>
      <c r="U99" s="94">
        <v>2582765</v>
      </c>
    </row>
    <row r="100" spans="1:21">
      <c r="A100" s="89">
        <v>31820</v>
      </c>
      <c r="B100" s="90" t="s">
        <v>92</v>
      </c>
      <c r="C100" s="97">
        <v>1.3676999999999999E-3</v>
      </c>
      <c r="D100" s="97">
        <v>1.2941999999999999E-3</v>
      </c>
      <c r="E100" s="92">
        <v>1579175.12</v>
      </c>
      <c r="F100" s="92">
        <v>4769383</v>
      </c>
      <c r="G100" s="92">
        <v>12570576</v>
      </c>
      <c r="H100" s="92"/>
      <c r="I100" s="93">
        <v>0</v>
      </c>
      <c r="J100" s="93">
        <v>7191923</v>
      </c>
      <c r="K100" s="93">
        <v>1853854</v>
      </c>
      <c r="L100" s="92">
        <v>187338</v>
      </c>
      <c r="M100" s="92"/>
      <c r="N100" s="93">
        <v>594103</v>
      </c>
      <c r="O100" s="93">
        <v>2708853</v>
      </c>
      <c r="P100" s="93">
        <v>0</v>
      </c>
      <c r="Q100" s="92">
        <v>22402</v>
      </c>
      <c r="R100" s="92"/>
      <c r="S100" s="93">
        <v>2408345</v>
      </c>
      <c r="T100" s="94">
        <v>46481</v>
      </c>
      <c r="U100" s="94">
        <v>2454826</v>
      </c>
    </row>
    <row r="101" spans="1:21">
      <c r="A101" s="89">
        <v>31900</v>
      </c>
      <c r="B101" s="90" t="s">
        <v>93</v>
      </c>
      <c r="C101" s="97">
        <v>3.5163999999999998E-3</v>
      </c>
      <c r="D101" s="97">
        <v>3.5747999999999999E-3</v>
      </c>
      <c r="E101" s="92">
        <v>4335787.4700000007</v>
      </c>
      <c r="F101" s="92">
        <v>13173846</v>
      </c>
      <c r="G101" s="92">
        <v>32319348</v>
      </c>
      <c r="H101" s="92"/>
      <c r="I101" s="93">
        <v>0</v>
      </c>
      <c r="J101" s="93">
        <v>18490662</v>
      </c>
      <c r="K101" s="93">
        <v>4766318</v>
      </c>
      <c r="L101" s="92">
        <v>207860</v>
      </c>
      <c r="M101" s="92"/>
      <c r="N101" s="93">
        <v>1527457</v>
      </c>
      <c r="O101" s="93">
        <v>6964547</v>
      </c>
      <c r="P101" s="93">
        <v>0</v>
      </c>
      <c r="Q101" s="92">
        <v>363990</v>
      </c>
      <c r="R101" s="92"/>
      <c r="S101" s="93">
        <v>6191930</v>
      </c>
      <c r="T101" s="94">
        <v>-38939</v>
      </c>
      <c r="U101" s="94">
        <v>6152992</v>
      </c>
    </row>
    <row r="102" spans="1:21">
      <c r="A102" s="89">
        <v>32000</v>
      </c>
      <c r="B102" s="90" t="s">
        <v>94</v>
      </c>
      <c r="C102" s="97">
        <v>1.4400999999999999E-3</v>
      </c>
      <c r="D102" s="97">
        <v>1.3655E-3</v>
      </c>
      <c r="E102" s="92">
        <v>1776395.42</v>
      </c>
      <c r="F102" s="92">
        <v>5032138</v>
      </c>
      <c r="G102" s="92">
        <v>13236007</v>
      </c>
      <c r="H102" s="92"/>
      <c r="I102" s="93">
        <v>0</v>
      </c>
      <c r="J102" s="93">
        <v>7572632</v>
      </c>
      <c r="K102" s="93">
        <v>1951989</v>
      </c>
      <c r="L102" s="92">
        <v>279209</v>
      </c>
      <c r="M102" s="92"/>
      <c r="N102" s="93">
        <v>625552</v>
      </c>
      <c r="O102" s="93">
        <v>2852248</v>
      </c>
      <c r="P102" s="93">
        <v>0</v>
      </c>
      <c r="Q102" s="92">
        <v>35013</v>
      </c>
      <c r="R102" s="92"/>
      <c r="S102" s="93">
        <v>2535832</v>
      </c>
      <c r="T102" s="94">
        <v>66370</v>
      </c>
      <c r="U102" s="94">
        <v>2602202</v>
      </c>
    </row>
    <row r="103" spans="1:21">
      <c r="A103" s="89">
        <v>32005</v>
      </c>
      <c r="B103" s="90" t="s">
        <v>95</v>
      </c>
      <c r="C103" s="97">
        <v>3.2870000000000002E-4</v>
      </c>
      <c r="D103" s="97">
        <v>3.4200000000000002E-4</v>
      </c>
      <c r="E103" s="92">
        <v>446094.88</v>
      </c>
      <c r="F103" s="92">
        <v>1260338</v>
      </c>
      <c r="G103" s="92">
        <v>3021093</v>
      </c>
      <c r="H103" s="92"/>
      <c r="I103" s="93">
        <v>0</v>
      </c>
      <c r="J103" s="93">
        <v>1728438</v>
      </c>
      <c r="K103" s="93">
        <v>445538</v>
      </c>
      <c r="L103" s="92">
        <v>116428</v>
      </c>
      <c r="M103" s="92"/>
      <c r="N103" s="93">
        <v>142781</v>
      </c>
      <c r="O103" s="93">
        <v>651020</v>
      </c>
      <c r="P103" s="93">
        <v>0</v>
      </c>
      <c r="Q103" s="92">
        <v>24851</v>
      </c>
      <c r="R103" s="92"/>
      <c r="S103" s="93">
        <v>578799</v>
      </c>
      <c r="T103" s="94">
        <v>45414</v>
      </c>
      <c r="U103" s="94">
        <v>624213</v>
      </c>
    </row>
    <row r="104" spans="1:21">
      <c r="A104" s="89">
        <v>32100</v>
      </c>
      <c r="B104" s="90" t="s">
        <v>96</v>
      </c>
      <c r="C104" s="97">
        <v>8.8730000000000005E-4</v>
      </c>
      <c r="D104" s="97">
        <v>9.3099999999999997E-4</v>
      </c>
      <c r="E104" s="92">
        <v>1144657.6499999999</v>
      </c>
      <c r="F104" s="92">
        <v>3430919</v>
      </c>
      <c r="G104" s="92">
        <v>8155204</v>
      </c>
      <c r="H104" s="92"/>
      <c r="I104" s="93">
        <v>0</v>
      </c>
      <c r="J104" s="93">
        <v>4665785</v>
      </c>
      <c r="K104" s="93">
        <v>1202694</v>
      </c>
      <c r="L104" s="92">
        <v>0</v>
      </c>
      <c r="M104" s="92"/>
      <c r="N104" s="93">
        <v>385426</v>
      </c>
      <c r="O104" s="93">
        <v>1757378</v>
      </c>
      <c r="P104" s="93">
        <v>0</v>
      </c>
      <c r="Q104" s="92">
        <v>265622</v>
      </c>
      <c r="R104" s="92"/>
      <c r="S104" s="93">
        <v>1562422</v>
      </c>
      <c r="T104" s="94">
        <v>-93209</v>
      </c>
      <c r="U104" s="94">
        <v>1469213</v>
      </c>
    </row>
    <row r="105" spans="1:21">
      <c r="A105" s="89">
        <v>32200</v>
      </c>
      <c r="B105" s="90" t="s">
        <v>97</v>
      </c>
      <c r="C105" s="97">
        <v>5.4869999999999995E-4</v>
      </c>
      <c r="D105" s="97">
        <v>5.4440000000000001E-4</v>
      </c>
      <c r="E105" s="92">
        <v>690658.81</v>
      </c>
      <c r="F105" s="92">
        <v>2006222</v>
      </c>
      <c r="G105" s="92">
        <v>5043120</v>
      </c>
      <c r="H105" s="92"/>
      <c r="I105" s="93">
        <v>0</v>
      </c>
      <c r="J105" s="93">
        <v>2885288</v>
      </c>
      <c r="K105" s="93">
        <v>743738</v>
      </c>
      <c r="L105" s="92">
        <v>76014</v>
      </c>
      <c r="M105" s="92"/>
      <c r="N105" s="93">
        <v>238345</v>
      </c>
      <c r="O105" s="93">
        <v>1086750</v>
      </c>
      <c r="P105" s="93">
        <v>0</v>
      </c>
      <c r="Q105" s="92">
        <v>0</v>
      </c>
      <c r="R105" s="92"/>
      <c r="S105" s="93">
        <v>966190</v>
      </c>
      <c r="T105" s="94">
        <v>34493</v>
      </c>
      <c r="U105" s="94">
        <v>1000684</v>
      </c>
    </row>
    <row r="106" spans="1:21">
      <c r="A106" s="89">
        <v>32300</v>
      </c>
      <c r="B106" s="90" t="s">
        <v>98</v>
      </c>
      <c r="C106" s="97">
        <v>6.2827999999999998E-3</v>
      </c>
      <c r="D106" s="97">
        <v>6.3115999999999997E-3</v>
      </c>
      <c r="E106" s="92">
        <v>7508107.1500000004</v>
      </c>
      <c r="F106" s="92">
        <v>23259496</v>
      </c>
      <c r="G106" s="92">
        <v>57745422</v>
      </c>
      <c r="H106" s="92"/>
      <c r="I106" s="93">
        <v>0</v>
      </c>
      <c r="J106" s="93">
        <v>33037519</v>
      </c>
      <c r="K106" s="93">
        <v>8516046</v>
      </c>
      <c r="L106" s="92">
        <v>0</v>
      </c>
      <c r="M106" s="92"/>
      <c r="N106" s="93">
        <v>2729129</v>
      </c>
      <c r="O106" s="93">
        <v>12443651</v>
      </c>
      <c r="P106" s="93">
        <v>0</v>
      </c>
      <c r="Q106" s="92">
        <v>1075020</v>
      </c>
      <c r="R106" s="92"/>
      <c r="S106" s="93">
        <v>11063207</v>
      </c>
      <c r="T106" s="94">
        <v>-433060</v>
      </c>
      <c r="U106" s="94">
        <v>10630146</v>
      </c>
    </row>
    <row r="107" spans="1:21">
      <c r="A107" s="89">
        <v>32305</v>
      </c>
      <c r="B107" s="90" t="s">
        <v>99</v>
      </c>
      <c r="C107" s="97">
        <v>6.2580000000000003E-4</v>
      </c>
      <c r="D107" s="97">
        <v>6.3920000000000003E-4</v>
      </c>
      <c r="E107" s="92">
        <v>918561.46999999986</v>
      </c>
      <c r="F107" s="92">
        <v>2355579</v>
      </c>
      <c r="G107" s="92">
        <v>5751748</v>
      </c>
      <c r="H107" s="92"/>
      <c r="I107" s="93">
        <v>0</v>
      </c>
      <c r="J107" s="93">
        <v>3290711</v>
      </c>
      <c r="K107" s="93">
        <v>848243</v>
      </c>
      <c r="L107" s="92">
        <v>286194</v>
      </c>
      <c r="M107" s="92"/>
      <c r="N107" s="93">
        <v>271836</v>
      </c>
      <c r="O107" s="93">
        <v>1239453</v>
      </c>
      <c r="P107" s="93">
        <v>0</v>
      </c>
      <c r="Q107" s="92">
        <v>0</v>
      </c>
      <c r="R107" s="92"/>
      <c r="S107" s="93">
        <v>1101954</v>
      </c>
      <c r="T107" s="94">
        <v>120157</v>
      </c>
      <c r="U107" s="94">
        <v>1222110</v>
      </c>
    </row>
    <row r="108" spans="1:21">
      <c r="A108" s="89">
        <v>32400</v>
      </c>
      <c r="B108" s="90" t="s">
        <v>100</v>
      </c>
      <c r="C108" s="97">
        <v>2.2591999999999998E-3</v>
      </c>
      <c r="D108" s="97">
        <v>2.2606000000000002E-3</v>
      </c>
      <c r="E108" s="92">
        <v>2943165.73</v>
      </c>
      <c r="F108" s="92">
        <v>8330759</v>
      </c>
      <c r="G108" s="92">
        <v>20764382</v>
      </c>
      <c r="H108" s="92"/>
      <c r="I108" s="93">
        <v>0</v>
      </c>
      <c r="J108" s="93">
        <v>11879793</v>
      </c>
      <c r="K108" s="93">
        <v>3062242</v>
      </c>
      <c r="L108" s="92">
        <v>299023</v>
      </c>
      <c r="M108" s="92"/>
      <c r="N108" s="93">
        <v>981354</v>
      </c>
      <c r="O108" s="93">
        <v>4474549</v>
      </c>
      <c r="P108" s="93">
        <v>0</v>
      </c>
      <c r="Q108" s="92">
        <v>212188</v>
      </c>
      <c r="R108" s="92"/>
      <c r="S108" s="93">
        <v>3978162</v>
      </c>
      <c r="T108" s="94">
        <v>-8682</v>
      </c>
      <c r="U108" s="94">
        <v>3969480</v>
      </c>
    </row>
    <row r="109" spans="1:21">
      <c r="A109" s="89">
        <v>32405</v>
      </c>
      <c r="B109" s="90" t="s">
        <v>101</v>
      </c>
      <c r="C109" s="97">
        <v>5.6479999999999996E-4</v>
      </c>
      <c r="D109" s="97">
        <v>5.7660000000000003E-4</v>
      </c>
      <c r="E109" s="92">
        <v>797184.42</v>
      </c>
      <c r="F109" s="92">
        <v>2124885</v>
      </c>
      <c r="G109" s="92">
        <v>5191095</v>
      </c>
      <c r="H109" s="92"/>
      <c r="I109" s="93">
        <v>0</v>
      </c>
      <c r="J109" s="93">
        <v>2969948</v>
      </c>
      <c r="K109" s="93">
        <v>765560</v>
      </c>
      <c r="L109" s="92">
        <v>19827</v>
      </c>
      <c r="M109" s="92"/>
      <c r="N109" s="93">
        <v>245338</v>
      </c>
      <c r="O109" s="93">
        <v>1118637</v>
      </c>
      <c r="P109" s="93">
        <v>0</v>
      </c>
      <c r="Q109" s="92">
        <v>105824</v>
      </c>
      <c r="R109" s="92"/>
      <c r="S109" s="93">
        <v>994541</v>
      </c>
      <c r="T109" s="94">
        <v>-39643</v>
      </c>
      <c r="U109" s="94">
        <v>954898</v>
      </c>
    </row>
    <row r="110" spans="1:21">
      <c r="A110" s="89">
        <v>32410</v>
      </c>
      <c r="B110" s="90" t="s">
        <v>102</v>
      </c>
      <c r="C110" s="97">
        <v>8.92E-4</v>
      </c>
      <c r="D110" s="97">
        <v>8.9840000000000004E-4</v>
      </c>
      <c r="E110" s="92">
        <v>1182060.2000000002</v>
      </c>
      <c r="F110" s="92">
        <v>3310782</v>
      </c>
      <c r="G110" s="92">
        <v>8198401</v>
      </c>
      <c r="H110" s="92"/>
      <c r="I110" s="93">
        <v>0</v>
      </c>
      <c r="J110" s="93">
        <v>4690499</v>
      </c>
      <c r="K110" s="93">
        <v>1209065</v>
      </c>
      <c r="L110" s="92">
        <v>219046</v>
      </c>
      <c r="M110" s="92"/>
      <c r="N110" s="93">
        <v>387468</v>
      </c>
      <c r="O110" s="93">
        <v>1766686.28</v>
      </c>
      <c r="P110" s="93">
        <v>0</v>
      </c>
      <c r="Q110" s="92">
        <v>0</v>
      </c>
      <c r="R110" s="92"/>
      <c r="S110" s="93">
        <v>1570698</v>
      </c>
      <c r="T110" s="94">
        <v>94446</v>
      </c>
      <c r="U110" s="94">
        <v>1665144</v>
      </c>
    </row>
    <row r="111" spans="1:21">
      <c r="A111" s="89">
        <v>32420</v>
      </c>
      <c r="B111" s="90" t="s">
        <v>103</v>
      </c>
      <c r="C111" s="97">
        <v>0</v>
      </c>
      <c r="D111" s="97">
        <v>2.69E-5</v>
      </c>
      <c r="E111" s="92"/>
      <c r="F111" s="92">
        <v>99132</v>
      </c>
      <c r="G111" s="92">
        <v>0</v>
      </c>
      <c r="H111" s="92"/>
      <c r="I111" s="93">
        <v>0</v>
      </c>
      <c r="J111" s="93">
        <v>0</v>
      </c>
      <c r="K111" s="93">
        <v>0</v>
      </c>
      <c r="L111" s="92">
        <v>46024</v>
      </c>
      <c r="M111" s="92"/>
      <c r="N111" s="93">
        <v>0</v>
      </c>
      <c r="O111" s="93">
        <v>0</v>
      </c>
      <c r="P111" s="93">
        <v>0</v>
      </c>
      <c r="Q111" s="92">
        <v>98697</v>
      </c>
      <c r="R111" s="92"/>
      <c r="S111" s="93">
        <v>0</v>
      </c>
      <c r="T111" s="94">
        <v>-3006</v>
      </c>
      <c r="U111" s="94">
        <v>-3006</v>
      </c>
    </row>
    <row r="112" spans="1:21">
      <c r="A112" s="89">
        <v>32500</v>
      </c>
      <c r="B112" s="90" t="s">
        <v>104</v>
      </c>
      <c r="C112" s="97">
        <v>5.0733000000000002E-3</v>
      </c>
      <c r="D112" s="97">
        <v>5.0863999999999996E-3</v>
      </c>
      <c r="E112" s="92">
        <v>6297867.6799999997</v>
      </c>
      <c r="F112" s="92">
        <v>18744391</v>
      </c>
      <c r="G112" s="92">
        <v>46628868</v>
      </c>
      <c r="H112" s="92"/>
      <c r="I112" s="93">
        <v>0</v>
      </c>
      <c r="J112" s="93">
        <v>26677476</v>
      </c>
      <c r="K112" s="93">
        <v>6876625</v>
      </c>
      <c r="L112" s="92">
        <v>0</v>
      </c>
      <c r="M112" s="92"/>
      <c r="N112" s="93">
        <v>2203745</v>
      </c>
      <c r="O112" s="93">
        <v>10048127</v>
      </c>
      <c r="P112" s="93">
        <v>0</v>
      </c>
      <c r="Q112" s="92">
        <v>311856</v>
      </c>
      <c r="R112" s="92"/>
      <c r="S112" s="93">
        <v>8933432</v>
      </c>
      <c r="T112" s="94">
        <v>-121508</v>
      </c>
      <c r="U112" s="94">
        <v>8811924</v>
      </c>
    </row>
    <row r="113" spans="1:21">
      <c r="A113" s="89">
        <v>32505</v>
      </c>
      <c r="B113" s="90" t="s">
        <v>105</v>
      </c>
      <c r="C113" s="97">
        <v>7.2650000000000004E-4</v>
      </c>
      <c r="D113" s="97">
        <v>7.4890000000000004E-4</v>
      </c>
      <c r="E113" s="92">
        <v>938171.16999999993</v>
      </c>
      <c r="F113" s="92">
        <v>2759845</v>
      </c>
      <c r="G113" s="92">
        <v>6677285</v>
      </c>
      <c r="H113" s="92"/>
      <c r="I113" s="93">
        <v>0</v>
      </c>
      <c r="J113" s="93">
        <v>3820233</v>
      </c>
      <c r="K113" s="93">
        <v>984737</v>
      </c>
      <c r="L113" s="92">
        <v>92322</v>
      </c>
      <c r="M113" s="92"/>
      <c r="N113" s="93">
        <v>315578</v>
      </c>
      <c r="O113" s="93">
        <v>1438899</v>
      </c>
      <c r="P113" s="93">
        <v>0</v>
      </c>
      <c r="Q113" s="92">
        <v>122957</v>
      </c>
      <c r="R113" s="92"/>
      <c r="S113" s="93">
        <v>1279274</v>
      </c>
      <c r="T113" s="94">
        <v>-14926</v>
      </c>
      <c r="U113" s="94">
        <v>1264348</v>
      </c>
    </row>
    <row r="114" spans="1:21">
      <c r="A114" s="89">
        <v>32600</v>
      </c>
      <c r="B114" s="90" t="s">
        <v>106</v>
      </c>
      <c r="C114" s="97">
        <v>1.77521E-2</v>
      </c>
      <c r="D114" s="97">
        <v>1.8608900000000001E-2</v>
      </c>
      <c r="E114" s="92">
        <v>22076842.57</v>
      </c>
      <c r="F114" s="92">
        <v>68577481</v>
      </c>
      <c r="G114" s="92">
        <v>163160137</v>
      </c>
      <c r="H114" s="92"/>
      <c r="I114" s="93">
        <v>0</v>
      </c>
      <c r="J114" s="93">
        <v>93347767</v>
      </c>
      <c r="K114" s="93">
        <v>24062155</v>
      </c>
      <c r="L114" s="92">
        <v>0</v>
      </c>
      <c r="M114" s="92"/>
      <c r="N114" s="93">
        <v>7711175</v>
      </c>
      <c r="O114" s="93">
        <v>35159632</v>
      </c>
      <c r="P114" s="93">
        <v>0</v>
      </c>
      <c r="Q114" s="92">
        <v>5883524</v>
      </c>
      <c r="R114" s="92"/>
      <c r="S114" s="93">
        <v>31259176</v>
      </c>
      <c r="T114" s="94">
        <v>-2193616</v>
      </c>
      <c r="U114" s="94">
        <v>29065559</v>
      </c>
    </row>
    <row r="115" spans="1:21">
      <c r="A115" s="89">
        <v>32605</v>
      </c>
      <c r="B115" s="90" t="s">
        <v>107</v>
      </c>
      <c r="C115" s="97">
        <v>2.5571999999999999E-3</v>
      </c>
      <c r="D115" s="97">
        <v>2.5182E-3</v>
      </c>
      <c r="E115" s="92">
        <v>3480031.61</v>
      </c>
      <c r="F115" s="92">
        <v>9280066</v>
      </c>
      <c r="G115" s="92">
        <v>23503310</v>
      </c>
      <c r="H115" s="92"/>
      <c r="I115" s="93">
        <v>0</v>
      </c>
      <c r="J115" s="93">
        <v>13446798</v>
      </c>
      <c r="K115" s="93">
        <v>3466167</v>
      </c>
      <c r="L115" s="92">
        <v>595896</v>
      </c>
      <c r="M115" s="92"/>
      <c r="N115" s="93">
        <v>1110799</v>
      </c>
      <c r="O115" s="93">
        <v>5064765</v>
      </c>
      <c r="P115" s="93">
        <v>0</v>
      </c>
      <c r="Q115" s="92">
        <v>0</v>
      </c>
      <c r="R115" s="92"/>
      <c r="S115" s="93">
        <v>4502902</v>
      </c>
      <c r="T115" s="94">
        <v>217107</v>
      </c>
      <c r="U115" s="94">
        <v>4720009</v>
      </c>
    </row>
    <row r="116" spans="1:21">
      <c r="A116" s="89">
        <v>32700</v>
      </c>
      <c r="B116" s="90" t="s">
        <v>108</v>
      </c>
      <c r="C116" s="97">
        <v>1.5617999999999999E-3</v>
      </c>
      <c r="D116" s="97">
        <v>1.5299000000000001E-3</v>
      </c>
      <c r="E116" s="92">
        <v>1971249.8299999996</v>
      </c>
      <c r="F116" s="92">
        <v>5637984</v>
      </c>
      <c r="G116" s="92">
        <v>14354555</v>
      </c>
      <c r="H116" s="92"/>
      <c r="I116" s="93">
        <v>0</v>
      </c>
      <c r="J116" s="93">
        <v>8212580</v>
      </c>
      <c r="K116" s="93">
        <v>2116948</v>
      </c>
      <c r="L116" s="92">
        <v>335246</v>
      </c>
      <c r="M116" s="92"/>
      <c r="N116" s="93">
        <v>678416</v>
      </c>
      <c r="O116" s="93">
        <v>3093285</v>
      </c>
      <c r="P116" s="93">
        <v>0</v>
      </c>
      <c r="Q116" s="92">
        <v>0</v>
      </c>
      <c r="R116" s="92"/>
      <c r="S116" s="93">
        <v>2750130</v>
      </c>
      <c r="T116" s="94">
        <v>125234</v>
      </c>
      <c r="U116" s="94">
        <v>2875364</v>
      </c>
    </row>
    <row r="117" spans="1:21">
      <c r="A117" s="89">
        <v>32800</v>
      </c>
      <c r="B117" s="90" t="s">
        <v>109</v>
      </c>
      <c r="C117" s="97">
        <v>2.1503999999999998E-3</v>
      </c>
      <c r="D117" s="97">
        <v>2.1009000000000002E-3</v>
      </c>
      <c r="E117" s="92">
        <v>2958483.7099999995</v>
      </c>
      <c r="F117" s="92">
        <v>7742232</v>
      </c>
      <c r="G117" s="92">
        <v>19764397</v>
      </c>
      <c r="H117" s="92"/>
      <c r="I117" s="93">
        <v>0</v>
      </c>
      <c r="J117" s="93">
        <v>11307678</v>
      </c>
      <c r="K117" s="93">
        <v>2914768</v>
      </c>
      <c r="L117" s="92">
        <v>519677</v>
      </c>
      <c r="M117" s="92"/>
      <c r="N117" s="93">
        <v>934093</v>
      </c>
      <c r="O117" s="93">
        <v>4259061</v>
      </c>
      <c r="P117" s="93">
        <v>0</v>
      </c>
      <c r="Q117" s="92">
        <v>0</v>
      </c>
      <c r="R117" s="92"/>
      <c r="S117" s="93">
        <v>3786579</v>
      </c>
      <c r="T117" s="94">
        <v>174785</v>
      </c>
      <c r="U117" s="94">
        <v>3961364</v>
      </c>
    </row>
    <row r="118" spans="1:21">
      <c r="A118" s="89">
        <v>32900</v>
      </c>
      <c r="B118" s="90" t="s">
        <v>110</v>
      </c>
      <c r="C118" s="97">
        <v>6.633E-3</v>
      </c>
      <c r="D118" s="97">
        <v>6.5848E-3</v>
      </c>
      <c r="E118" s="92">
        <v>8107247.4899999984</v>
      </c>
      <c r="F118" s="92">
        <v>24266292</v>
      </c>
      <c r="G118" s="92">
        <v>60964122</v>
      </c>
      <c r="H118" s="92"/>
      <c r="I118" s="93">
        <v>0</v>
      </c>
      <c r="J118" s="93">
        <v>34879014</v>
      </c>
      <c r="K118" s="93">
        <v>8990726</v>
      </c>
      <c r="L118" s="92">
        <v>32332</v>
      </c>
      <c r="M118" s="92"/>
      <c r="N118" s="93">
        <v>2881249</v>
      </c>
      <c r="O118" s="93">
        <v>13137253</v>
      </c>
      <c r="P118" s="93">
        <v>0</v>
      </c>
      <c r="Q118" s="92">
        <v>379780</v>
      </c>
      <c r="R118" s="92"/>
      <c r="S118" s="93">
        <v>11679864</v>
      </c>
      <c r="T118" s="94">
        <v>-175635</v>
      </c>
      <c r="U118" s="94">
        <v>11504229</v>
      </c>
    </row>
    <row r="119" spans="1:21">
      <c r="A119" s="89">
        <v>32901</v>
      </c>
      <c r="B119" s="90" t="s">
        <v>287</v>
      </c>
      <c r="C119" s="97">
        <v>1.9560000000000001E-4</v>
      </c>
      <c r="D119" s="97">
        <v>1.707E-4</v>
      </c>
      <c r="E119" s="92">
        <v>201794.83999999997</v>
      </c>
      <c r="F119" s="92">
        <v>629063</v>
      </c>
      <c r="G119" s="92">
        <v>1797766</v>
      </c>
      <c r="H119" s="92"/>
      <c r="I119" s="93">
        <v>0</v>
      </c>
      <c r="J119" s="93">
        <v>1028544</v>
      </c>
      <c r="K119" s="93">
        <v>265127</v>
      </c>
      <c r="L119" s="92">
        <v>537559</v>
      </c>
      <c r="M119" s="92"/>
      <c r="N119" s="93">
        <v>84965</v>
      </c>
      <c r="O119" s="93">
        <v>387403</v>
      </c>
      <c r="P119" s="93">
        <v>0</v>
      </c>
      <c r="Q119" s="92">
        <v>0</v>
      </c>
      <c r="R119" s="92"/>
      <c r="S119" s="93">
        <v>344427</v>
      </c>
      <c r="T119" s="94">
        <v>208399</v>
      </c>
      <c r="U119" s="94">
        <v>552826</v>
      </c>
    </row>
    <row r="120" spans="1:21">
      <c r="A120" s="89">
        <v>32905</v>
      </c>
      <c r="B120" s="90" t="s">
        <v>111</v>
      </c>
      <c r="C120" s="97">
        <v>9.3849999999999999E-4</v>
      </c>
      <c r="D120" s="97">
        <v>9.433E-4</v>
      </c>
      <c r="E120" s="92">
        <v>1254575.6900000002</v>
      </c>
      <c r="F120" s="92">
        <v>3476247</v>
      </c>
      <c r="G120" s="92">
        <v>8625784</v>
      </c>
      <c r="H120" s="92"/>
      <c r="I120" s="93">
        <v>0</v>
      </c>
      <c r="J120" s="93">
        <v>4935015</v>
      </c>
      <c r="K120" s="93">
        <v>1272094</v>
      </c>
      <c r="L120" s="92">
        <v>30318</v>
      </c>
      <c r="M120" s="92"/>
      <c r="N120" s="93">
        <v>407667</v>
      </c>
      <c r="O120" s="93">
        <v>1858784</v>
      </c>
      <c r="P120" s="93">
        <v>0</v>
      </c>
      <c r="Q120" s="92">
        <v>254259</v>
      </c>
      <c r="R120" s="92"/>
      <c r="S120" s="93">
        <v>1652578</v>
      </c>
      <c r="T120" s="94">
        <v>-95614</v>
      </c>
      <c r="U120" s="94">
        <v>1556964</v>
      </c>
    </row>
    <row r="121" spans="1:21">
      <c r="A121" s="89">
        <v>32910</v>
      </c>
      <c r="B121" s="90" t="s">
        <v>112</v>
      </c>
      <c r="C121" s="97">
        <v>1.2221000000000001E-3</v>
      </c>
      <c r="D121" s="97">
        <v>1.2444999999999999E-3</v>
      </c>
      <c r="E121" s="92">
        <v>1563319.5600000003</v>
      </c>
      <c r="F121" s="92">
        <v>4586229</v>
      </c>
      <c r="G121" s="92">
        <v>11232361</v>
      </c>
      <c r="H121" s="92"/>
      <c r="I121" s="93">
        <v>0</v>
      </c>
      <c r="J121" s="93">
        <v>6426299</v>
      </c>
      <c r="K121" s="93">
        <v>1656500</v>
      </c>
      <c r="L121" s="92">
        <v>0</v>
      </c>
      <c r="M121" s="92"/>
      <c r="N121" s="93">
        <v>530857</v>
      </c>
      <c r="O121" s="93">
        <v>2420479</v>
      </c>
      <c r="P121" s="93">
        <v>0</v>
      </c>
      <c r="Q121" s="92">
        <v>266053</v>
      </c>
      <c r="R121" s="92"/>
      <c r="S121" s="93">
        <v>2151962</v>
      </c>
      <c r="T121" s="94">
        <v>-100976</v>
      </c>
      <c r="U121" s="94">
        <v>2050986</v>
      </c>
    </row>
    <row r="122" spans="1:21">
      <c r="A122" s="89">
        <v>32920</v>
      </c>
      <c r="B122" s="90" t="s">
        <v>113</v>
      </c>
      <c r="C122" s="97">
        <v>1.0083E-3</v>
      </c>
      <c r="D122" s="97">
        <v>1.0342000000000001E-3</v>
      </c>
      <c r="E122" s="92">
        <v>1250999.8600000001</v>
      </c>
      <c r="F122" s="92">
        <v>3811232</v>
      </c>
      <c r="G122" s="92">
        <v>9267319</v>
      </c>
      <c r="H122" s="92"/>
      <c r="I122" s="93">
        <v>0</v>
      </c>
      <c r="J122" s="93">
        <v>5302052</v>
      </c>
      <c r="K122" s="93">
        <v>1366704</v>
      </c>
      <c r="L122" s="92">
        <v>56423</v>
      </c>
      <c r="M122" s="92"/>
      <c r="N122" s="93">
        <v>437986</v>
      </c>
      <c r="O122" s="93">
        <v>1997029</v>
      </c>
      <c r="P122" s="93">
        <v>0</v>
      </c>
      <c r="Q122" s="92">
        <v>245712</v>
      </c>
      <c r="R122" s="92"/>
      <c r="S122" s="93">
        <v>1775487</v>
      </c>
      <c r="T122" s="94">
        <v>-84263</v>
      </c>
      <c r="U122" s="94">
        <v>1691224</v>
      </c>
    </row>
    <row r="123" spans="1:21">
      <c r="A123" s="89">
        <v>33000</v>
      </c>
      <c r="B123" s="90" t="s">
        <v>114</v>
      </c>
      <c r="C123" s="97">
        <v>2.5539E-3</v>
      </c>
      <c r="D123" s="97">
        <v>2.5566999999999999E-3</v>
      </c>
      <c r="E123" s="92">
        <v>3038235.93</v>
      </c>
      <c r="F123" s="92">
        <v>9421946</v>
      </c>
      <c r="G123" s="92">
        <v>23472979</v>
      </c>
      <c r="H123" s="92"/>
      <c r="I123" s="93">
        <v>0</v>
      </c>
      <c r="J123" s="93">
        <v>13429446</v>
      </c>
      <c r="K123" s="93">
        <v>3461694</v>
      </c>
      <c r="L123" s="92">
        <v>0</v>
      </c>
      <c r="M123" s="92"/>
      <c r="N123" s="93">
        <v>1109366</v>
      </c>
      <c r="O123" s="93">
        <v>5058229</v>
      </c>
      <c r="P123" s="93">
        <v>0</v>
      </c>
      <c r="Q123" s="92">
        <v>374154</v>
      </c>
      <c r="R123" s="92"/>
      <c r="S123" s="93">
        <v>4497091</v>
      </c>
      <c r="T123" s="94">
        <v>-143725</v>
      </c>
      <c r="U123" s="94">
        <v>4353366</v>
      </c>
    </row>
    <row r="124" spans="1:21">
      <c r="A124" s="89">
        <v>33001</v>
      </c>
      <c r="B124" s="90" t="s">
        <v>115</v>
      </c>
      <c r="C124" s="97">
        <v>7.1699999999999995E-5</v>
      </c>
      <c r="D124" s="97">
        <v>6.0399999999999998E-5</v>
      </c>
      <c r="E124" s="92">
        <v>81123.91</v>
      </c>
      <c r="F124" s="92">
        <v>222586</v>
      </c>
      <c r="G124" s="92">
        <v>658997</v>
      </c>
      <c r="H124" s="92"/>
      <c r="I124" s="93">
        <v>0</v>
      </c>
      <c r="J124" s="93">
        <v>377028</v>
      </c>
      <c r="K124" s="93">
        <v>97186</v>
      </c>
      <c r="L124" s="92">
        <v>127277</v>
      </c>
      <c r="M124" s="92"/>
      <c r="N124" s="93">
        <v>31145</v>
      </c>
      <c r="O124" s="93">
        <v>142008</v>
      </c>
      <c r="P124" s="93">
        <v>0</v>
      </c>
      <c r="Q124" s="92">
        <v>0</v>
      </c>
      <c r="R124" s="92"/>
      <c r="S124" s="93">
        <v>126255</v>
      </c>
      <c r="T124" s="94">
        <v>54629</v>
      </c>
      <c r="U124" s="94">
        <v>180883</v>
      </c>
    </row>
    <row r="125" spans="1:21">
      <c r="A125" s="89">
        <v>33027</v>
      </c>
      <c r="B125" s="90" t="s">
        <v>116</v>
      </c>
      <c r="C125" s="97">
        <v>2.377E-4</v>
      </c>
      <c r="D125" s="97">
        <v>1.9379999999999999E-4</v>
      </c>
      <c r="E125" s="92">
        <v>250770.05</v>
      </c>
      <c r="F125" s="92">
        <v>714191</v>
      </c>
      <c r="G125" s="92">
        <v>2184709</v>
      </c>
      <c r="H125" s="92"/>
      <c r="I125" s="93">
        <v>0</v>
      </c>
      <c r="J125" s="93">
        <v>1249923</v>
      </c>
      <c r="K125" s="93">
        <v>322191</v>
      </c>
      <c r="L125" s="92">
        <v>322789</v>
      </c>
      <c r="M125" s="92"/>
      <c r="N125" s="93">
        <v>103252</v>
      </c>
      <c r="O125" s="93">
        <v>470786</v>
      </c>
      <c r="P125" s="93">
        <v>0</v>
      </c>
      <c r="Q125" s="92">
        <v>0</v>
      </c>
      <c r="R125" s="92"/>
      <c r="S125" s="93">
        <v>418559</v>
      </c>
      <c r="T125" s="94">
        <v>125184</v>
      </c>
      <c r="U125" s="94">
        <v>543743</v>
      </c>
    </row>
    <row r="126" spans="1:21">
      <c r="A126" s="89">
        <v>33100</v>
      </c>
      <c r="B126" s="90" t="s">
        <v>117</v>
      </c>
      <c r="C126" s="97">
        <v>3.6789000000000001E-3</v>
      </c>
      <c r="D126" s="97">
        <v>3.6050000000000001E-3</v>
      </c>
      <c r="E126" s="92">
        <v>4595070.8599999994</v>
      </c>
      <c r="F126" s="92">
        <v>13285139</v>
      </c>
      <c r="G126" s="92">
        <v>33812891</v>
      </c>
      <c r="H126" s="92"/>
      <c r="I126" s="93">
        <v>0</v>
      </c>
      <c r="J126" s="93">
        <v>19345154</v>
      </c>
      <c r="K126" s="93">
        <v>4986580</v>
      </c>
      <c r="L126" s="92">
        <v>994968</v>
      </c>
      <c r="M126" s="92"/>
      <c r="N126" s="93">
        <v>1598044</v>
      </c>
      <c r="O126" s="93">
        <v>7286393</v>
      </c>
      <c r="P126" s="93">
        <v>0</v>
      </c>
      <c r="Q126" s="92">
        <v>0</v>
      </c>
      <c r="R126" s="92"/>
      <c r="S126" s="93">
        <v>6478072</v>
      </c>
      <c r="T126" s="94">
        <v>421432</v>
      </c>
      <c r="U126" s="94">
        <v>6899504</v>
      </c>
    </row>
    <row r="127" spans="1:21">
      <c r="A127" s="89">
        <v>33105</v>
      </c>
      <c r="B127" s="90" t="s">
        <v>118</v>
      </c>
      <c r="C127" s="97">
        <v>3.9419999999999999E-4</v>
      </c>
      <c r="D127" s="97">
        <v>4.281E-4</v>
      </c>
      <c r="E127" s="92">
        <v>531748.04</v>
      </c>
      <c r="F127" s="92">
        <v>1577633</v>
      </c>
      <c r="G127" s="92">
        <v>3623105</v>
      </c>
      <c r="H127" s="92"/>
      <c r="I127" s="93">
        <v>0</v>
      </c>
      <c r="J127" s="93">
        <v>2072864</v>
      </c>
      <c r="K127" s="93">
        <v>534320</v>
      </c>
      <c r="L127" s="92">
        <v>0</v>
      </c>
      <c r="M127" s="92"/>
      <c r="N127" s="93">
        <v>171233</v>
      </c>
      <c r="O127" s="93">
        <v>780749</v>
      </c>
      <c r="P127" s="93">
        <v>0</v>
      </c>
      <c r="Q127" s="92">
        <v>187955</v>
      </c>
      <c r="R127" s="92"/>
      <c r="S127" s="93">
        <v>694136</v>
      </c>
      <c r="T127" s="94">
        <v>-65525</v>
      </c>
      <c r="U127" s="94">
        <v>628610</v>
      </c>
    </row>
    <row r="128" spans="1:21">
      <c r="A128" s="89">
        <v>33200</v>
      </c>
      <c r="B128" s="90" t="s">
        <v>119</v>
      </c>
      <c r="C128" s="97">
        <v>1.57856E-2</v>
      </c>
      <c r="D128" s="97">
        <v>1.54092E-2</v>
      </c>
      <c r="E128" s="92">
        <v>18831502.330000002</v>
      </c>
      <c r="F128" s="92">
        <v>56785953</v>
      </c>
      <c r="G128" s="92">
        <v>145085971</v>
      </c>
      <c r="H128" s="92"/>
      <c r="I128" s="93">
        <v>0</v>
      </c>
      <c r="J128" s="93">
        <v>83007110</v>
      </c>
      <c r="K128" s="93">
        <v>21396655</v>
      </c>
      <c r="L128" s="92">
        <v>1631592</v>
      </c>
      <c r="M128" s="92"/>
      <c r="N128" s="93">
        <v>6856965</v>
      </c>
      <c r="O128" s="93">
        <v>31264802</v>
      </c>
      <c r="P128" s="93">
        <v>0</v>
      </c>
      <c r="Q128" s="92">
        <v>683251</v>
      </c>
      <c r="R128" s="92"/>
      <c r="S128" s="93">
        <v>27796421</v>
      </c>
      <c r="T128" s="94">
        <v>210066</v>
      </c>
      <c r="U128" s="94">
        <v>28006487</v>
      </c>
    </row>
    <row r="129" spans="1:21">
      <c r="A129" s="89">
        <v>33202</v>
      </c>
      <c r="B129" s="90" t="s">
        <v>120</v>
      </c>
      <c r="C129" s="97">
        <v>1.8359999999999999E-4</v>
      </c>
      <c r="D129" s="97">
        <v>1.5779999999999999E-4</v>
      </c>
      <c r="E129" s="92">
        <v>211201.21000000002</v>
      </c>
      <c r="F129" s="92">
        <v>581524</v>
      </c>
      <c r="G129" s="92">
        <v>1687474</v>
      </c>
      <c r="H129" s="92"/>
      <c r="I129" s="93">
        <v>0</v>
      </c>
      <c r="J129" s="93">
        <v>965444</v>
      </c>
      <c r="K129" s="93">
        <v>248861</v>
      </c>
      <c r="L129" s="92">
        <v>114579</v>
      </c>
      <c r="M129" s="92"/>
      <c r="N129" s="93">
        <v>79752</v>
      </c>
      <c r="O129" s="93">
        <v>363636</v>
      </c>
      <c r="P129" s="93">
        <v>0</v>
      </c>
      <c r="Q129" s="92">
        <v>0</v>
      </c>
      <c r="R129" s="92"/>
      <c r="S129" s="93">
        <v>323296</v>
      </c>
      <c r="T129" s="94">
        <v>41498</v>
      </c>
      <c r="U129" s="94">
        <v>364794</v>
      </c>
    </row>
    <row r="130" spans="1:21">
      <c r="A130" s="89">
        <v>33203</v>
      </c>
      <c r="B130" s="90" t="s">
        <v>121</v>
      </c>
      <c r="C130" s="97">
        <v>1.3540000000000001E-4</v>
      </c>
      <c r="D130" s="97">
        <v>1.3689999999999999E-4</v>
      </c>
      <c r="E130" s="92">
        <v>129371.63</v>
      </c>
      <c r="F130" s="92">
        <v>504504</v>
      </c>
      <c r="G130" s="92">
        <v>1244466</v>
      </c>
      <c r="H130" s="92"/>
      <c r="I130" s="93">
        <v>0</v>
      </c>
      <c r="J130" s="93">
        <v>711988</v>
      </c>
      <c r="K130" s="93">
        <v>183528</v>
      </c>
      <c r="L130" s="92">
        <v>38777</v>
      </c>
      <c r="M130" s="92"/>
      <c r="N130" s="93">
        <v>58815</v>
      </c>
      <c r="O130" s="93">
        <v>268172</v>
      </c>
      <c r="P130" s="93">
        <v>0</v>
      </c>
      <c r="Q130" s="92">
        <v>38583</v>
      </c>
      <c r="R130" s="92"/>
      <c r="S130" s="93">
        <v>238422</v>
      </c>
      <c r="T130" s="94">
        <v>4244</v>
      </c>
      <c r="U130" s="94">
        <v>242666</v>
      </c>
    </row>
    <row r="131" spans="1:21">
      <c r="A131" s="89">
        <v>33204</v>
      </c>
      <c r="B131" s="90" t="s">
        <v>122</v>
      </c>
      <c r="C131" s="97">
        <v>4.4210000000000001E-4</v>
      </c>
      <c r="D131" s="97">
        <v>4.1550000000000002E-4</v>
      </c>
      <c r="E131" s="92">
        <v>463866.53</v>
      </c>
      <c r="F131" s="92">
        <v>1531200</v>
      </c>
      <c r="G131" s="92">
        <v>4063356</v>
      </c>
      <c r="H131" s="92"/>
      <c r="I131" s="93">
        <v>0</v>
      </c>
      <c r="J131" s="93">
        <v>2324742</v>
      </c>
      <c r="K131" s="93">
        <v>599246</v>
      </c>
      <c r="L131" s="92">
        <v>16495</v>
      </c>
      <c r="M131" s="92"/>
      <c r="N131" s="93">
        <v>192040</v>
      </c>
      <c r="O131" s="93">
        <v>875619</v>
      </c>
      <c r="P131" s="93">
        <v>0</v>
      </c>
      <c r="Q131" s="92">
        <v>34590</v>
      </c>
      <c r="R131" s="92"/>
      <c r="S131" s="93">
        <v>778482</v>
      </c>
      <c r="T131" s="94">
        <v>-13666</v>
      </c>
      <c r="U131" s="94">
        <v>764816</v>
      </c>
    </row>
    <row r="132" spans="1:21">
      <c r="A132" s="89">
        <v>33205</v>
      </c>
      <c r="B132" s="90" t="s">
        <v>123</v>
      </c>
      <c r="C132" s="97">
        <v>1.2955E-3</v>
      </c>
      <c r="D132" s="97">
        <v>1.2324E-3</v>
      </c>
      <c r="E132" s="92">
        <v>1674309.3800000001</v>
      </c>
      <c r="F132" s="92">
        <v>4541638</v>
      </c>
      <c r="G132" s="92">
        <v>11906983</v>
      </c>
      <c r="H132" s="92"/>
      <c r="I132" s="93">
        <v>0</v>
      </c>
      <c r="J132" s="93">
        <v>6812266</v>
      </c>
      <c r="K132" s="93">
        <v>1755991</v>
      </c>
      <c r="L132" s="92">
        <v>307018</v>
      </c>
      <c r="M132" s="92"/>
      <c r="N132" s="93">
        <v>562741</v>
      </c>
      <c r="O132" s="93">
        <v>2565854</v>
      </c>
      <c r="P132" s="93">
        <v>0</v>
      </c>
      <c r="Q132" s="92">
        <v>0</v>
      </c>
      <c r="R132" s="92"/>
      <c r="S132" s="93">
        <v>2281210</v>
      </c>
      <c r="T132" s="94">
        <v>97447</v>
      </c>
      <c r="U132" s="94">
        <v>2378656</v>
      </c>
    </row>
    <row r="133" spans="1:21">
      <c r="A133" s="89">
        <v>33206</v>
      </c>
      <c r="B133" s="90" t="s">
        <v>124</v>
      </c>
      <c r="C133" s="97">
        <v>1.032E-4</v>
      </c>
      <c r="D133" s="97">
        <v>1.032E-4</v>
      </c>
      <c r="E133" s="92">
        <v>117887.69</v>
      </c>
      <c r="F133" s="92">
        <v>380312</v>
      </c>
      <c r="G133" s="92">
        <v>948515</v>
      </c>
      <c r="H133" s="92"/>
      <c r="I133" s="93">
        <v>0</v>
      </c>
      <c r="J133" s="93">
        <v>542668</v>
      </c>
      <c r="K133" s="93">
        <v>139883</v>
      </c>
      <c r="L133" s="92">
        <v>25894</v>
      </c>
      <c r="M133" s="92"/>
      <c r="N133" s="93">
        <v>44828</v>
      </c>
      <c r="O133" s="93">
        <v>204397</v>
      </c>
      <c r="P133" s="93">
        <v>0</v>
      </c>
      <c r="Q133" s="92">
        <v>10418</v>
      </c>
      <c r="R133" s="92"/>
      <c r="S133" s="93">
        <v>181722</v>
      </c>
      <c r="T133" s="94">
        <v>10105</v>
      </c>
      <c r="U133" s="94">
        <v>191827</v>
      </c>
    </row>
    <row r="134" spans="1:21">
      <c r="A134" s="89">
        <v>33207</v>
      </c>
      <c r="B134" s="90" t="s">
        <v>362</v>
      </c>
      <c r="C134" s="97">
        <v>2.231E-4</v>
      </c>
      <c r="D134" s="97">
        <v>1.02E-4</v>
      </c>
      <c r="E134" s="92">
        <v>224821.17</v>
      </c>
      <c r="F134" s="92">
        <v>375890</v>
      </c>
      <c r="G134" s="92">
        <v>2050519</v>
      </c>
      <c r="H134" s="92"/>
      <c r="I134" s="93">
        <v>0</v>
      </c>
      <c r="J134" s="93">
        <v>1173151</v>
      </c>
      <c r="K134" s="93">
        <v>302402</v>
      </c>
      <c r="L134" s="92">
        <v>672464</v>
      </c>
      <c r="M134" s="92"/>
      <c r="N134" s="93">
        <v>96910</v>
      </c>
      <c r="O134" s="93">
        <v>441870</v>
      </c>
      <c r="P134" s="93">
        <v>0</v>
      </c>
      <c r="Q134" s="92">
        <v>0</v>
      </c>
      <c r="R134" s="92"/>
      <c r="S134" s="93">
        <v>392851</v>
      </c>
      <c r="T134" s="94">
        <v>221127</v>
      </c>
      <c r="U134" s="94">
        <v>613977</v>
      </c>
    </row>
    <row r="135" spans="1:21">
      <c r="A135" s="89">
        <v>33208</v>
      </c>
      <c r="B135" s="90" t="s">
        <v>363</v>
      </c>
      <c r="C135" s="97">
        <v>3.6999999999999998E-5</v>
      </c>
      <c r="D135" s="97">
        <v>3.2299999999999999E-5</v>
      </c>
      <c r="E135" s="92"/>
      <c r="F135" s="92">
        <v>119032</v>
      </c>
      <c r="G135" s="92">
        <v>340068</v>
      </c>
      <c r="H135" s="92"/>
      <c r="I135" s="93">
        <v>0</v>
      </c>
      <c r="J135" s="93">
        <v>194561</v>
      </c>
      <c r="K135" s="93">
        <v>50152</v>
      </c>
      <c r="L135" s="92">
        <v>94103</v>
      </c>
      <c r="M135" s="92"/>
      <c r="N135" s="93">
        <v>16072</v>
      </c>
      <c r="O135" s="93">
        <v>73281.83</v>
      </c>
      <c r="P135" s="93">
        <v>0</v>
      </c>
      <c r="Q135" s="92">
        <v>20135</v>
      </c>
      <c r="R135" s="92"/>
      <c r="S135" s="93">
        <v>65152</v>
      </c>
      <c r="T135" s="94">
        <v>30285</v>
      </c>
      <c r="U135" s="94">
        <v>95438</v>
      </c>
    </row>
    <row r="136" spans="1:21">
      <c r="A136" s="89">
        <v>33209</v>
      </c>
      <c r="B136" s="90" t="s">
        <v>364</v>
      </c>
      <c r="C136" s="97">
        <v>6.5599999999999995E-5</v>
      </c>
      <c r="D136" s="97">
        <v>5.7000000000000003E-5</v>
      </c>
      <c r="E136" s="92">
        <v>73590.16</v>
      </c>
      <c r="F136" s="92">
        <v>210056</v>
      </c>
      <c r="G136" s="92">
        <v>602932</v>
      </c>
      <c r="H136" s="92"/>
      <c r="I136" s="93">
        <v>0</v>
      </c>
      <c r="J136" s="93">
        <v>344951</v>
      </c>
      <c r="K136" s="93">
        <v>88918</v>
      </c>
      <c r="L136" s="92">
        <v>187728</v>
      </c>
      <c r="M136" s="92"/>
      <c r="N136" s="93">
        <v>28495</v>
      </c>
      <c r="O136" s="93">
        <v>129927</v>
      </c>
      <c r="P136" s="93">
        <v>0</v>
      </c>
      <c r="Q136" s="92">
        <v>0</v>
      </c>
      <c r="R136" s="92"/>
      <c r="S136" s="93">
        <v>115513</v>
      </c>
      <c r="T136" s="94">
        <v>69759</v>
      </c>
      <c r="U136" s="94">
        <v>185272</v>
      </c>
    </row>
    <row r="137" spans="1:21">
      <c r="A137" s="89">
        <v>33300</v>
      </c>
      <c r="B137" s="90" t="s">
        <v>125</v>
      </c>
      <c r="C137" s="97">
        <v>2.2869000000000001E-3</v>
      </c>
      <c r="D137" s="97">
        <v>2.2807000000000001E-3</v>
      </c>
      <c r="E137" s="92">
        <v>2814395.46</v>
      </c>
      <c r="F137" s="92">
        <v>8404831</v>
      </c>
      <c r="G137" s="92">
        <v>21018973</v>
      </c>
      <c r="H137" s="92"/>
      <c r="I137" s="93">
        <v>0</v>
      </c>
      <c r="J137" s="93">
        <v>12025451</v>
      </c>
      <c r="K137" s="93">
        <v>3099788</v>
      </c>
      <c r="L137" s="92">
        <v>0</v>
      </c>
      <c r="M137" s="92"/>
      <c r="N137" s="93">
        <v>993386</v>
      </c>
      <c r="O137" s="93">
        <v>4529411</v>
      </c>
      <c r="P137" s="93">
        <v>0</v>
      </c>
      <c r="Q137" s="92">
        <v>355175</v>
      </c>
      <c r="R137" s="92"/>
      <c r="S137" s="93">
        <v>4026938</v>
      </c>
      <c r="T137" s="94">
        <v>-181238</v>
      </c>
      <c r="U137" s="94">
        <v>3845700</v>
      </c>
    </row>
    <row r="138" spans="1:21">
      <c r="A138" s="89">
        <v>33305</v>
      </c>
      <c r="B138" s="90" t="s">
        <v>126</v>
      </c>
      <c r="C138" s="97">
        <v>6.0360000000000003E-4</v>
      </c>
      <c r="D138" s="97">
        <v>6.2299999999999996E-4</v>
      </c>
      <c r="E138" s="92">
        <v>903728.02999999991</v>
      </c>
      <c r="F138" s="92">
        <v>2295878</v>
      </c>
      <c r="G138" s="92">
        <v>5547708</v>
      </c>
      <c r="H138" s="92"/>
      <c r="I138" s="93">
        <v>0</v>
      </c>
      <c r="J138" s="93">
        <v>3173974</v>
      </c>
      <c r="K138" s="93">
        <v>818152</v>
      </c>
      <c r="L138" s="92">
        <v>37671</v>
      </c>
      <c r="M138" s="92"/>
      <c r="N138" s="93">
        <v>262192</v>
      </c>
      <c r="O138" s="93">
        <v>1195484</v>
      </c>
      <c r="P138" s="93">
        <v>0</v>
      </c>
      <c r="Q138" s="92">
        <v>80010</v>
      </c>
      <c r="R138" s="92"/>
      <c r="S138" s="93">
        <v>1062862</v>
      </c>
      <c r="T138" s="94">
        <v>-32495</v>
      </c>
      <c r="U138" s="94">
        <v>1030368</v>
      </c>
    </row>
    <row r="139" spans="1:21">
      <c r="A139" s="89">
        <v>33400</v>
      </c>
      <c r="B139" s="90" t="s">
        <v>127</v>
      </c>
      <c r="C139" s="97">
        <v>2.05119E-2</v>
      </c>
      <c r="D139" s="97">
        <v>2.0228599999999999E-2</v>
      </c>
      <c r="E139" s="92">
        <v>25648363.949999999</v>
      </c>
      <c r="F139" s="92">
        <v>74546396</v>
      </c>
      <c r="G139" s="92">
        <v>188525550</v>
      </c>
      <c r="H139" s="92"/>
      <c r="I139" s="93">
        <v>0</v>
      </c>
      <c r="J139" s="93">
        <v>107859919</v>
      </c>
      <c r="K139" s="93">
        <v>27802937</v>
      </c>
      <c r="L139" s="92">
        <v>1992776</v>
      </c>
      <c r="M139" s="92"/>
      <c r="N139" s="93">
        <v>8909980</v>
      </c>
      <c r="O139" s="93">
        <v>40625664</v>
      </c>
      <c r="P139" s="93">
        <v>0</v>
      </c>
      <c r="Q139" s="92">
        <v>0</v>
      </c>
      <c r="R139" s="92"/>
      <c r="S139" s="93">
        <v>36118830</v>
      </c>
      <c r="T139" s="94">
        <v>789457</v>
      </c>
      <c r="U139" s="94">
        <v>36908287</v>
      </c>
    </row>
    <row r="140" spans="1:21">
      <c r="A140" s="89">
        <v>33402</v>
      </c>
      <c r="B140" s="90" t="s">
        <v>128</v>
      </c>
      <c r="C140" s="97">
        <v>1.585E-4</v>
      </c>
      <c r="D140" s="97">
        <v>1.459E-4</v>
      </c>
      <c r="E140" s="92">
        <v>168912.39</v>
      </c>
      <c r="F140" s="92">
        <v>537670</v>
      </c>
      <c r="G140" s="92">
        <v>1456779</v>
      </c>
      <c r="H140" s="92"/>
      <c r="I140" s="93">
        <v>0</v>
      </c>
      <c r="J140" s="93">
        <v>833458</v>
      </c>
      <c r="K140" s="93">
        <v>214839</v>
      </c>
      <c r="L140" s="92">
        <v>45067</v>
      </c>
      <c r="M140" s="92"/>
      <c r="N140" s="93">
        <v>68849</v>
      </c>
      <c r="O140" s="93">
        <v>313924</v>
      </c>
      <c r="P140" s="93">
        <v>0</v>
      </c>
      <c r="Q140" s="92">
        <v>3136</v>
      </c>
      <c r="R140" s="92"/>
      <c r="S140" s="93">
        <v>279098</v>
      </c>
      <c r="T140" s="94">
        <v>18897</v>
      </c>
      <c r="U140" s="94">
        <v>297995</v>
      </c>
    </row>
    <row r="141" spans="1:21">
      <c r="A141" s="98">
        <v>33403</v>
      </c>
      <c r="B141" s="90" t="s">
        <v>288</v>
      </c>
      <c r="C141" s="97">
        <v>0</v>
      </c>
      <c r="D141" s="97">
        <v>0</v>
      </c>
      <c r="E141" s="92"/>
      <c r="F141" s="92">
        <v>0</v>
      </c>
      <c r="G141" s="92">
        <v>0</v>
      </c>
      <c r="H141" s="92"/>
      <c r="I141" s="93">
        <v>0</v>
      </c>
      <c r="J141" s="93">
        <v>0</v>
      </c>
      <c r="K141" s="93">
        <v>0</v>
      </c>
      <c r="L141" s="92">
        <v>0</v>
      </c>
      <c r="M141" s="92"/>
      <c r="N141" s="93">
        <v>0</v>
      </c>
      <c r="O141" s="93">
        <v>0</v>
      </c>
      <c r="P141" s="93">
        <v>0</v>
      </c>
      <c r="Q141" s="92">
        <v>90748</v>
      </c>
      <c r="R141" s="92"/>
      <c r="S141" s="93">
        <v>0</v>
      </c>
      <c r="T141" s="94">
        <v>-50697</v>
      </c>
      <c r="U141" s="94">
        <v>-50697</v>
      </c>
    </row>
    <row r="142" spans="1:21">
      <c r="A142" s="98">
        <v>33405</v>
      </c>
      <c r="B142" s="90" t="s">
        <v>129</v>
      </c>
      <c r="C142" s="97">
        <v>2.0352E-3</v>
      </c>
      <c r="D142" s="97">
        <v>2.0105000000000001E-3</v>
      </c>
      <c r="E142" s="92">
        <v>2740410.83</v>
      </c>
      <c r="F142" s="92">
        <v>7409091</v>
      </c>
      <c r="G142" s="92">
        <v>18705590</v>
      </c>
      <c r="H142" s="92"/>
      <c r="I142" s="93">
        <v>0</v>
      </c>
      <c r="J142" s="93">
        <v>10701910</v>
      </c>
      <c r="K142" s="93">
        <v>2758620</v>
      </c>
      <c r="L142" s="92">
        <v>601289</v>
      </c>
      <c r="M142" s="92"/>
      <c r="N142" s="93">
        <v>884052</v>
      </c>
      <c r="O142" s="93">
        <v>4030897</v>
      </c>
      <c r="P142" s="93">
        <v>0</v>
      </c>
      <c r="Q142" s="92">
        <v>28655</v>
      </c>
      <c r="R142" s="92"/>
      <c r="S142" s="93">
        <v>3583727</v>
      </c>
      <c r="T142" s="94">
        <v>269418</v>
      </c>
      <c r="U142" s="94">
        <v>3853145</v>
      </c>
    </row>
    <row r="143" spans="1:21">
      <c r="A143" s="98">
        <v>33500</v>
      </c>
      <c r="B143" s="90" t="s">
        <v>130</v>
      </c>
      <c r="C143" s="97">
        <v>3.3923E-3</v>
      </c>
      <c r="D143" s="97">
        <v>3.3027E-3</v>
      </c>
      <c r="E143" s="92">
        <v>4126368.2399999998</v>
      </c>
      <c r="F143" s="92">
        <v>12171103</v>
      </c>
      <c r="G143" s="92">
        <v>31178741</v>
      </c>
      <c r="H143" s="92"/>
      <c r="I143" s="93">
        <v>0</v>
      </c>
      <c r="J143" s="93">
        <v>17838094</v>
      </c>
      <c r="K143" s="93">
        <v>4598107</v>
      </c>
      <c r="L143" s="92">
        <v>524838</v>
      </c>
      <c r="M143" s="92"/>
      <c r="N143" s="93">
        <v>1473551</v>
      </c>
      <c r="O143" s="93">
        <v>6718755</v>
      </c>
      <c r="P143" s="93">
        <v>0</v>
      </c>
      <c r="Q143" s="92">
        <v>0</v>
      </c>
      <c r="R143" s="92"/>
      <c r="S143" s="93">
        <v>5973406</v>
      </c>
      <c r="T143" s="94">
        <v>223143</v>
      </c>
      <c r="U143" s="94">
        <v>6196549</v>
      </c>
    </row>
    <row r="144" spans="1:21">
      <c r="A144" s="89">
        <v>33501</v>
      </c>
      <c r="B144" s="90" t="s">
        <v>131</v>
      </c>
      <c r="C144" s="97">
        <v>7.0699999999999997E-5</v>
      </c>
      <c r="D144" s="97">
        <v>6.86E-5</v>
      </c>
      <c r="E144" s="92">
        <v>80075.009999999995</v>
      </c>
      <c r="F144" s="92">
        <v>252805</v>
      </c>
      <c r="G144" s="92">
        <v>649806</v>
      </c>
      <c r="H144" s="92"/>
      <c r="I144" s="93">
        <v>0</v>
      </c>
      <c r="J144" s="93">
        <v>371769</v>
      </c>
      <c r="K144" s="93">
        <v>95831</v>
      </c>
      <c r="L144" s="92">
        <v>15156</v>
      </c>
      <c r="M144" s="92"/>
      <c r="N144" s="93">
        <v>30711</v>
      </c>
      <c r="O144" s="93">
        <v>140028</v>
      </c>
      <c r="P144" s="93">
        <v>0</v>
      </c>
      <c r="Q144" s="92">
        <v>10890</v>
      </c>
      <c r="R144" s="92"/>
      <c r="S144" s="93">
        <v>124494</v>
      </c>
      <c r="T144" s="94">
        <v>-190</v>
      </c>
      <c r="U144" s="94">
        <v>124304</v>
      </c>
    </row>
    <row r="145" spans="1:21">
      <c r="A145" s="89">
        <v>33600</v>
      </c>
      <c r="B145" s="90" t="s">
        <v>132</v>
      </c>
      <c r="C145" s="97">
        <v>1.0871499999999999E-2</v>
      </c>
      <c r="D145" s="97">
        <v>1.0561299999999999E-2</v>
      </c>
      <c r="E145" s="92">
        <v>13148406.130000001</v>
      </c>
      <c r="F145" s="92">
        <v>38920482</v>
      </c>
      <c r="G145" s="92">
        <v>99920315</v>
      </c>
      <c r="H145" s="92"/>
      <c r="I145" s="93">
        <v>0</v>
      </c>
      <c r="J145" s="93">
        <v>57166772</v>
      </c>
      <c r="K145" s="93">
        <v>14735818</v>
      </c>
      <c r="L145" s="92">
        <v>1020271</v>
      </c>
      <c r="M145" s="92"/>
      <c r="N145" s="93">
        <v>4722373</v>
      </c>
      <c r="O145" s="93">
        <v>21531984</v>
      </c>
      <c r="P145" s="93">
        <v>0</v>
      </c>
      <c r="Q145" s="92">
        <v>387970</v>
      </c>
      <c r="R145" s="92"/>
      <c r="S145" s="93">
        <v>19143320</v>
      </c>
      <c r="T145" s="94">
        <v>120495</v>
      </c>
      <c r="U145" s="94">
        <v>19263815</v>
      </c>
    </row>
    <row r="146" spans="1:21">
      <c r="A146" s="89">
        <v>33605</v>
      </c>
      <c r="B146" s="90" t="s">
        <v>133</v>
      </c>
      <c r="C146" s="97">
        <v>1.4801E-3</v>
      </c>
      <c r="D146" s="97">
        <v>1.4997000000000001E-3</v>
      </c>
      <c r="E146" s="92">
        <v>2087359.0799999998</v>
      </c>
      <c r="F146" s="92">
        <v>5526691</v>
      </c>
      <c r="G146" s="92">
        <v>13603648</v>
      </c>
      <c r="H146" s="92"/>
      <c r="I146" s="93">
        <v>0</v>
      </c>
      <c r="J146" s="93">
        <v>7782968</v>
      </c>
      <c r="K146" s="93">
        <v>2006207</v>
      </c>
      <c r="L146" s="92">
        <v>180059</v>
      </c>
      <c r="M146" s="92"/>
      <c r="N146" s="93">
        <v>642927</v>
      </c>
      <c r="O146" s="93">
        <v>2931471</v>
      </c>
      <c r="P146" s="93">
        <v>0</v>
      </c>
      <c r="Q146" s="92">
        <v>0</v>
      </c>
      <c r="R146" s="92"/>
      <c r="S146" s="93">
        <v>2606267</v>
      </c>
      <c r="T146" s="94">
        <v>66361</v>
      </c>
      <c r="U146" s="94">
        <v>2672627</v>
      </c>
    </row>
    <row r="147" spans="1:21">
      <c r="A147" s="89">
        <v>33700</v>
      </c>
      <c r="B147" s="90" t="s">
        <v>134</v>
      </c>
      <c r="C147" s="97">
        <v>7.9049999999999997E-4</v>
      </c>
      <c r="D147" s="97">
        <v>8.1840000000000005E-4</v>
      </c>
      <c r="E147" s="92">
        <v>949580.70000000007</v>
      </c>
      <c r="F147" s="92">
        <v>3015966</v>
      </c>
      <c r="G147" s="92">
        <v>7265512</v>
      </c>
      <c r="H147" s="92"/>
      <c r="I147" s="93">
        <v>0</v>
      </c>
      <c r="J147" s="93">
        <v>4156771</v>
      </c>
      <c r="K147" s="93">
        <v>1071486</v>
      </c>
      <c r="L147" s="92">
        <v>28615</v>
      </c>
      <c r="M147" s="92"/>
      <c r="N147" s="93">
        <v>343378</v>
      </c>
      <c r="O147" s="93">
        <v>1565656</v>
      </c>
      <c r="P147" s="93">
        <v>0</v>
      </c>
      <c r="Q147" s="92">
        <v>141260</v>
      </c>
      <c r="R147" s="92"/>
      <c r="S147" s="93">
        <v>1391969</v>
      </c>
      <c r="T147" s="94">
        <v>-26311</v>
      </c>
      <c r="U147" s="94">
        <v>1365658</v>
      </c>
    </row>
    <row r="148" spans="1:21">
      <c r="A148" s="89">
        <v>33800</v>
      </c>
      <c r="B148" s="90" t="s">
        <v>135</v>
      </c>
      <c r="C148" s="97">
        <v>5.8219999999999995E-4</v>
      </c>
      <c r="D148" s="97">
        <v>5.754E-4</v>
      </c>
      <c r="E148" s="92">
        <v>731235.97</v>
      </c>
      <c r="F148" s="92">
        <v>2120463</v>
      </c>
      <c r="G148" s="92">
        <v>5351019</v>
      </c>
      <c r="H148" s="92"/>
      <c r="I148" s="93">
        <v>0</v>
      </c>
      <c r="J148" s="93">
        <v>3061445</v>
      </c>
      <c r="K148" s="93">
        <v>789145</v>
      </c>
      <c r="L148" s="92">
        <v>67842</v>
      </c>
      <c r="M148" s="92"/>
      <c r="N148" s="93">
        <v>252897</v>
      </c>
      <c r="O148" s="93">
        <v>1153099</v>
      </c>
      <c r="P148" s="93">
        <v>0</v>
      </c>
      <c r="Q148" s="92">
        <v>18448</v>
      </c>
      <c r="R148" s="92"/>
      <c r="S148" s="93">
        <v>1025180</v>
      </c>
      <c r="T148" s="94">
        <v>14096</v>
      </c>
      <c r="U148" s="94">
        <v>1039275</v>
      </c>
    </row>
    <row r="149" spans="1:21">
      <c r="A149" s="89">
        <v>33900</v>
      </c>
      <c r="B149" s="90" t="s">
        <v>136</v>
      </c>
      <c r="C149" s="97">
        <v>3.0546000000000002E-3</v>
      </c>
      <c r="D149" s="97">
        <v>2.9675999999999999E-3</v>
      </c>
      <c r="E149" s="92">
        <v>3789538.45</v>
      </c>
      <c r="F149" s="92">
        <v>10936194</v>
      </c>
      <c r="G149" s="92">
        <v>28074929</v>
      </c>
      <c r="H149" s="92"/>
      <c r="I149" s="93">
        <v>0</v>
      </c>
      <c r="J149" s="93">
        <v>16062330</v>
      </c>
      <c r="K149" s="93">
        <v>4140370</v>
      </c>
      <c r="L149" s="92">
        <v>229529</v>
      </c>
      <c r="M149" s="92"/>
      <c r="N149" s="93">
        <v>1326860</v>
      </c>
      <c r="O149" s="93">
        <v>6049910</v>
      </c>
      <c r="P149" s="93">
        <v>0</v>
      </c>
      <c r="Q149" s="92">
        <v>338961</v>
      </c>
      <c r="R149" s="92"/>
      <c r="S149" s="93">
        <v>5378760</v>
      </c>
      <c r="T149" s="94">
        <v>-83002</v>
      </c>
      <c r="U149" s="94">
        <v>5295757</v>
      </c>
    </row>
    <row r="150" spans="1:21">
      <c r="A150" s="89">
        <v>34000</v>
      </c>
      <c r="B150" s="90" t="s">
        <v>137</v>
      </c>
      <c r="C150" s="97">
        <v>1.3045000000000001E-3</v>
      </c>
      <c r="D150" s="97">
        <v>1.3382999999999999E-3</v>
      </c>
      <c r="E150" s="92">
        <v>1569651.7099999997</v>
      </c>
      <c r="F150" s="92">
        <v>4931900</v>
      </c>
      <c r="G150" s="92">
        <v>11989703</v>
      </c>
      <c r="H150" s="92"/>
      <c r="I150" s="93">
        <v>0</v>
      </c>
      <c r="J150" s="93">
        <v>6859592</v>
      </c>
      <c r="K150" s="93">
        <v>1768190</v>
      </c>
      <c r="L150" s="92">
        <v>0</v>
      </c>
      <c r="M150" s="92"/>
      <c r="N150" s="93">
        <v>566650</v>
      </c>
      <c r="O150" s="93">
        <v>2583680</v>
      </c>
      <c r="P150" s="93">
        <v>0</v>
      </c>
      <c r="Q150" s="92">
        <v>450003</v>
      </c>
      <c r="R150" s="92"/>
      <c r="S150" s="93">
        <v>2297058</v>
      </c>
      <c r="T150" s="94">
        <v>-174317</v>
      </c>
      <c r="U150" s="94">
        <v>2122740</v>
      </c>
    </row>
    <row r="151" spans="1:21">
      <c r="A151" s="89">
        <v>34100</v>
      </c>
      <c r="B151" s="90" t="s">
        <v>138</v>
      </c>
      <c r="C151" s="97">
        <v>2.9814299999999998E-2</v>
      </c>
      <c r="D151" s="97">
        <v>3.0440399999999999E-2</v>
      </c>
      <c r="E151" s="92">
        <v>35353748.640000008</v>
      </c>
      <c r="F151" s="92">
        <v>112178901</v>
      </c>
      <c r="G151" s="92">
        <v>274024215</v>
      </c>
      <c r="H151" s="92"/>
      <c r="I151" s="93">
        <v>0</v>
      </c>
      <c r="J151" s="93">
        <v>156775724</v>
      </c>
      <c r="K151" s="93">
        <v>40411912</v>
      </c>
      <c r="L151" s="92">
        <v>345334</v>
      </c>
      <c r="M151" s="92"/>
      <c r="N151" s="93">
        <v>12950765</v>
      </c>
      <c r="O151" s="93">
        <v>59049904</v>
      </c>
      <c r="P151" s="93">
        <v>0</v>
      </c>
      <c r="Q151" s="92">
        <v>5583362</v>
      </c>
      <c r="R151" s="92"/>
      <c r="S151" s="93">
        <v>52499166</v>
      </c>
      <c r="T151" s="94">
        <v>-1541138</v>
      </c>
      <c r="U151" s="94">
        <v>50958028</v>
      </c>
    </row>
    <row r="152" spans="1:21">
      <c r="A152" s="89">
        <v>34105</v>
      </c>
      <c r="B152" s="90" t="s">
        <v>139</v>
      </c>
      <c r="C152" s="97">
        <v>2.5124000000000001E-3</v>
      </c>
      <c r="D152" s="97">
        <v>2.6684E-3</v>
      </c>
      <c r="E152" s="92">
        <v>3317964.6499999994</v>
      </c>
      <c r="F152" s="92">
        <v>9833582</v>
      </c>
      <c r="G152" s="92">
        <v>23091551</v>
      </c>
      <c r="H152" s="92"/>
      <c r="I152" s="93">
        <v>0</v>
      </c>
      <c r="J152" s="93">
        <v>13211222</v>
      </c>
      <c r="K152" s="93">
        <v>3405443</v>
      </c>
      <c r="L152" s="92">
        <v>0</v>
      </c>
      <c r="M152" s="92"/>
      <c r="N152" s="93">
        <v>1091339</v>
      </c>
      <c r="O152" s="93">
        <v>4976034</v>
      </c>
      <c r="P152" s="93">
        <v>0</v>
      </c>
      <c r="Q152" s="92">
        <v>542902</v>
      </c>
      <c r="R152" s="92"/>
      <c r="S152" s="93">
        <v>4424015</v>
      </c>
      <c r="T152" s="94">
        <v>-172058</v>
      </c>
      <c r="U152" s="94">
        <v>4251957</v>
      </c>
    </row>
    <row r="153" spans="1:21">
      <c r="A153" s="89">
        <v>34200</v>
      </c>
      <c r="B153" s="90" t="s">
        <v>140</v>
      </c>
      <c r="C153" s="97">
        <v>1.1073999999999999E-3</v>
      </c>
      <c r="D153" s="97">
        <v>1.3571E-3</v>
      </c>
      <c r="E153" s="92">
        <v>1460986.2899999998</v>
      </c>
      <c r="F153" s="92">
        <v>5001182</v>
      </c>
      <c r="G153" s="92">
        <v>10178150</v>
      </c>
      <c r="H153" s="92"/>
      <c r="I153" s="93">
        <v>0</v>
      </c>
      <c r="J153" s="93">
        <v>5823160</v>
      </c>
      <c r="K153" s="93">
        <v>1501030</v>
      </c>
      <c r="L153" s="92">
        <v>0</v>
      </c>
      <c r="M153" s="92"/>
      <c r="N153" s="93">
        <v>481034</v>
      </c>
      <c r="O153" s="93">
        <v>2193305</v>
      </c>
      <c r="P153" s="93">
        <v>0</v>
      </c>
      <c r="Q153" s="92">
        <v>1364810</v>
      </c>
      <c r="R153" s="92"/>
      <c r="S153" s="93">
        <v>1949990</v>
      </c>
      <c r="T153" s="94">
        <v>-480769</v>
      </c>
      <c r="U153" s="94">
        <v>1469221</v>
      </c>
    </row>
    <row r="154" spans="1:21">
      <c r="A154" s="89">
        <v>34205</v>
      </c>
      <c r="B154" s="90" t="s">
        <v>141</v>
      </c>
      <c r="C154" s="97">
        <v>4.4920000000000002E-4</v>
      </c>
      <c r="D154" s="97">
        <v>4.8720000000000002E-4</v>
      </c>
      <c r="E154" s="92">
        <v>649935.43000000005</v>
      </c>
      <c r="F154" s="92">
        <v>1795428</v>
      </c>
      <c r="G154" s="92">
        <v>4128612</v>
      </c>
      <c r="H154" s="92"/>
      <c r="I154" s="93">
        <v>0</v>
      </c>
      <c r="J154" s="93">
        <v>2362076</v>
      </c>
      <c r="K154" s="93">
        <v>608870</v>
      </c>
      <c r="L154" s="92">
        <v>0</v>
      </c>
      <c r="M154" s="92"/>
      <c r="N154" s="93">
        <v>195124</v>
      </c>
      <c r="O154" s="93">
        <v>889681</v>
      </c>
      <c r="P154" s="93">
        <v>0</v>
      </c>
      <c r="Q154" s="92">
        <v>113846</v>
      </c>
      <c r="R154" s="92"/>
      <c r="S154" s="93">
        <v>790984</v>
      </c>
      <c r="T154" s="94">
        <v>-37805</v>
      </c>
      <c r="U154" s="94">
        <v>753179</v>
      </c>
    </row>
    <row r="155" spans="1:21">
      <c r="A155" s="89">
        <v>34220</v>
      </c>
      <c r="B155" s="90" t="s">
        <v>142</v>
      </c>
      <c r="C155" s="97">
        <v>1.0677E-3</v>
      </c>
      <c r="D155" s="97">
        <v>1.0639E-3</v>
      </c>
      <c r="E155" s="92">
        <v>1429741.4999999998</v>
      </c>
      <c r="F155" s="92">
        <v>3920682</v>
      </c>
      <c r="G155" s="92">
        <v>9813266</v>
      </c>
      <c r="H155" s="92"/>
      <c r="I155" s="93">
        <v>0</v>
      </c>
      <c r="J155" s="93">
        <v>5614401</v>
      </c>
      <c r="K155" s="93">
        <v>1447218</v>
      </c>
      <c r="L155" s="92">
        <v>84567</v>
      </c>
      <c r="M155" s="92"/>
      <c r="N155" s="93">
        <v>463789</v>
      </c>
      <c r="O155" s="93">
        <v>2114676</v>
      </c>
      <c r="P155" s="93">
        <v>0</v>
      </c>
      <c r="Q155" s="92">
        <v>12273</v>
      </c>
      <c r="R155" s="92"/>
      <c r="S155" s="93">
        <v>1880083</v>
      </c>
      <c r="T155" s="94">
        <v>18897</v>
      </c>
      <c r="U155" s="94">
        <v>1898980</v>
      </c>
    </row>
    <row r="156" spans="1:21">
      <c r="A156" s="89">
        <v>34230</v>
      </c>
      <c r="B156" s="90" t="s">
        <v>143</v>
      </c>
      <c r="C156" s="97">
        <v>4.9019999999999999E-4</v>
      </c>
      <c r="D156" s="97">
        <v>4.9819999999999997E-4</v>
      </c>
      <c r="E156" s="92">
        <v>625777.5</v>
      </c>
      <c r="F156" s="92">
        <v>1835966</v>
      </c>
      <c r="G156" s="92">
        <v>4505444</v>
      </c>
      <c r="H156" s="92"/>
      <c r="I156" s="93">
        <v>0</v>
      </c>
      <c r="J156" s="93">
        <v>2577671</v>
      </c>
      <c r="K156" s="93">
        <v>664444</v>
      </c>
      <c r="L156" s="92">
        <v>1190</v>
      </c>
      <c r="M156" s="92"/>
      <c r="N156" s="93">
        <v>212934</v>
      </c>
      <c r="O156" s="93">
        <v>970885</v>
      </c>
      <c r="P156" s="93">
        <v>0</v>
      </c>
      <c r="Q156" s="92">
        <v>34910</v>
      </c>
      <c r="R156" s="92"/>
      <c r="S156" s="93">
        <v>863179</v>
      </c>
      <c r="T156" s="94">
        <v>-10167</v>
      </c>
      <c r="U156" s="94">
        <v>853013</v>
      </c>
    </row>
    <row r="157" spans="1:21">
      <c r="A157" s="89">
        <v>34300</v>
      </c>
      <c r="B157" s="90" t="s">
        <v>144</v>
      </c>
      <c r="C157" s="97">
        <v>7.0816000000000004E-3</v>
      </c>
      <c r="D157" s="97">
        <v>7.0587000000000002E-3</v>
      </c>
      <c r="E157" s="92">
        <v>8398819.2200000007</v>
      </c>
      <c r="F157" s="92">
        <v>26012707</v>
      </c>
      <c r="G157" s="92">
        <v>65087219</v>
      </c>
      <c r="H157" s="92"/>
      <c r="I157" s="93">
        <v>0</v>
      </c>
      <c r="J157" s="93">
        <v>37237935</v>
      </c>
      <c r="K157" s="93">
        <v>9598783</v>
      </c>
      <c r="L157" s="92">
        <v>769878</v>
      </c>
      <c r="M157" s="92"/>
      <c r="N157" s="93">
        <v>3076112</v>
      </c>
      <c r="O157" s="93">
        <v>14025746</v>
      </c>
      <c r="P157" s="93">
        <v>0</v>
      </c>
      <c r="Q157" s="92">
        <v>1531401</v>
      </c>
      <c r="R157" s="92"/>
      <c r="S157" s="93">
        <v>12469791</v>
      </c>
      <c r="T157" s="94">
        <v>-118556</v>
      </c>
      <c r="U157" s="94">
        <v>12351235</v>
      </c>
    </row>
    <row r="158" spans="1:21">
      <c r="A158" s="89">
        <v>34400</v>
      </c>
      <c r="B158" s="90" t="s">
        <v>145</v>
      </c>
      <c r="C158" s="97">
        <v>2.9927E-3</v>
      </c>
      <c r="D158" s="97">
        <v>2.9892E-3</v>
      </c>
      <c r="E158" s="92">
        <v>3592331.59</v>
      </c>
      <c r="F158" s="92">
        <v>11015794</v>
      </c>
      <c r="G158" s="92">
        <v>27506004</v>
      </c>
      <c r="H158" s="92"/>
      <c r="I158" s="93">
        <v>0</v>
      </c>
      <c r="J158" s="93">
        <v>15736835</v>
      </c>
      <c r="K158" s="93">
        <v>4056467</v>
      </c>
      <c r="L158" s="92">
        <v>84697</v>
      </c>
      <c r="M158" s="92"/>
      <c r="N158" s="93">
        <v>1299972</v>
      </c>
      <c r="O158" s="93">
        <v>5927312</v>
      </c>
      <c r="P158" s="93">
        <v>0</v>
      </c>
      <c r="Q158" s="92">
        <v>251731</v>
      </c>
      <c r="R158" s="92"/>
      <c r="S158" s="93">
        <v>5269762</v>
      </c>
      <c r="T158" s="94">
        <v>-66046</v>
      </c>
      <c r="U158" s="94">
        <v>5203715</v>
      </c>
    </row>
    <row r="159" spans="1:21">
      <c r="A159" s="89">
        <v>34405</v>
      </c>
      <c r="B159" s="90" t="s">
        <v>146</v>
      </c>
      <c r="C159" s="97">
        <v>5.9949999999999999E-4</v>
      </c>
      <c r="D159" s="97">
        <v>6.3489999999999998E-4</v>
      </c>
      <c r="E159" s="92">
        <v>768545.36</v>
      </c>
      <c r="F159" s="92">
        <v>2339732</v>
      </c>
      <c r="G159" s="92">
        <v>5510024</v>
      </c>
      <c r="H159" s="92"/>
      <c r="I159" s="93">
        <v>0</v>
      </c>
      <c r="J159" s="93">
        <v>3152415</v>
      </c>
      <c r="K159" s="93">
        <v>812595</v>
      </c>
      <c r="L159" s="92">
        <v>6190</v>
      </c>
      <c r="M159" s="92"/>
      <c r="N159" s="93">
        <v>260411</v>
      </c>
      <c r="O159" s="93">
        <v>1187364</v>
      </c>
      <c r="P159" s="93">
        <v>0</v>
      </c>
      <c r="Q159" s="92">
        <v>144133</v>
      </c>
      <c r="R159" s="92"/>
      <c r="S159" s="93">
        <v>1055643</v>
      </c>
      <c r="T159" s="94">
        <v>-45669</v>
      </c>
      <c r="U159" s="94">
        <v>1009974</v>
      </c>
    </row>
    <row r="160" spans="1:21">
      <c r="A160" s="89">
        <v>34500</v>
      </c>
      <c r="B160" s="90" t="s">
        <v>147</v>
      </c>
      <c r="C160" s="97">
        <v>5.1397999999999999E-3</v>
      </c>
      <c r="D160" s="97">
        <v>5.0030999999999999E-3</v>
      </c>
      <c r="E160" s="92">
        <v>6236681.1900000004</v>
      </c>
      <c r="F160" s="92">
        <v>18437414</v>
      </c>
      <c r="G160" s="92">
        <v>47240071</v>
      </c>
      <c r="H160" s="92"/>
      <c r="I160" s="93">
        <v>0</v>
      </c>
      <c r="J160" s="93">
        <v>27027160</v>
      </c>
      <c r="K160" s="93">
        <v>6966762</v>
      </c>
      <c r="L160" s="92">
        <v>389011</v>
      </c>
      <c r="M160" s="92"/>
      <c r="N160" s="93">
        <v>2232631</v>
      </c>
      <c r="O160" s="93">
        <v>10179836</v>
      </c>
      <c r="P160" s="93">
        <v>0</v>
      </c>
      <c r="Q160" s="92">
        <v>104571</v>
      </c>
      <c r="R160" s="92"/>
      <c r="S160" s="93">
        <v>9050530</v>
      </c>
      <c r="T160" s="94">
        <v>67087</v>
      </c>
      <c r="U160" s="94">
        <v>9117617</v>
      </c>
    </row>
    <row r="161" spans="1:21">
      <c r="A161" s="89">
        <v>34501</v>
      </c>
      <c r="B161" s="90" t="s">
        <v>148</v>
      </c>
      <c r="C161" s="97">
        <v>6.19E-5</v>
      </c>
      <c r="D161" s="97">
        <v>6.2399999999999999E-5</v>
      </c>
      <c r="E161" s="92">
        <v>71406.880000000005</v>
      </c>
      <c r="F161" s="92">
        <v>229956</v>
      </c>
      <c r="G161" s="92">
        <v>568925</v>
      </c>
      <c r="H161" s="92"/>
      <c r="I161" s="93">
        <v>0</v>
      </c>
      <c r="J161" s="93">
        <v>325495</v>
      </c>
      <c r="K161" s="93">
        <v>83903</v>
      </c>
      <c r="L161" s="92">
        <v>12325</v>
      </c>
      <c r="M161" s="92"/>
      <c r="N161" s="93">
        <v>26888</v>
      </c>
      <c r="O161" s="93">
        <v>122599</v>
      </c>
      <c r="P161" s="93">
        <v>0</v>
      </c>
      <c r="Q161" s="92">
        <v>7457</v>
      </c>
      <c r="R161" s="92"/>
      <c r="S161" s="93">
        <v>108998</v>
      </c>
      <c r="T161" s="94">
        <v>2591</v>
      </c>
      <c r="U161" s="94">
        <v>111589</v>
      </c>
    </row>
    <row r="162" spans="1:21">
      <c r="A162" s="89">
        <v>34505</v>
      </c>
      <c r="B162" s="90" t="s">
        <v>149</v>
      </c>
      <c r="C162" s="97">
        <v>6.3159999999999996E-4</v>
      </c>
      <c r="D162" s="97">
        <v>6.1439999999999997E-4</v>
      </c>
      <c r="E162" s="92">
        <v>899053.49</v>
      </c>
      <c r="F162" s="92">
        <v>2264186</v>
      </c>
      <c r="G162" s="92">
        <v>5805056</v>
      </c>
      <c r="H162" s="92"/>
      <c r="I162" s="93">
        <v>0</v>
      </c>
      <c r="J162" s="93">
        <v>3321210</v>
      </c>
      <c r="K162" s="93">
        <v>856105</v>
      </c>
      <c r="L162" s="92">
        <v>216794</v>
      </c>
      <c r="M162" s="92"/>
      <c r="N162" s="93">
        <v>274355</v>
      </c>
      <c r="O162" s="93">
        <v>1250941</v>
      </c>
      <c r="P162" s="93">
        <v>0</v>
      </c>
      <c r="Q162" s="92">
        <v>23456</v>
      </c>
      <c r="R162" s="92"/>
      <c r="S162" s="93">
        <v>1112167</v>
      </c>
      <c r="T162" s="94">
        <v>75535</v>
      </c>
      <c r="U162" s="94">
        <v>1187702</v>
      </c>
    </row>
    <row r="163" spans="1:21">
      <c r="A163" s="89">
        <v>34600</v>
      </c>
      <c r="B163" s="90" t="s">
        <v>150</v>
      </c>
      <c r="C163" s="97">
        <v>1.2158E-3</v>
      </c>
      <c r="D163" s="97">
        <v>1.2436000000000001E-3</v>
      </c>
      <c r="E163" s="92">
        <v>1584755.27</v>
      </c>
      <c r="F163" s="92">
        <v>4582912</v>
      </c>
      <c r="G163" s="92">
        <v>11174458</v>
      </c>
      <c r="H163" s="92"/>
      <c r="I163" s="93">
        <v>0</v>
      </c>
      <c r="J163" s="93">
        <v>6393171</v>
      </c>
      <c r="K163" s="93">
        <v>1647961</v>
      </c>
      <c r="L163" s="92">
        <v>0</v>
      </c>
      <c r="M163" s="92"/>
      <c r="N163" s="93">
        <v>528120</v>
      </c>
      <c r="O163" s="93">
        <v>2408001</v>
      </c>
      <c r="P163" s="93">
        <v>0</v>
      </c>
      <c r="Q163" s="92">
        <v>248265</v>
      </c>
      <c r="R163" s="92"/>
      <c r="S163" s="93">
        <v>2140868</v>
      </c>
      <c r="T163" s="94">
        <v>-105690</v>
      </c>
      <c r="U163" s="94">
        <v>2035179</v>
      </c>
    </row>
    <row r="164" spans="1:21">
      <c r="A164" s="89">
        <v>34605</v>
      </c>
      <c r="B164" s="90" t="s">
        <v>151</v>
      </c>
      <c r="C164" s="97">
        <v>2.766E-4</v>
      </c>
      <c r="D164" s="97">
        <v>2.7379999999999999E-4</v>
      </c>
      <c r="E164" s="92">
        <v>394145.82999999996</v>
      </c>
      <c r="F164" s="92">
        <v>1009007</v>
      </c>
      <c r="G164" s="92">
        <v>2542240</v>
      </c>
      <c r="H164" s="92"/>
      <c r="I164" s="93">
        <v>0</v>
      </c>
      <c r="J164" s="93">
        <v>1454475</v>
      </c>
      <c r="K164" s="93">
        <v>374919</v>
      </c>
      <c r="L164" s="92">
        <v>53242</v>
      </c>
      <c r="M164" s="92"/>
      <c r="N164" s="93">
        <v>120150</v>
      </c>
      <c r="O164" s="93">
        <v>547831</v>
      </c>
      <c r="P164" s="93">
        <v>0</v>
      </c>
      <c r="Q164" s="92">
        <v>24363</v>
      </c>
      <c r="R164" s="92"/>
      <c r="S164" s="93">
        <v>487057</v>
      </c>
      <c r="T164" s="94">
        <v>8804</v>
      </c>
      <c r="U164" s="94">
        <v>495861</v>
      </c>
    </row>
    <row r="165" spans="1:21">
      <c r="A165" s="89">
        <v>34700</v>
      </c>
      <c r="B165" s="90" t="s">
        <v>152</v>
      </c>
      <c r="C165" s="97">
        <v>3.3E-3</v>
      </c>
      <c r="D165" s="97">
        <v>3.3221000000000001E-3</v>
      </c>
      <c r="E165" s="92">
        <v>3726768.48</v>
      </c>
      <c r="F165" s="92">
        <v>12242596</v>
      </c>
      <c r="G165" s="92">
        <v>30330409</v>
      </c>
      <c r="H165" s="92"/>
      <c r="I165" s="93">
        <v>0</v>
      </c>
      <c r="J165" s="93">
        <v>17352743</v>
      </c>
      <c r="K165" s="93">
        <v>4472998.2</v>
      </c>
      <c r="L165" s="92">
        <v>214101</v>
      </c>
      <c r="M165" s="92"/>
      <c r="N165" s="93">
        <v>1433457.3</v>
      </c>
      <c r="O165" s="93">
        <v>6535947</v>
      </c>
      <c r="P165" s="93">
        <v>0</v>
      </c>
      <c r="Q165" s="92">
        <v>443827</v>
      </c>
      <c r="R165" s="92"/>
      <c r="S165" s="93">
        <v>5810878</v>
      </c>
      <c r="T165" s="94">
        <v>-33151</v>
      </c>
      <c r="U165" s="94">
        <v>5777727</v>
      </c>
    </row>
    <row r="166" spans="1:21">
      <c r="A166" s="89">
        <v>34800</v>
      </c>
      <c r="B166" s="90" t="s">
        <v>153</v>
      </c>
      <c r="C166" s="97">
        <v>3.6390000000000001E-4</v>
      </c>
      <c r="D166" s="97">
        <v>3.2420000000000002E-4</v>
      </c>
      <c r="E166" s="92">
        <v>494524.79</v>
      </c>
      <c r="F166" s="92">
        <v>1194741</v>
      </c>
      <c r="G166" s="92">
        <v>3344617</v>
      </c>
      <c r="H166" s="92"/>
      <c r="I166" s="93">
        <v>0</v>
      </c>
      <c r="J166" s="93">
        <v>1913534</v>
      </c>
      <c r="K166" s="93">
        <v>493250</v>
      </c>
      <c r="L166" s="92">
        <v>192965</v>
      </c>
      <c r="M166" s="92"/>
      <c r="N166" s="93">
        <v>158071</v>
      </c>
      <c r="O166" s="93">
        <v>720737</v>
      </c>
      <c r="P166" s="93">
        <v>0</v>
      </c>
      <c r="Q166" s="92">
        <v>25591</v>
      </c>
      <c r="R166" s="92"/>
      <c r="S166" s="93">
        <v>640781</v>
      </c>
      <c r="T166" s="94">
        <v>53501</v>
      </c>
      <c r="U166" s="94">
        <v>694282</v>
      </c>
    </row>
    <row r="167" spans="1:21">
      <c r="A167" s="89">
        <v>34900</v>
      </c>
      <c r="B167" s="90" t="s">
        <v>289</v>
      </c>
      <c r="C167" s="97">
        <v>7.3692000000000002E-3</v>
      </c>
      <c r="D167" s="97">
        <v>7.5664E-3</v>
      </c>
      <c r="E167" s="92">
        <v>9002722.3800000027</v>
      </c>
      <c r="F167" s="92">
        <v>27883682</v>
      </c>
      <c r="G167" s="92">
        <v>67730560</v>
      </c>
      <c r="H167" s="92"/>
      <c r="I167" s="93">
        <v>0</v>
      </c>
      <c r="J167" s="93">
        <v>38750253</v>
      </c>
      <c r="K167" s="93">
        <v>9988612</v>
      </c>
      <c r="L167" s="92">
        <v>0</v>
      </c>
      <c r="M167" s="92"/>
      <c r="N167" s="93">
        <v>3201040</v>
      </c>
      <c r="O167" s="93">
        <v>14595364</v>
      </c>
      <c r="P167" s="93">
        <v>0</v>
      </c>
      <c r="Q167" s="92">
        <v>1710518</v>
      </c>
      <c r="R167" s="92"/>
      <c r="S167" s="93">
        <v>12976218</v>
      </c>
      <c r="T167" s="94">
        <v>-670298</v>
      </c>
      <c r="U167" s="94">
        <v>12305920</v>
      </c>
    </row>
    <row r="168" spans="1:21">
      <c r="A168" s="89">
        <v>34901</v>
      </c>
      <c r="B168" s="90" t="s">
        <v>290</v>
      </c>
      <c r="C168" s="97">
        <v>1.8909999999999999E-4</v>
      </c>
      <c r="D168" s="97">
        <v>1.8100000000000001E-4</v>
      </c>
      <c r="E168" s="92">
        <v>200083.26</v>
      </c>
      <c r="F168" s="92">
        <v>667021</v>
      </c>
      <c r="G168" s="92">
        <v>1738024</v>
      </c>
      <c r="H168" s="92"/>
      <c r="I168" s="93">
        <v>0</v>
      </c>
      <c r="J168" s="93">
        <v>994365</v>
      </c>
      <c r="K168" s="93">
        <v>256316</v>
      </c>
      <c r="L168" s="92">
        <v>10228</v>
      </c>
      <c r="M168" s="92"/>
      <c r="N168" s="93">
        <v>82141</v>
      </c>
      <c r="O168" s="93">
        <v>374530</v>
      </c>
      <c r="P168" s="93">
        <v>0</v>
      </c>
      <c r="Q168" s="92">
        <v>60342</v>
      </c>
      <c r="R168" s="92"/>
      <c r="S168" s="93">
        <v>332981</v>
      </c>
      <c r="T168" s="94">
        <v>-17104</v>
      </c>
      <c r="U168" s="94">
        <v>315876</v>
      </c>
    </row>
    <row r="169" spans="1:21">
      <c r="A169" s="89">
        <v>34903</v>
      </c>
      <c r="B169" s="90" t="s">
        <v>154</v>
      </c>
      <c r="C169" s="97">
        <v>1.34E-5</v>
      </c>
      <c r="D169" s="97">
        <v>2.02E-5</v>
      </c>
      <c r="E169" s="92">
        <v>24821.279999999995</v>
      </c>
      <c r="F169" s="92">
        <v>74441</v>
      </c>
      <c r="G169" s="92">
        <v>123160</v>
      </c>
      <c r="H169" s="92"/>
      <c r="I169" s="93">
        <v>0</v>
      </c>
      <c r="J169" s="93">
        <v>70463</v>
      </c>
      <c r="K169" s="93">
        <v>18163</v>
      </c>
      <c r="L169" s="92">
        <v>0</v>
      </c>
      <c r="M169" s="92"/>
      <c r="N169" s="93">
        <v>5821</v>
      </c>
      <c r="O169" s="93">
        <v>26540</v>
      </c>
      <c r="P169" s="93">
        <v>0</v>
      </c>
      <c r="Q169" s="92">
        <v>21256</v>
      </c>
      <c r="R169" s="92"/>
      <c r="S169" s="93">
        <v>23596</v>
      </c>
      <c r="T169" s="94">
        <v>-6784</v>
      </c>
      <c r="U169" s="94">
        <v>16812</v>
      </c>
    </row>
    <row r="170" spans="1:21">
      <c r="A170" s="89">
        <v>34905</v>
      </c>
      <c r="B170" s="90" t="s">
        <v>155</v>
      </c>
      <c r="C170" s="97">
        <v>7.2610000000000003E-4</v>
      </c>
      <c r="D170" s="97">
        <v>7.8080000000000001E-4</v>
      </c>
      <c r="E170" s="92">
        <v>938318.62999999966</v>
      </c>
      <c r="F170" s="92">
        <v>2877403</v>
      </c>
      <c r="G170" s="92">
        <v>6673609</v>
      </c>
      <c r="H170" s="92"/>
      <c r="I170" s="93">
        <v>0</v>
      </c>
      <c r="J170" s="93">
        <v>3818129</v>
      </c>
      <c r="K170" s="93">
        <v>984195</v>
      </c>
      <c r="L170" s="92">
        <v>31978</v>
      </c>
      <c r="M170" s="92"/>
      <c r="N170" s="93">
        <v>315404</v>
      </c>
      <c r="O170" s="93">
        <v>1438106</v>
      </c>
      <c r="P170" s="93">
        <v>0</v>
      </c>
      <c r="Q170" s="92">
        <v>187277</v>
      </c>
      <c r="R170" s="92"/>
      <c r="S170" s="93">
        <v>1278569</v>
      </c>
      <c r="T170" s="94">
        <v>-43350</v>
      </c>
      <c r="U170" s="94">
        <v>1235219</v>
      </c>
    </row>
    <row r="171" spans="1:21">
      <c r="A171" s="89">
        <v>34910</v>
      </c>
      <c r="B171" s="90" t="s">
        <v>156</v>
      </c>
      <c r="C171" s="97">
        <v>2.3143E-3</v>
      </c>
      <c r="D171" s="97">
        <v>2.2087999999999999E-3</v>
      </c>
      <c r="E171" s="92">
        <v>2713830.5099999993</v>
      </c>
      <c r="F171" s="92">
        <v>8139865</v>
      </c>
      <c r="G171" s="92">
        <v>21270808</v>
      </c>
      <c r="H171" s="92"/>
      <c r="I171" s="93">
        <v>0</v>
      </c>
      <c r="J171" s="93">
        <v>12169531</v>
      </c>
      <c r="K171" s="93">
        <v>3136927</v>
      </c>
      <c r="L171" s="92">
        <v>470343</v>
      </c>
      <c r="M171" s="92"/>
      <c r="N171" s="93">
        <v>1005288</v>
      </c>
      <c r="O171" s="93">
        <v>4583679</v>
      </c>
      <c r="P171" s="93">
        <v>0</v>
      </c>
      <c r="Q171" s="92">
        <v>0</v>
      </c>
      <c r="R171" s="92"/>
      <c r="S171" s="93">
        <v>4075186</v>
      </c>
      <c r="T171" s="94">
        <v>171108</v>
      </c>
      <c r="U171" s="94">
        <v>4246294</v>
      </c>
    </row>
    <row r="172" spans="1:21">
      <c r="A172" s="89">
        <v>35000</v>
      </c>
      <c r="B172" s="90" t="s">
        <v>157</v>
      </c>
      <c r="C172" s="97">
        <v>1.5556999999999999E-3</v>
      </c>
      <c r="D172" s="97">
        <v>1.5065E-3</v>
      </c>
      <c r="E172" s="92">
        <v>1833578.5599999996</v>
      </c>
      <c r="F172" s="92">
        <v>5551751</v>
      </c>
      <c r="G172" s="92">
        <v>14298490</v>
      </c>
      <c r="H172" s="92"/>
      <c r="I172" s="93">
        <v>0</v>
      </c>
      <c r="J172" s="93">
        <v>8180504</v>
      </c>
      <c r="K172" s="93">
        <v>2108680</v>
      </c>
      <c r="L172" s="92">
        <v>227205</v>
      </c>
      <c r="M172" s="92"/>
      <c r="N172" s="93">
        <v>675767</v>
      </c>
      <c r="O172" s="93">
        <v>3081204</v>
      </c>
      <c r="P172" s="93">
        <v>0</v>
      </c>
      <c r="Q172" s="92">
        <v>0</v>
      </c>
      <c r="R172" s="92"/>
      <c r="S172" s="93">
        <v>2739389</v>
      </c>
      <c r="T172" s="94">
        <v>81578</v>
      </c>
      <c r="U172" s="94">
        <v>2820966</v>
      </c>
    </row>
    <row r="173" spans="1:21">
      <c r="A173" s="89">
        <v>35005</v>
      </c>
      <c r="B173" s="90" t="s">
        <v>158</v>
      </c>
      <c r="C173" s="97">
        <v>7.0509999999999995E-4</v>
      </c>
      <c r="D173" s="97">
        <v>7.2009999999999999E-4</v>
      </c>
      <c r="E173" s="92">
        <v>892704.05999999994</v>
      </c>
      <c r="F173" s="92">
        <v>2653711</v>
      </c>
      <c r="G173" s="92">
        <v>6480597</v>
      </c>
      <c r="H173" s="92"/>
      <c r="I173" s="93">
        <v>0</v>
      </c>
      <c r="J173" s="93">
        <v>3707703</v>
      </c>
      <c r="K173" s="93">
        <v>955731</v>
      </c>
      <c r="L173" s="92">
        <v>113888</v>
      </c>
      <c r="M173" s="92"/>
      <c r="N173" s="93">
        <v>306282</v>
      </c>
      <c r="O173" s="93">
        <v>1396514</v>
      </c>
      <c r="P173" s="93">
        <v>0</v>
      </c>
      <c r="Q173" s="92">
        <v>55865</v>
      </c>
      <c r="R173" s="92"/>
      <c r="S173" s="93">
        <v>1241591</v>
      </c>
      <c r="T173" s="94">
        <v>42601</v>
      </c>
      <c r="U173" s="94">
        <v>1284192</v>
      </c>
    </row>
    <row r="174" spans="1:21">
      <c r="A174" s="89">
        <v>35100</v>
      </c>
      <c r="B174" s="90" t="s">
        <v>159</v>
      </c>
      <c r="C174" s="97">
        <v>1.29987E-2</v>
      </c>
      <c r="D174" s="97">
        <v>1.2978699999999999E-2</v>
      </c>
      <c r="E174" s="92">
        <v>15145032.690000001</v>
      </c>
      <c r="F174" s="92">
        <v>47829079</v>
      </c>
      <c r="G174" s="92">
        <v>119471481</v>
      </c>
      <c r="H174" s="92"/>
      <c r="I174" s="93">
        <v>0</v>
      </c>
      <c r="J174" s="93">
        <v>68352455</v>
      </c>
      <c r="K174" s="93">
        <v>17619140</v>
      </c>
      <c r="L174" s="92">
        <v>666082</v>
      </c>
      <c r="M174" s="92"/>
      <c r="N174" s="93">
        <v>5646388</v>
      </c>
      <c r="O174" s="93">
        <v>25745095</v>
      </c>
      <c r="P174" s="93">
        <v>0</v>
      </c>
      <c r="Q174" s="92">
        <v>2523009</v>
      </c>
      <c r="R174" s="92"/>
      <c r="S174" s="93">
        <v>22889047</v>
      </c>
      <c r="T174" s="94">
        <v>-878950</v>
      </c>
      <c r="U174" s="94">
        <v>22010097</v>
      </c>
    </row>
    <row r="175" spans="1:21">
      <c r="A175" s="89">
        <v>35105</v>
      </c>
      <c r="B175" s="90" t="s">
        <v>160</v>
      </c>
      <c r="C175" s="97">
        <v>1.1724999999999999E-3</v>
      </c>
      <c r="D175" s="97">
        <v>1.2034000000000001E-3</v>
      </c>
      <c r="E175" s="92">
        <v>1448372.9400000002</v>
      </c>
      <c r="F175" s="92">
        <v>4434767</v>
      </c>
      <c r="G175" s="92">
        <v>10776486</v>
      </c>
      <c r="H175" s="92"/>
      <c r="I175" s="93">
        <v>0</v>
      </c>
      <c r="J175" s="93">
        <v>6165482</v>
      </c>
      <c r="K175" s="93">
        <v>1589270</v>
      </c>
      <c r="L175" s="92">
        <v>94413</v>
      </c>
      <c r="M175" s="92"/>
      <c r="N175" s="93">
        <v>509312</v>
      </c>
      <c r="O175" s="93">
        <v>2322242</v>
      </c>
      <c r="P175" s="93">
        <v>0</v>
      </c>
      <c r="Q175" s="92">
        <v>203439</v>
      </c>
      <c r="R175" s="92"/>
      <c r="S175" s="93">
        <v>2064622.42</v>
      </c>
      <c r="T175" s="94">
        <v>-11502</v>
      </c>
      <c r="U175" s="94">
        <v>2053121</v>
      </c>
    </row>
    <row r="176" spans="1:21">
      <c r="A176" s="89">
        <v>35106</v>
      </c>
      <c r="B176" s="90" t="s">
        <v>161</v>
      </c>
      <c r="C176" s="97">
        <v>2.9930000000000001E-4</v>
      </c>
      <c r="D176" s="97">
        <v>2.6420000000000003E-4</v>
      </c>
      <c r="E176" s="92">
        <v>313261.80000000005</v>
      </c>
      <c r="F176" s="92">
        <v>973629</v>
      </c>
      <c r="G176" s="92">
        <v>2750876</v>
      </c>
      <c r="H176" s="92"/>
      <c r="I176" s="93">
        <v>0</v>
      </c>
      <c r="J176" s="93">
        <v>1573841</v>
      </c>
      <c r="K176" s="93">
        <v>405687</v>
      </c>
      <c r="L176" s="92">
        <v>223940</v>
      </c>
      <c r="M176" s="92"/>
      <c r="N176" s="93">
        <v>130010</v>
      </c>
      <c r="O176" s="93">
        <v>592791</v>
      </c>
      <c r="P176" s="93">
        <v>0</v>
      </c>
      <c r="Q176" s="92">
        <v>0</v>
      </c>
      <c r="R176" s="92"/>
      <c r="S176" s="93">
        <v>527029</v>
      </c>
      <c r="T176" s="94">
        <v>90741</v>
      </c>
      <c r="U176" s="94">
        <v>617770</v>
      </c>
    </row>
    <row r="177" spans="1:21">
      <c r="A177" s="89">
        <v>35200</v>
      </c>
      <c r="B177" s="90" t="s">
        <v>162</v>
      </c>
      <c r="C177" s="97">
        <v>5.8060000000000002E-4</v>
      </c>
      <c r="D177" s="97">
        <v>5.6170000000000005E-4</v>
      </c>
      <c r="E177" s="92">
        <v>777969.94</v>
      </c>
      <c r="F177" s="92">
        <v>2069976</v>
      </c>
      <c r="G177" s="92">
        <v>5336314</v>
      </c>
      <c r="H177" s="92"/>
      <c r="I177" s="93">
        <v>0</v>
      </c>
      <c r="J177" s="93">
        <v>3053031</v>
      </c>
      <c r="K177" s="93">
        <v>786977</v>
      </c>
      <c r="L177" s="92">
        <v>201070</v>
      </c>
      <c r="M177" s="92"/>
      <c r="N177" s="93">
        <v>252202</v>
      </c>
      <c r="O177" s="93">
        <v>1149931</v>
      </c>
      <c r="P177" s="93">
        <v>0</v>
      </c>
      <c r="Q177" s="92">
        <v>0</v>
      </c>
      <c r="R177" s="92"/>
      <c r="S177" s="93">
        <v>1022362</v>
      </c>
      <c r="T177" s="94">
        <v>77930</v>
      </c>
      <c r="U177" s="94">
        <v>1100292</v>
      </c>
    </row>
    <row r="178" spans="1:21">
      <c r="A178" s="89">
        <v>35300</v>
      </c>
      <c r="B178" s="90" t="s">
        <v>163</v>
      </c>
      <c r="C178" s="97">
        <v>3.8329000000000002E-3</v>
      </c>
      <c r="D178" s="97">
        <v>3.6911000000000001E-3</v>
      </c>
      <c r="E178" s="92">
        <v>4617867.83</v>
      </c>
      <c r="F178" s="92">
        <v>13602434</v>
      </c>
      <c r="G178" s="92">
        <v>35228310</v>
      </c>
      <c r="H178" s="92"/>
      <c r="I178" s="93">
        <v>0</v>
      </c>
      <c r="J178" s="93">
        <v>20154948</v>
      </c>
      <c r="K178" s="93">
        <v>5195320</v>
      </c>
      <c r="L178" s="92">
        <v>499060</v>
      </c>
      <c r="M178" s="92"/>
      <c r="N178" s="93">
        <v>1664939</v>
      </c>
      <c r="O178" s="93">
        <v>7591403</v>
      </c>
      <c r="P178" s="93">
        <v>0</v>
      </c>
      <c r="Q178" s="92">
        <v>246296</v>
      </c>
      <c r="R178" s="92"/>
      <c r="S178" s="93">
        <v>6749246</v>
      </c>
      <c r="T178" s="94">
        <v>25060</v>
      </c>
      <c r="U178" s="94">
        <v>6774306</v>
      </c>
    </row>
    <row r="179" spans="1:21">
      <c r="A179" s="89">
        <v>35305</v>
      </c>
      <c r="B179" s="90" t="s">
        <v>164</v>
      </c>
      <c r="C179" s="97">
        <v>1.42E-3</v>
      </c>
      <c r="D179" s="97">
        <v>1.3343999999999999E-3</v>
      </c>
      <c r="E179" s="92">
        <v>1830820.2000000002</v>
      </c>
      <c r="F179" s="92">
        <v>4917528</v>
      </c>
      <c r="G179" s="92">
        <v>13051267</v>
      </c>
      <c r="H179" s="92"/>
      <c r="I179" s="93">
        <v>0</v>
      </c>
      <c r="J179" s="93">
        <v>7466938</v>
      </c>
      <c r="K179" s="93">
        <v>1924745</v>
      </c>
      <c r="L179" s="92">
        <v>729730</v>
      </c>
      <c r="M179" s="92"/>
      <c r="N179" s="93">
        <v>616821.02</v>
      </c>
      <c r="O179" s="93">
        <v>2812438</v>
      </c>
      <c r="P179" s="93">
        <v>0</v>
      </c>
      <c r="Q179" s="92">
        <v>0</v>
      </c>
      <c r="R179" s="92"/>
      <c r="S179" s="93">
        <v>2500438</v>
      </c>
      <c r="T179" s="94">
        <v>261668</v>
      </c>
      <c r="U179" s="94">
        <v>2762106</v>
      </c>
    </row>
    <row r="180" spans="1:21">
      <c r="A180" s="89">
        <v>35400</v>
      </c>
      <c r="B180" s="90" t="s">
        <v>165</v>
      </c>
      <c r="C180" s="97">
        <v>3.0752000000000002E-3</v>
      </c>
      <c r="D180" s="97">
        <v>3.1616999999999999E-3</v>
      </c>
      <c r="E180" s="92">
        <v>3945927.1199999996</v>
      </c>
      <c r="F180" s="92">
        <v>11651491</v>
      </c>
      <c r="G180" s="92">
        <v>28264265</v>
      </c>
      <c r="H180" s="92"/>
      <c r="I180" s="93">
        <v>0</v>
      </c>
      <c r="J180" s="93">
        <v>16170653</v>
      </c>
      <c r="K180" s="93">
        <v>4168292</v>
      </c>
      <c r="L180" s="92">
        <v>28955</v>
      </c>
      <c r="M180" s="92"/>
      <c r="N180" s="93">
        <v>1335808</v>
      </c>
      <c r="O180" s="93">
        <v>6090710</v>
      </c>
      <c r="P180" s="93">
        <v>0</v>
      </c>
      <c r="Q180" s="92">
        <v>315819</v>
      </c>
      <c r="R180" s="92"/>
      <c r="S180" s="93">
        <v>5415034</v>
      </c>
      <c r="T180" s="94">
        <v>-90068</v>
      </c>
      <c r="U180" s="94">
        <v>5324966</v>
      </c>
    </row>
    <row r="181" spans="1:21">
      <c r="A181" s="89">
        <v>35401</v>
      </c>
      <c r="B181" s="90" t="s">
        <v>166</v>
      </c>
      <c r="C181" s="97">
        <v>2.7900000000000001E-5</v>
      </c>
      <c r="D181" s="97">
        <v>3.29E-5</v>
      </c>
      <c r="E181" s="92">
        <v>37047.659999999996</v>
      </c>
      <c r="F181" s="92">
        <v>121243</v>
      </c>
      <c r="G181" s="92">
        <v>256430</v>
      </c>
      <c r="H181" s="92"/>
      <c r="I181" s="93">
        <v>0</v>
      </c>
      <c r="J181" s="93">
        <v>146710</v>
      </c>
      <c r="K181" s="93">
        <v>37817</v>
      </c>
      <c r="L181" s="92">
        <v>27208</v>
      </c>
      <c r="M181" s="92"/>
      <c r="N181" s="93">
        <v>12119</v>
      </c>
      <c r="O181" s="93">
        <v>55258</v>
      </c>
      <c r="P181" s="93">
        <v>0</v>
      </c>
      <c r="Q181" s="92">
        <v>35444</v>
      </c>
      <c r="R181" s="92"/>
      <c r="S181" s="93">
        <v>49128</v>
      </c>
      <c r="T181" s="94">
        <v>-4942</v>
      </c>
      <c r="U181" s="94">
        <v>44186</v>
      </c>
    </row>
    <row r="182" spans="1:21">
      <c r="A182" s="89">
        <v>35402</v>
      </c>
      <c r="B182" s="90" t="s">
        <v>167</v>
      </c>
      <c r="C182" s="97">
        <v>0</v>
      </c>
      <c r="D182" s="97">
        <v>0</v>
      </c>
      <c r="E182" s="92">
        <v>0</v>
      </c>
      <c r="F182" s="92">
        <v>0</v>
      </c>
      <c r="G182" s="92">
        <v>0</v>
      </c>
      <c r="H182" s="92"/>
      <c r="I182" s="93">
        <v>0</v>
      </c>
      <c r="J182" s="93">
        <v>0</v>
      </c>
      <c r="K182" s="93">
        <v>0</v>
      </c>
      <c r="L182" s="92">
        <v>0</v>
      </c>
      <c r="M182" s="92"/>
      <c r="N182" s="93">
        <v>0</v>
      </c>
      <c r="O182" s="93">
        <v>0</v>
      </c>
      <c r="P182" s="93">
        <v>0</v>
      </c>
      <c r="Q182" s="92">
        <v>224602</v>
      </c>
      <c r="R182" s="92"/>
      <c r="S182" s="93">
        <v>0</v>
      </c>
      <c r="T182" s="94">
        <v>-125476</v>
      </c>
      <c r="U182" s="94">
        <v>-125476</v>
      </c>
    </row>
    <row r="183" spans="1:21">
      <c r="A183" s="89">
        <v>35405</v>
      </c>
      <c r="B183" s="90" t="s">
        <v>168</v>
      </c>
      <c r="C183" s="97">
        <v>1.0782999999999999E-3</v>
      </c>
      <c r="D183" s="97">
        <v>1.0586E-3</v>
      </c>
      <c r="E183" s="92">
        <v>1332448.4099999999</v>
      </c>
      <c r="F183" s="92">
        <v>3901151</v>
      </c>
      <c r="G183" s="92">
        <v>9910691</v>
      </c>
      <c r="H183" s="92"/>
      <c r="I183" s="93">
        <v>0</v>
      </c>
      <c r="J183" s="93">
        <v>5670140</v>
      </c>
      <c r="K183" s="93">
        <v>1461586</v>
      </c>
      <c r="L183" s="92">
        <v>60701</v>
      </c>
      <c r="M183" s="92"/>
      <c r="N183" s="93">
        <v>468393</v>
      </c>
      <c r="O183" s="93">
        <v>2135670</v>
      </c>
      <c r="P183" s="93">
        <v>0</v>
      </c>
      <c r="Q183" s="92">
        <v>84207</v>
      </c>
      <c r="R183" s="92"/>
      <c r="S183" s="93">
        <v>1898748</v>
      </c>
      <c r="T183" s="94">
        <v>-8792</v>
      </c>
      <c r="U183" s="94">
        <v>1889956</v>
      </c>
    </row>
    <row r="184" spans="1:21">
      <c r="A184" s="89">
        <v>35500</v>
      </c>
      <c r="B184" s="90" t="s">
        <v>169</v>
      </c>
      <c r="C184" s="97">
        <v>4.3315999999999997E-3</v>
      </c>
      <c r="D184" s="97">
        <v>4.3539E-3</v>
      </c>
      <c r="E184" s="92">
        <v>5186816.7299999995</v>
      </c>
      <c r="F184" s="92">
        <v>16044984</v>
      </c>
      <c r="G184" s="92">
        <v>39811879</v>
      </c>
      <c r="H184" s="92"/>
      <c r="I184" s="93">
        <v>0</v>
      </c>
      <c r="J184" s="93">
        <v>22777316</v>
      </c>
      <c r="K184" s="93">
        <v>5871285</v>
      </c>
      <c r="L184" s="92">
        <v>241768</v>
      </c>
      <c r="M184" s="92"/>
      <c r="N184" s="93">
        <v>1881565</v>
      </c>
      <c r="O184" s="93">
        <v>8579124</v>
      </c>
      <c r="P184" s="93">
        <v>0</v>
      </c>
      <c r="Q184" s="92">
        <v>554445</v>
      </c>
      <c r="R184" s="92"/>
      <c r="S184" s="93">
        <v>7627393</v>
      </c>
      <c r="T184" s="94">
        <v>-127378</v>
      </c>
      <c r="U184" s="94">
        <v>7500015</v>
      </c>
    </row>
    <row r="185" spans="1:21">
      <c r="A185" s="89">
        <v>35600</v>
      </c>
      <c r="B185" s="90" t="s">
        <v>170</v>
      </c>
      <c r="C185" s="97">
        <v>1.7164999999999999E-3</v>
      </c>
      <c r="D185" s="97">
        <v>1.6930999999999999E-3</v>
      </c>
      <c r="E185" s="92">
        <v>2130102.0100000002</v>
      </c>
      <c r="F185" s="92">
        <v>6239409</v>
      </c>
      <c r="G185" s="92">
        <v>15776408</v>
      </c>
      <c r="H185" s="92"/>
      <c r="I185" s="93">
        <v>0</v>
      </c>
      <c r="J185" s="93">
        <v>9026056</v>
      </c>
      <c r="K185" s="93">
        <v>2326637</v>
      </c>
      <c r="L185" s="92">
        <v>40234</v>
      </c>
      <c r="M185" s="92"/>
      <c r="N185" s="93">
        <v>745615</v>
      </c>
      <c r="O185" s="93">
        <v>3399683</v>
      </c>
      <c r="P185" s="93">
        <v>0</v>
      </c>
      <c r="Q185" s="92">
        <v>175152</v>
      </c>
      <c r="R185" s="92"/>
      <c r="S185" s="93">
        <v>3022537</v>
      </c>
      <c r="T185" s="94">
        <v>-76896</v>
      </c>
      <c r="U185" s="94">
        <v>2945641</v>
      </c>
    </row>
    <row r="186" spans="1:21">
      <c r="A186" s="89">
        <v>35700</v>
      </c>
      <c r="B186" s="90" t="s">
        <v>171</v>
      </c>
      <c r="C186" s="97">
        <v>9.657E-4</v>
      </c>
      <c r="D186" s="97">
        <v>1.0131000000000001E-3</v>
      </c>
      <c r="E186" s="92">
        <v>1208896.53</v>
      </c>
      <c r="F186" s="92">
        <v>3733474</v>
      </c>
      <c r="G186" s="92">
        <v>8875781</v>
      </c>
      <c r="H186" s="92"/>
      <c r="I186" s="93">
        <v>0</v>
      </c>
      <c r="J186" s="93">
        <v>5078044</v>
      </c>
      <c r="K186" s="93">
        <v>1308962</v>
      </c>
      <c r="L186" s="92">
        <v>32785</v>
      </c>
      <c r="M186" s="92"/>
      <c r="N186" s="93">
        <v>419482</v>
      </c>
      <c r="O186" s="93">
        <v>1912656</v>
      </c>
      <c r="P186" s="93">
        <v>0</v>
      </c>
      <c r="Q186" s="92">
        <v>239627</v>
      </c>
      <c r="R186" s="92"/>
      <c r="S186" s="93">
        <v>1700474</v>
      </c>
      <c r="T186" s="94">
        <v>-71998</v>
      </c>
      <c r="U186" s="94">
        <v>1628476</v>
      </c>
    </row>
    <row r="187" spans="1:21">
      <c r="A187" s="89">
        <v>35800</v>
      </c>
      <c r="B187" s="90" t="s">
        <v>172</v>
      </c>
      <c r="C187" s="97">
        <v>1.3967999999999999E-3</v>
      </c>
      <c r="D187" s="97">
        <v>1.4509E-3</v>
      </c>
      <c r="E187" s="92">
        <v>1848729.0199999998</v>
      </c>
      <c r="F187" s="92">
        <v>5346854</v>
      </c>
      <c r="G187" s="92">
        <v>12838035</v>
      </c>
      <c r="H187" s="92"/>
      <c r="I187" s="93">
        <v>0</v>
      </c>
      <c r="J187" s="93">
        <v>7344943</v>
      </c>
      <c r="K187" s="93">
        <v>1893298</v>
      </c>
      <c r="L187" s="92">
        <v>0</v>
      </c>
      <c r="M187" s="92"/>
      <c r="N187" s="93">
        <v>606743</v>
      </c>
      <c r="O187" s="93">
        <v>2766488</v>
      </c>
      <c r="P187" s="93">
        <v>0</v>
      </c>
      <c r="Q187" s="92">
        <v>215379</v>
      </c>
      <c r="R187" s="92"/>
      <c r="S187" s="93">
        <v>2459586</v>
      </c>
      <c r="T187" s="94">
        <v>-78921</v>
      </c>
      <c r="U187" s="94">
        <v>2380665</v>
      </c>
    </row>
    <row r="188" spans="1:21">
      <c r="A188" s="89">
        <v>35805</v>
      </c>
      <c r="B188" s="90" t="s">
        <v>173</v>
      </c>
      <c r="C188" s="97">
        <v>2.2379999999999999E-4</v>
      </c>
      <c r="D188" s="97">
        <v>1.796E-4</v>
      </c>
      <c r="E188" s="92">
        <v>343335.76999999996</v>
      </c>
      <c r="F188" s="92">
        <v>661862</v>
      </c>
      <c r="G188" s="92">
        <v>2056953</v>
      </c>
      <c r="H188" s="92"/>
      <c r="I188" s="93">
        <v>0</v>
      </c>
      <c r="J188" s="93">
        <v>1176831</v>
      </c>
      <c r="K188" s="93">
        <v>303351</v>
      </c>
      <c r="L188" s="92">
        <v>200284</v>
      </c>
      <c r="M188" s="92"/>
      <c r="N188" s="93">
        <v>97214</v>
      </c>
      <c r="O188" s="93">
        <v>443256</v>
      </c>
      <c r="P188" s="93">
        <v>0</v>
      </c>
      <c r="Q188" s="92">
        <v>47415</v>
      </c>
      <c r="R188" s="92"/>
      <c r="S188" s="93">
        <v>394083</v>
      </c>
      <c r="T188" s="94">
        <v>37139</v>
      </c>
      <c r="U188" s="94">
        <v>431222</v>
      </c>
    </row>
    <row r="189" spans="1:21">
      <c r="A189" s="89">
        <v>35900</v>
      </c>
      <c r="B189" s="90" t="s">
        <v>174</v>
      </c>
      <c r="C189" s="97">
        <v>2.5728999999999999E-3</v>
      </c>
      <c r="D189" s="97">
        <v>2.5831999999999999E-3</v>
      </c>
      <c r="E189" s="92">
        <v>3099844.2800000003</v>
      </c>
      <c r="F189" s="92">
        <v>9519603</v>
      </c>
      <c r="G189" s="92">
        <v>23647609</v>
      </c>
      <c r="H189" s="92"/>
      <c r="I189" s="93">
        <v>0</v>
      </c>
      <c r="J189" s="93">
        <v>13529355</v>
      </c>
      <c r="K189" s="93">
        <v>3487448</v>
      </c>
      <c r="L189" s="92">
        <v>0</v>
      </c>
      <c r="M189" s="92"/>
      <c r="N189" s="93">
        <v>1117619</v>
      </c>
      <c r="O189" s="93">
        <v>5095860</v>
      </c>
      <c r="P189" s="93">
        <v>0</v>
      </c>
      <c r="Q189" s="92">
        <v>476209</v>
      </c>
      <c r="R189" s="92"/>
      <c r="S189" s="93">
        <v>4530548</v>
      </c>
      <c r="T189" s="94">
        <v>-211700</v>
      </c>
      <c r="U189" s="94">
        <v>4318848</v>
      </c>
    </row>
    <row r="190" spans="1:21">
      <c r="A190" s="89">
        <v>35905</v>
      </c>
      <c r="B190" s="90" t="s">
        <v>175</v>
      </c>
      <c r="C190" s="97">
        <v>3.5429999999999999E-4</v>
      </c>
      <c r="D190" s="97">
        <v>3.6640000000000002E-4</v>
      </c>
      <c r="E190" s="92">
        <v>533486.52</v>
      </c>
      <c r="F190" s="92">
        <v>1350257</v>
      </c>
      <c r="G190" s="92">
        <v>3256383</v>
      </c>
      <c r="H190" s="92"/>
      <c r="I190" s="93">
        <v>0</v>
      </c>
      <c r="J190" s="93">
        <v>1863054</v>
      </c>
      <c r="K190" s="93">
        <v>480237</v>
      </c>
      <c r="L190" s="92">
        <v>38923</v>
      </c>
      <c r="M190" s="92"/>
      <c r="N190" s="93">
        <v>153901</v>
      </c>
      <c r="O190" s="93">
        <v>701723</v>
      </c>
      <c r="P190" s="93">
        <v>0</v>
      </c>
      <c r="Q190" s="92">
        <v>0</v>
      </c>
      <c r="R190" s="92"/>
      <c r="S190" s="93">
        <v>623877</v>
      </c>
      <c r="T190" s="94">
        <v>14440</v>
      </c>
      <c r="U190" s="94">
        <v>638317</v>
      </c>
    </row>
    <row r="191" spans="1:21">
      <c r="A191" s="89">
        <v>36000</v>
      </c>
      <c r="B191" s="90" t="s">
        <v>176</v>
      </c>
      <c r="C191" s="97">
        <v>5.8661999999999999E-2</v>
      </c>
      <c r="D191" s="97">
        <v>5.6787200000000003E-2</v>
      </c>
      <c r="E191" s="92">
        <v>67840944.230000004</v>
      </c>
      <c r="F191" s="92">
        <v>209272076</v>
      </c>
      <c r="G191" s="92">
        <v>539164378</v>
      </c>
      <c r="H191" s="92"/>
      <c r="I191" s="93">
        <v>0</v>
      </c>
      <c r="J191" s="93">
        <v>308468671</v>
      </c>
      <c r="K191" s="93">
        <v>79513643</v>
      </c>
      <c r="L191" s="92">
        <v>1286089</v>
      </c>
      <c r="M191" s="92"/>
      <c r="N191" s="93">
        <v>25481658</v>
      </c>
      <c r="O191" s="93">
        <v>116185371</v>
      </c>
      <c r="P191" s="93">
        <v>0</v>
      </c>
      <c r="Q191" s="92">
        <v>5513637</v>
      </c>
      <c r="R191" s="92"/>
      <c r="S191" s="93">
        <v>103296273</v>
      </c>
      <c r="T191" s="94">
        <v>-2030294</v>
      </c>
      <c r="U191" s="94">
        <v>101265980</v>
      </c>
    </row>
    <row r="192" spans="1:21">
      <c r="A192" s="89">
        <v>36001</v>
      </c>
      <c r="B192" s="90" t="s">
        <v>177</v>
      </c>
      <c r="C192" s="97">
        <v>3.2799999999999998E-5</v>
      </c>
      <c r="D192" s="97">
        <v>3.4600000000000001E-5</v>
      </c>
      <c r="E192" s="92">
        <v>33855.699999999997</v>
      </c>
      <c r="F192" s="92">
        <v>127508</v>
      </c>
      <c r="G192" s="92">
        <v>301466</v>
      </c>
      <c r="H192" s="92"/>
      <c r="I192" s="93">
        <v>0</v>
      </c>
      <c r="J192" s="93">
        <v>172476</v>
      </c>
      <c r="K192" s="93">
        <v>44459</v>
      </c>
      <c r="L192" s="92">
        <v>0</v>
      </c>
      <c r="M192" s="92"/>
      <c r="N192" s="93">
        <v>14248</v>
      </c>
      <c r="O192" s="93">
        <v>64963</v>
      </c>
      <c r="P192" s="93">
        <v>0</v>
      </c>
      <c r="Q192" s="92">
        <v>89847</v>
      </c>
      <c r="R192" s="92"/>
      <c r="S192" s="93">
        <v>57757</v>
      </c>
      <c r="T192" s="94">
        <v>-36872</v>
      </c>
      <c r="U192" s="94">
        <v>20885</v>
      </c>
    </row>
    <row r="193" spans="1:21">
      <c r="A193" s="89">
        <v>36002</v>
      </c>
      <c r="B193" s="90" t="s">
        <v>178</v>
      </c>
      <c r="C193" s="97">
        <v>1.4239999999999999E-4</v>
      </c>
      <c r="D193" s="97">
        <v>2.019E-4</v>
      </c>
      <c r="E193" s="92"/>
      <c r="F193" s="92">
        <v>744041</v>
      </c>
      <c r="G193" s="92">
        <v>1308803</v>
      </c>
      <c r="H193" s="92"/>
      <c r="I193" s="93">
        <v>0</v>
      </c>
      <c r="J193" s="93">
        <v>748797</v>
      </c>
      <c r="K193" s="93">
        <v>193017</v>
      </c>
      <c r="L193" s="92">
        <v>61294</v>
      </c>
      <c r="M193" s="92"/>
      <c r="N193" s="93">
        <v>61856</v>
      </c>
      <c r="O193" s="93">
        <v>282036</v>
      </c>
      <c r="P193" s="93">
        <v>0</v>
      </c>
      <c r="Q193" s="92">
        <v>381636</v>
      </c>
      <c r="R193" s="92"/>
      <c r="S193" s="93">
        <v>250748</v>
      </c>
      <c r="T193" s="94">
        <v>-78253</v>
      </c>
      <c r="U193" s="94">
        <v>172495</v>
      </c>
    </row>
    <row r="194" spans="1:21">
      <c r="A194" s="89">
        <v>36003</v>
      </c>
      <c r="B194" s="90" t="s">
        <v>179</v>
      </c>
      <c r="C194" s="97">
        <v>4.481E-4</v>
      </c>
      <c r="D194" s="97">
        <v>4.4470000000000002E-4</v>
      </c>
      <c r="E194" s="92">
        <v>456416.97</v>
      </c>
      <c r="F194" s="92">
        <v>1638808</v>
      </c>
      <c r="G194" s="92">
        <v>4118502</v>
      </c>
      <c r="H194" s="92"/>
      <c r="I194" s="93">
        <v>0</v>
      </c>
      <c r="J194" s="93">
        <v>2356292</v>
      </c>
      <c r="K194" s="93">
        <v>607379</v>
      </c>
      <c r="L194" s="92">
        <v>7097</v>
      </c>
      <c r="M194" s="92"/>
      <c r="N194" s="93">
        <v>194646</v>
      </c>
      <c r="O194" s="93">
        <v>887502</v>
      </c>
      <c r="P194" s="93">
        <v>0</v>
      </c>
      <c r="Q194" s="92">
        <v>113433</v>
      </c>
      <c r="R194" s="92"/>
      <c r="S194" s="93">
        <v>789047</v>
      </c>
      <c r="T194" s="94">
        <v>-32111</v>
      </c>
      <c r="U194" s="94">
        <v>756935</v>
      </c>
    </row>
    <row r="195" spans="1:21">
      <c r="A195" s="89">
        <v>36004</v>
      </c>
      <c r="B195" s="90" t="s">
        <v>291</v>
      </c>
      <c r="C195" s="97">
        <v>2.1230000000000001E-4</v>
      </c>
      <c r="D195" s="97">
        <v>1.662E-4</v>
      </c>
      <c r="E195" s="92">
        <v>213964.6</v>
      </c>
      <c r="F195" s="92">
        <v>612480</v>
      </c>
      <c r="G195" s="92">
        <v>1951256</v>
      </c>
      <c r="H195" s="92"/>
      <c r="I195" s="93">
        <v>0</v>
      </c>
      <c r="J195" s="93">
        <v>1116360</v>
      </c>
      <c r="K195" s="93">
        <v>287763</v>
      </c>
      <c r="L195" s="92">
        <v>540573</v>
      </c>
      <c r="M195" s="92"/>
      <c r="N195" s="93">
        <v>92219</v>
      </c>
      <c r="O195" s="93">
        <v>420479</v>
      </c>
      <c r="P195" s="93">
        <v>0</v>
      </c>
      <c r="Q195" s="92">
        <v>0</v>
      </c>
      <c r="R195" s="92"/>
      <c r="S195" s="93">
        <v>373833</v>
      </c>
      <c r="T195" s="94">
        <v>230231</v>
      </c>
      <c r="U195" s="94">
        <v>604065</v>
      </c>
    </row>
    <row r="196" spans="1:21">
      <c r="A196" s="89">
        <v>36005</v>
      </c>
      <c r="B196" s="90" t="s">
        <v>180</v>
      </c>
      <c r="C196" s="97">
        <v>5.0835000000000003E-3</v>
      </c>
      <c r="D196" s="97">
        <v>4.8573000000000002E-3</v>
      </c>
      <c r="E196" s="92">
        <v>6530099.3099999987</v>
      </c>
      <c r="F196" s="92">
        <v>17900112</v>
      </c>
      <c r="G196" s="92">
        <v>46722616</v>
      </c>
      <c r="H196" s="92"/>
      <c r="I196" s="93">
        <v>0</v>
      </c>
      <c r="J196" s="93">
        <v>26731112</v>
      </c>
      <c r="K196" s="93">
        <v>6890450</v>
      </c>
      <c r="L196" s="92">
        <v>2208480</v>
      </c>
      <c r="M196" s="92"/>
      <c r="N196" s="93">
        <v>2208176</v>
      </c>
      <c r="O196" s="93">
        <v>10068329</v>
      </c>
      <c r="P196" s="93">
        <v>0</v>
      </c>
      <c r="Q196" s="92">
        <v>0</v>
      </c>
      <c r="R196" s="92"/>
      <c r="S196" s="93">
        <v>8951393</v>
      </c>
      <c r="T196" s="94">
        <v>866971</v>
      </c>
      <c r="U196" s="94">
        <v>9818364</v>
      </c>
    </row>
    <row r="197" spans="1:21">
      <c r="A197" s="89">
        <v>36006</v>
      </c>
      <c r="B197" s="90" t="s">
        <v>181</v>
      </c>
      <c r="C197" s="97">
        <v>5.3390000000000002E-4</v>
      </c>
      <c r="D197" s="97">
        <v>5.419E-4</v>
      </c>
      <c r="E197" s="92">
        <v>574383.54</v>
      </c>
      <c r="F197" s="92">
        <v>1997009</v>
      </c>
      <c r="G197" s="92">
        <v>4907093</v>
      </c>
      <c r="H197" s="92"/>
      <c r="I197" s="93">
        <v>0</v>
      </c>
      <c r="J197" s="93">
        <v>2807463</v>
      </c>
      <c r="K197" s="93">
        <v>723677</v>
      </c>
      <c r="L197" s="92">
        <v>29904</v>
      </c>
      <c r="M197" s="92"/>
      <c r="N197" s="93">
        <v>231916</v>
      </c>
      <c r="O197" s="93">
        <v>1057437</v>
      </c>
      <c r="P197" s="93">
        <v>0</v>
      </c>
      <c r="Q197" s="92">
        <v>162253</v>
      </c>
      <c r="R197" s="92"/>
      <c r="S197" s="93">
        <v>940130</v>
      </c>
      <c r="T197" s="94">
        <v>-34882</v>
      </c>
      <c r="U197" s="94">
        <v>905248</v>
      </c>
    </row>
    <row r="198" spans="1:21">
      <c r="A198" s="89">
        <v>36007</v>
      </c>
      <c r="B198" s="90" t="s">
        <v>182</v>
      </c>
      <c r="C198" s="97">
        <v>1.7589999999999999E-4</v>
      </c>
      <c r="D198" s="97">
        <v>1.8760000000000001E-4</v>
      </c>
      <c r="E198" s="92">
        <v>203084.61</v>
      </c>
      <c r="F198" s="92">
        <v>691343</v>
      </c>
      <c r="G198" s="92">
        <v>1616703</v>
      </c>
      <c r="H198" s="92"/>
      <c r="I198" s="93">
        <v>0</v>
      </c>
      <c r="J198" s="93">
        <v>924954</v>
      </c>
      <c r="K198" s="93">
        <v>238424</v>
      </c>
      <c r="L198" s="92">
        <v>19155</v>
      </c>
      <c r="M198" s="92"/>
      <c r="N198" s="93">
        <v>76408</v>
      </c>
      <c r="O198" s="93">
        <v>348386</v>
      </c>
      <c r="P198" s="93">
        <v>0</v>
      </c>
      <c r="Q198" s="92">
        <v>62572</v>
      </c>
      <c r="R198" s="92"/>
      <c r="S198" s="93">
        <v>309737</v>
      </c>
      <c r="T198" s="94">
        <v>-7762</v>
      </c>
      <c r="U198" s="94">
        <v>301975</v>
      </c>
    </row>
    <row r="199" spans="1:21">
      <c r="A199" s="89">
        <v>36008</v>
      </c>
      <c r="B199" s="90" t="s">
        <v>183</v>
      </c>
      <c r="C199" s="97">
        <v>5.4390000000000005E-4</v>
      </c>
      <c r="D199" s="97">
        <v>5.4699999999999996E-4</v>
      </c>
      <c r="E199" s="92">
        <v>549609.32999999996</v>
      </c>
      <c r="F199" s="92">
        <v>2015803</v>
      </c>
      <c r="G199" s="92">
        <v>4999003</v>
      </c>
      <c r="H199" s="92"/>
      <c r="I199" s="93">
        <v>0</v>
      </c>
      <c r="J199" s="93">
        <v>2860048</v>
      </c>
      <c r="K199" s="93">
        <v>737231</v>
      </c>
      <c r="L199" s="92">
        <v>30712</v>
      </c>
      <c r="M199" s="92"/>
      <c r="N199" s="93">
        <v>236260</v>
      </c>
      <c r="O199" s="93">
        <v>1077243</v>
      </c>
      <c r="P199" s="93">
        <v>0</v>
      </c>
      <c r="Q199" s="92">
        <v>121488</v>
      </c>
      <c r="R199" s="92"/>
      <c r="S199" s="93">
        <v>957738</v>
      </c>
      <c r="T199" s="94">
        <v>-17949</v>
      </c>
      <c r="U199" s="94">
        <v>939790</v>
      </c>
    </row>
    <row r="200" spans="1:21">
      <c r="A200" s="89">
        <v>36009</v>
      </c>
      <c r="B200" s="90" t="s">
        <v>184</v>
      </c>
      <c r="C200" s="97">
        <v>1.7899999999999999E-4</v>
      </c>
      <c r="D200" s="97">
        <v>1.551E-4</v>
      </c>
      <c r="E200" s="92">
        <v>178529.76</v>
      </c>
      <c r="F200" s="92">
        <v>571574</v>
      </c>
      <c r="G200" s="92">
        <v>1645195</v>
      </c>
      <c r="H200" s="92"/>
      <c r="I200" s="93">
        <v>0</v>
      </c>
      <c r="J200" s="93">
        <v>941255</v>
      </c>
      <c r="K200" s="93">
        <v>242626</v>
      </c>
      <c r="L200" s="92">
        <v>220522</v>
      </c>
      <c r="M200" s="92"/>
      <c r="N200" s="93">
        <v>77754</v>
      </c>
      <c r="O200" s="93">
        <v>354525.61</v>
      </c>
      <c r="P200" s="93">
        <v>0</v>
      </c>
      <c r="Q200" s="92">
        <v>0</v>
      </c>
      <c r="R200" s="92"/>
      <c r="S200" s="93">
        <v>315196</v>
      </c>
      <c r="T200" s="94">
        <v>86689</v>
      </c>
      <c r="U200" s="94">
        <v>401885</v>
      </c>
    </row>
    <row r="201" spans="1:21">
      <c r="A201" s="89">
        <v>36100</v>
      </c>
      <c r="B201" s="90" t="s">
        <v>185</v>
      </c>
      <c r="C201" s="97">
        <v>7.7249999999999997E-4</v>
      </c>
      <c r="D201" s="97">
        <v>7.8470000000000005E-4</v>
      </c>
      <c r="E201" s="92">
        <v>1025991.67</v>
      </c>
      <c r="F201" s="92">
        <v>2891775</v>
      </c>
      <c r="G201" s="92">
        <v>7100073</v>
      </c>
      <c r="H201" s="92"/>
      <c r="I201" s="93">
        <v>0</v>
      </c>
      <c r="J201" s="93">
        <v>4062119</v>
      </c>
      <c r="K201" s="93">
        <v>1047088</v>
      </c>
      <c r="L201" s="92">
        <v>8863</v>
      </c>
      <c r="M201" s="92"/>
      <c r="N201" s="93">
        <v>335559</v>
      </c>
      <c r="O201" s="93">
        <v>1530006</v>
      </c>
      <c r="P201" s="93">
        <v>0</v>
      </c>
      <c r="Q201" s="92">
        <v>84839</v>
      </c>
      <c r="R201" s="92"/>
      <c r="S201" s="93">
        <v>1360274</v>
      </c>
      <c r="T201" s="94">
        <v>-41521</v>
      </c>
      <c r="U201" s="94">
        <v>1318753</v>
      </c>
    </row>
    <row r="202" spans="1:21">
      <c r="A202" s="89">
        <v>36102</v>
      </c>
      <c r="B202" s="90" t="s">
        <v>186</v>
      </c>
      <c r="C202" s="97">
        <v>1.615E-4</v>
      </c>
      <c r="D202" s="97">
        <v>1.21E-4</v>
      </c>
      <c r="E202" s="92">
        <v>166733.16</v>
      </c>
      <c r="F202" s="92">
        <v>445909</v>
      </c>
      <c r="G202" s="92">
        <v>1484352</v>
      </c>
      <c r="H202" s="92"/>
      <c r="I202" s="93">
        <v>0</v>
      </c>
      <c r="J202" s="93">
        <v>849233</v>
      </c>
      <c r="K202" s="93">
        <v>218906</v>
      </c>
      <c r="L202" s="92">
        <v>111668</v>
      </c>
      <c r="M202" s="92"/>
      <c r="N202" s="93">
        <v>70153</v>
      </c>
      <c r="O202" s="93">
        <v>319865</v>
      </c>
      <c r="P202" s="93">
        <v>0</v>
      </c>
      <c r="Q202" s="92">
        <v>164069</v>
      </c>
      <c r="R202" s="92"/>
      <c r="S202" s="93">
        <v>284381</v>
      </c>
      <c r="T202" s="94">
        <v>-33704</v>
      </c>
      <c r="U202" s="94">
        <v>250677</v>
      </c>
    </row>
    <row r="203" spans="1:21">
      <c r="A203" s="89">
        <v>36105</v>
      </c>
      <c r="B203" s="90" t="s">
        <v>187</v>
      </c>
      <c r="C203" s="97">
        <v>4.1159999999999998E-4</v>
      </c>
      <c r="D203" s="97">
        <v>4.0910000000000002E-4</v>
      </c>
      <c r="E203" s="92">
        <v>573321.93999999994</v>
      </c>
      <c r="F203" s="92">
        <v>1507615</v>
      </c>
      <c r="G203" s="92">
        <v>3783029</v>
      </c>
      <c r="H203" s="92"/>
      <c r="I203" s="93">
        <v>0</v>
      </c>
      <c r="J203" s="93">
        <v>2164360</v>
      </c>
      <c r="K203" s="93">
        <v>557905</v>
      </c>
      <c r="L203" s="92">
        <v>47372</v>
      </c>
      <c r="M203" s="92"/>
      <c r="N203" s="93">
        <v>178791</v>
      </c>
      <c r="O203" s="93">
        <v>815211</v>
      </c>
      <c r="P203" s="93">
        <v>0</v>
      </c>
      <c r="Q203" s="92">
        <v>27700</v>
      </c>
      <c r="R203" s="92"/>
      <c r="S203" s="93">
        <v>724775</v>
      </c>
      <c r="T203" s="94">
        <v>-1530</v>
      </c>
      <c r="U203" s="94">
        <v>723245</v>
      </c>
    </row>
    <row r="204" spans="1:21">
      <c r="A204" s="89">
        <v>36200</v>
      </c>
      <c r="B204" s="90" t="s">
        <v>188</v>
      </c>
      <c r="C204" s="97">
        <v>1.632E-3</v>
      </c>
      <c r="D204" s="97">
        <v>1.5869E-3</v>
      </c>
      <c r="E204" s="92">
        <v>2089501.46</v>
      </c>
      <c r="F204" s="92">
        <v>5848041</v>
      </c>
      <c r="G204" s="92">
        <v>14999766</v>
      </c>
      <c r="H204" s="92"/>
      <c r="I204" s="93">
        <v>0</v>
      </c>
      <c r="J204" s="93">
        <v>8581720</v>
      </c>
      <c r="K204" s="93">
        <v>2212101</v>
      </c>
      <c r="L204" s="92">
        <v>200554</v>
      </c>
      <c r="M204" s="92"/>
      <c r="N204" s="93">
        <v>708910</v>
      </c>
      <c r="O204" s="93">
        <v>3232322.88</v>
      </c>
      <c r="P204" s="93">
        <v>0</v>
      </c>
      <c r="Q204" s="92">
        <v>31572</v>
      </c>
      <c r="R204" s="92"/>
      <c r="S204" s="93">
        <v>2873743</v>
      </c>
      <c r="T204" s="94">
        <v>42954</v>
      </c>
      <c r="U204" s="94">
        <v>2916697</v>
      </c>
    </row>
    <row r="205" spans="1:21">
      <c r="A205" s="89">
        <v>36205</v>
      </c>
      <c r="B205" s="90" t="s">
        <v>189</v>
      </c>
      <c r="C205" s="97">
        <v>2.812E-4</v>
      </c>
      <c r="D205" s="97">
        <v>2.611E-4</v>
      </c>
      <c r="E205" s="92">
        <v>364700.55000000005</v>
      </c>
      <c r="F205" s="92">
        <v>962205</v>
      </c>
      <c r="G205" s="92">
        <v>2584518</v>
      </c>
      <c r="H205" s="92"/>
      <c r="I205" s="93">
        <v>0</v>
      </c>
      <c r="J205" s="93">
        <v>1478664</v>
      </c>
      <c r="K205" s="93">
        <v>381154</v>
      </c>
      <c r="L205" s="92">
        <v>125578</v>
      </c>
      <c r="M205" s="92"/>
      <c r="N205" s="93">
        <v>122148</v>
      </c>
      <c r="O205" s="93">
        <v>556942</v>
      </c>
      <c r="P205" s="93">
        <v>0</v>
      </c>
      <c r="Q205" s="92">
        <v>0</v>
      </c>
      <c r="R205" s="92"/>
      <c r="S205" s="93">
        <v>495157</v>
      </c>
      <c r="T205" s="94">
        <v>44246</v>
      </c>
      <c r="U205" s="94">
        <v>539403</v>
      </c>
    </row>
    <row r="206" spans="1:21">
      <c r="A206" s="89">
        <v>36300</v>
      </c>
      <c r="B206" s="90" t="s">
        <v>190</v>
      </c>
      <c r="C206" s="97">
        <v>5.0688E-3</v>
      </c>
      <c r="D206" s="97">
        <v>4.8706000000000001E-3</v>
      </c>
      <c r="E206" s="92">
        <v>6246829.9500000011</v>
      </c>
      <c r="F206" s="92">
        <v>17949125</v>
      </c>
      <c r="G206" s="92">
        <v>46587508</v>
      </c>
      <c r="H206" s="92"/>
      <c r="I206" s="93">
        <v>0</v>
      </c>
      <c r="J206" s="93">
        <v>26653813</v>
      </c>
      <c r="K206" s="93">
        <v>6870525</v>
      </c>
      <c r="L206" s="92">
        <v>600254</v>
      </c>
      <c r="M206" s="92"/>
      <c r="N206" s="93">
        <v>2201790</v>
      </c>
      <c r="O206" s="93">
        <v>10039215</v>
      </c>
      <c r="P206" s="93">
        <v>0</v>
      </c>
      <c r="Q206" s="92">
        <v>112531</v>
      </c>
      <c r="R206" s="92"/>
      <c r="S206" s="93">
        <v>8925508</v>
      </c>
      <c r="T206" s="94">
        <v>115233</v>
      </c>
      <c r="U206" s="94">
        <v>9040741</v>
      </c>
    </row>
    <row r="207" spans="1:21">
      <c r="A207" s="89">
        <v>36301</v>
      </c>
      <c r="B207" s="90" t="s">
        <v>191</v>
      </c>
      <c r="C207" s="97">
        <v>6.3499999999999999E-5</v>
      </c>
      <c r="D207" s="97">
        <v>5.0699999999999999E-5</v>
      </c>
      <c r="E207" s="92">
        <v>66605.39</v>
      </c>
      <c r="F207" s="92">
        <v>186840</v>
      </c>
      <c r="G207" s="92">
        <v>583631</v>
      </c>
      <c r="H207" s="92"/>
      <c r="I207" s="93">
        <v>0</v>
      </c>
      <c r="J207" s="93">
        <v>333909</v>
      </c>
      <c r="K207" s="93">
        <v>86071</v>
      </c>
      <c r="L207" s="92">
        <v>39647</v>
      </c>
      <c r="M207" s="92"/>
      <c r="N207" s="93">
        <v>27583</v>
      </c>
      <c r="O207" s="93">
        <v>125767</v>
      </c>
      <c r="P207" s="93">
        <v>0</v>
      </c>
      <c r="Q207" s="92">
        <v>0</v>
      </c>
      <c r="R207" s="92"/>
      <c r="S207" s="93">
        <v>111815</v>
      </c>
      <c r="T207" s="94">
        <v>12852</v>
      </c>
      <c r="U207" s="94">
        <v>124668</v>
      </c>
    </row>
    <row r="208" spans="1:21">
      <c r="A208" s="89">
        <v>36302</v>
      </c>
      <c r="B208" s="90" t="s">
        <v>192</v>
      </c>
      <c r="C208" s="97">
        <v>1.2420000000000001E-4</v>
      </c>
      <c r="D208" s="97">
        <v>1.2669999999999999E-4</v>
      </c>
      <c r="E208" s="92">
        <v>132633.07999999999</v>
      </c>
      <c r="F208" s="92">
        <v>466915</v>
      </c>
      <c r="G208" s="92">
        <v>1141526</v>
      </c>
      <c r="H208" s="92"/>
      <c r="I208" s="93">
        <v>0</v>
      </c>
      <c r="J208" s="93">
        <v>653094</v>
      </c>
      <c r="K208" s="93">
        <v>168347</v>
      </c>
      <c r="L208" s="92">
        <v>67426</v>
      </c>
      <c r="M208" s="92"/>
      <c r="N208" s="93">
        <v>53950</v>
      </c>
      <c r="O208" s="93">
        <v>245989</v>
      </c>
      <c r="P208" s="93">
        <v>0</v>
      </c>
      <c r="Q208" s="92">
        <v>28473</v>
      </c>
      <c r="R208" s="92"/>
      <c r="S208" s="93">
        <v>218700</v>
      </c>
      <c r="T208" s="94">
        <v>20897</v>
      </c>
      <c r="U208" s="94">
        <v>239598</v>
      </c>
    </row>
    <row r="209" spans="1:21">
      <c r="A209" s="89">
        <v>36305</v>
      </c>
      <c r="B209" s="90" t="s">
        <v>193</v>
      </c>
      <c r="C209" s="97">
        <v>9.9630000000000009E-4</v>
      </c>
      <c r="D209" s="97">
        <v>9.7300000000000002E-4</v>
      </c>
      <c r="E209" s="92">
        <v>1392474.15</v>
      </c>
      <c r="F209" s="92">
        <v>3585698</v>
      </c>
      <c r="G209" s="92">
        <v>9157026</v>
      </c>
      <c r="H209" s="92"/>
      <c r="I209" s="93">
        <v>0</v>
      </c>
      <c r="J209" s="93">
        <v>5238951</v>
      </c>
      <c r="K209" s="93">
        <v>1350439</v>
      </c>
      <c r="L209" s="92">
        <v>276407</v>
      </c>
      <c r="M209" s="92"/>
      <c r="N209" s="93">
        <v>432774</v>
      </c>
      <c r="O209" s="93">
        <v>1973262</v>
      </c>
      <c r="P209" s="93">
        <v>0</v>
      </c>
      <c r="Q209" s="92">
        <v>58199</v>
      </c>
      <c r="R209" s="92"/>
      <c r="S209" s="93">
        <v>1754357</v>
      </c>
      <c r="T209" s="94">
        <v>56125</v>
      </c>
      <c r="U209" s="94">
        <v>1810481</v>
      </c>
    </row>
    <row r="210" spans="1:21">
      <c r="A210" s="89">
        <v>36400</v>
      </c>
      <c r="B210" s="90" t="s">
        <v>194</v>
      </c>
      <c r="C210" s="97">
        <v>5.4936000000000004E-3</v>
      </c>
      <c r="D210" s="97">
        <v>5.4408E-3</v>
      </c>
      <c r="E210" s="92">
        <v>7057843.2599999998</v>
      </c>
      <c r="F210" s="92">
        <v>20050425</v>
      </c>
      <c r="G210" s="92">
        <v>50491859</v>
      </c>
      <c r="H210" s="92"/>
      <c r="I210" s="93">
        <v>0</v>
      </c>
      <c r="J210" s="93">
        <v>28887585</v>
      </c>
      <c r="K210" s="93">
        <v>7446322</v>
      </c>
      <c r="L210" s="92">
        <v>238394</v>
      </c>
      <c r="M210" s="92"/>
      <c r="N210" s="93">
        <v>2386315</v>
      </c>
      <c r="O210" s="93">
        <v>10880569</v>
      </c>
      <c r="P210" s="93">
        <v>0</v>
      </c>
      <c r="Q210" s="92">
        <v>1316974</v>
      </c>
      <c r="R210" s="92"/>
      <c r="S210" s="93">
        <v>9673526</v>
      </c>
      <c r="T210" s="94">
        <v>-633239</v>
      </c>
      <c r="U210" s="94">
        <v>9040287</v>
      </c>
    </row>
    <row r="211" spans="1:21">
      <c r="A211" s="89">
        <v>36405</v>
      </c>
      <c r="B211" s="90" t="s">
        <v>195</v>
      </c>
      <c r="C211" s="97">
        <v>9.4269999999999998E-4</v>
      </c>
      <c r="D211" s="97">
        <v>9.0160000000000001E-4</v>
      </c>
      <c r="E211" s="92">
        <v>1192167.48</v>
      </c>
      <c r="F211" s="92">
        <v>3322575</v>
      </c>
      <c r="G211" s="92">
        <v>8664387</v>
      </c>
      <c r="H211" s="92"/>
      <c r="I211" s="93">
        <v>0</v>
      </c>
      <c r="J211" s="93">
        <v>4957100</v>
      </c>
      <c r="K211" s="93">
        <v>1277786</v>
      </c>
      <c r="L211" s="92">
        <v>323451</v>
      </c>
      <c r="M211" s="92"/>
      <c r="N211" s="93">
        <v>409491</v>
      </c>
      <c r="O211" s="93">
        <v>1867102</v>
      </c>
      <c r="P211" s="93">
        <v>0</v>
      </c>
      <c r="Q211" s="92">
        <v>0</v>
      </c>
      <c r="R211" s="92"/>
      <c r="S211" s="93">
        <v>1659974</v>
      </c>
      <c r="T211" s="94">
        <v>137975</v>
      </c>
      <c r="U211" s="94">
        <v>1797949</v>
      </c>
    </row>
    <row r="212" spans="1:21">
      <c r="A212" s="89">
        <v>36500</v>
      </c>
      <c r="B212" s="90" t="s">
        <v>196</v>
      </c>
      <c r="C212" s="97">
        <v>1.07055E-2</v>
      </c>
      <c r="D212" s="97">
        <v>1.0474600000000001E-2</v>
      </c>
      <c r="E212" s="92">
        <v>12914489.469999999</v>
      </c>
      <c r="F212" s="92">
        <v>38600975</v>
      </c>
      <c r="G212" s="92">
        <v>98394604</v>
      </c>
      <c r="H212" s="92"/>
      <c r="I212" s="93">
        <v>0</v>
      </c>
      <c r="J212" s="93">
        <v>56293876</v>
      </c>
      <c r="K212" s="93">
        <v>14510813</v>
      </c>
      <c r="L212" s="92">
        <v>1359270</v>
      </c>
      <c r="M212" s="92"/>
      <c r="N212" s="93">
        <v>4650266</v>
      </c>
      <c r="O212" s="93">
        <v>21203206</v>
      </c>
      <c r="P212" s="93">
        <v>0</v>
      </c>
      <c r="Q212" s="92">
        <v>0</v>
      </c>
      <c r="R212" s="92"/>
      <c r="S212" s="93">
        <v>18851015</v>
      </c>
      <c r="T212" s="94">
        <v>594246</v>
      </c>
      <c r="U212" s="94">
        <v>19445261</v>
      </c>
    </row>
    <row r="213" spans="1:21">
      <c r="A213" s="89">
        <v>36501</v>
      </c>
      <c r="B213" s="90" t="s">
        <v>197</v>
      </c>
      <c r="C213" s="97">
        <v>1.205E-4</v>
      </c>
      <c r="D213" s="97">
        <v>1.187E-4</v>
      </c>
      <c r="E213" s="92">
        <v>138943.91999999998</v>
      </c>
      <c r="F213" s="92">
        <v>437433</v>
      </c>
      <c r="G213" s="92">
        <v>1107519</v>
      </c>
      <c r="H213" s="92"/>
      <c r="I213" s="93">
        <v>0</v>
      </c>
      <c r="J213" s="93">
        <v>633638</v>
      </c>
      <c r="K213" s="93">
        <v>163332</v>
      </c>
      <c r="L213" s="92">
        <v>23571</v>
      </c>
      <c r="M213" s="92"/>
      <c r="N213" s="93">
        <v>52343</v>
      </c>
      <c r="O213" s="93">
        <v>238661</v>
      </c>
      <c r="P213" s="93">
        <v>0</v>
      </c>
      <c r="Q213" s="92">
        <v>4857</v>
      </c>
      <c r="R213" s="92"/>
      <c r="S213" s="93">
        <v>212185</v>
      </c>
      <c r="T213" s="94">
        <v>8078</v>
      </c>
      <c r="U213" s="94">
        <v>220263</v>
      </c>
    </row>
    <row r="214" spans="1:21">
      <c r="A214" s="89">
        <v>36502</v>
      </c>
      <c r="B214" s="90" t="s">
        <v>198</v>
      </c>
      <c r="C214" s="97">
        <v>5.1600000000000001E-5</v>
      </c>
      <c r="D214" s="97">
        <v>4.3699999999999998E-5</v>
      </c>
      <c r="E214" s="92">
        <v>51912.999999999985</v>
      </c>
      <c r="F214" s="92">
        <v>161043</v>
      </c>
      <c r="G214" s="92">
        <v>474257</v>
      </c>
      <c r="H214" s="92"/>
      <c r="I214" s="93">
        <v>0</v>
      </c>
      <c r="J214" s="93">
        <v>271334</v>
      </c>
      <c r="K214" s="93">
        <v>69941</v>
      </c>
      <c r="L214" s="92">
        <v>28723</v>
      </c>
      <c r="M214" s="92"/>
      <c r="N214" s="93">
        <v>22414</v>
      </c>
      <c r="O214" s="93">
        <v>102198</v>
      </c>
      <c r="P214" s="93">
        <v>0</v>
      </c>
      <c r="Q214" s="92">
        <v>8746</v>
      </c>
      <c r="R214" s="92"/>
      <c r="S214" s="93">
        <v>90861</v>
      </c>
      <c r="T214" s="94">
        <v>8075</v>
      </c>
      <c r="U214" s="94">
        <v>98936</v>
      </c>
    </row>
    <row r="215" spans="1:21">
      <c r="A215" s="89">
        <v>36505</v>
      </c>
      <c r="B215" s="90" t="s">
        <v>199</v>
      </c>
      <c r="C215" s="97">
        <v>2.1451999999999999E-3</v>
      </c>
      <c r="D215" s="97">
        <v>2.0844000000000001E-3</v>
      </c>
      <c r="E215" s="92">
        <v>2838462.55</v>
      </c>
      <c r="F215" s="92">
        <v>7681427</v>
      </c>
      <c r="G215" s="92">
        <v>19716604</v>
      </c>
      <c r="H215" s="92"/>
      <c r="I215" s="93">
        <v>0</v>
      </c>
      <c r="J215" s="93">
        <v>11280335</v>
      </c>
      <c r="K215" s="93">
        <v>2907720</v>
      </c>
      <c r="L215" s="92">
        <v>530581</v>
      </c>
      <c r="M215" s="92"/>
      <c r="N215" s="93">
        <v>931834</v>
      </c>
      <c r="O215" s="93">
        <v>4248762</v>
      </c>
      <c r="P215" s="93">
        <v>0</v>
      </c>
      <c r="Q215" s="92">
        <v>191590</v>
      </c>
      <c r="R215" s="92"/>
      <c r="S215" s="93">
        <v>3777423</v>
      </c>
      <c r="T215" s="94">
        <v>141962</v>
      </c>
      <c r="U215" s="94">
        <v>3919384</v>
      </c>
    </row>
    <row r="216" spans="1:21">
      <c r="A216" s="89">
        <v>36600</v>
      </c>
      <c r="B216" s="90" t="s">
        <v>200</v>
      </c>
      <c r="C216" s="97">
        <v>7.938E-4</v>
      </c>
      <c r="D216" s="97">
        <v>8.3319999999999998E-4</v>
      </c>
      <c r="E216" s="92">
        <v>1095362.55</v>
      </c>
      <c r="F216" s="92">
        <v>3070507</v>
      </c>
      <c r="G216" s="92">
        <v>7295842</v>
      </c>
      <c r="H216" s="92"/>
      <c r="I216" s="93">
        <v>0</v>
      </c>
      <c r="J216" s="93">
        <v>4174123</v>
      </c>
      <c r="K216" s="93">
        <v>1075959</v>
      </c>
      <c r="L216" s="92">
        <v>0</v>
      </c>
      <c r="M216" s="92"/>
      <c r="N216" s="93">
        <v>344812</v>
      </c>
      <c r="O216" s="93">
        <v>1572192</v>
      </c>
      <c r="P216" s="93">
        <v>0</v>
      </c>
      <c r="Q216" s="92">
        <v>237782</v>
      </c>
      <c r="R216" s="92"/>
      <c r="S216" s="93">
        <v>1397780</v>
      </c>
      <c r="T216" s="94">
        <v>-96293</v>
      </c>
      <c r="U216" s="94">
        <v>1301487</v>
      </c>
    </row>
    <row r="217" spans="1:21">
      <c r="A217" s="89">
        <v>36601</v>
      </c>
      <c r="B217" s="90" t="s">
        <v>201</v>
      </c>
      <c r="C217" s="97">
        <v>4.0440000000000002E-4</v>
      </c>
      <c r="D217" s="97">
        <v>3.6059999999999998E-4</v>
      </c>
      <c r="E217" s="92">
        <v>431383.73</v>
      </c>
      <c r="F217" s="92">
        <v>1328882</v>
      </c>
      <c r="G217" s="92">
        <v>3716854</v>
      </c>
      <c r="H217" s="92"/>
      <c r="I217" s="93">
        <v>0</v>
      </c>
      <c r="J217" s="93">
        <v>2126500</v>
      </c>
      <c r="K217" s="93">
        <v>548146</v>
      </c>
      <c r="L217" s="92">
        <v>255952</v>
      </c>
      <c r="M217" s="92"/>
      <c r="N217" s="93">
        <v>175664</v>
      </c>
      <c r="O217" s="93">
        <v>800951</v>
      </c>
      <c r="P217" s="93">
        <v>0</v>
      </c>
      <c r="Q217" s="92">
        <v>0</v>
      </c>
      <c r="R217" s="92"/>
      <c r="S217" s="93">
        <v>712097</v>
      </c>
      <c r="T217" s="94">
        <v>97730</v>
      </c>
      <c r="U217" s="94">
        <v>809827</v>
      </c>
    </row>
    <row r="218" spans="1:21">
      <c r="A218" s="89">
        <v>36700</v>
      </c>
      <c r="B218" s="90" t="s">
        <v>202</v>
      </c>
      <c r="C218" s="97">
        <v>9.1280000000000007E-3</v>
      </c>
      <c r="D218" s="97">
        <v>9.4318000000000006E-3</v>
      </c>
      <c r="E218" s="92">
        <v>10969466.500000002</v>
      </c>
      <c r="F218" s="92">
        <v>34758050</v>
      </c>
      <c r="G218" s="92">
        <v>83895749</v>
      </c>
      <c r="H218" s="92"/>
      <c r="I218" s="93">
        <v>0</v>
      </c>
      <c r="J218" s="93">
        <v>47998739</v>
      </c>
      <c r="K218" s="93">
        <v>12372584</v>
      </c>
      <c r="L218" s="92">
        <v>1127334</v>
      </c>
      <c r="M218" s="92"/>
      <c r="N218" s="93">
        <v>3965030</v>
      </c>
      <c r="O218" s="93">
        <v>18078826</v>
      </c>
      <c r="P218" s="93">
        <v>0</v>
      </c>
      <c r="Q218" s="92">
        <v>1563328</v>
      </c>
      <c r="R218" s="92"/>
      <c r="S218" s="93">
        <v>16073240</v>
      </c>
      <c r="T218" s="94">
        <v>37449</v>
      </c>
      <c r="U218" s="94">
        <v>16110689</v>
      </c>
    </row>
    <row r="219" spans="1:21">
      <c r="A219" s="89">
        <v>36701</v>
      </c>
      <c r="B219" s="90" t="s">
        <v>203</v>
      </c>
      <c r="C219" s="97">
        <v>4.6300000000000001E-5</v>
      </c>
      <c r="D219" s="97">
        <v>3.3599999999999997E-5</v>
      </c>
      <c r="E219" s="92">
        <v>43809.16</v>
      </c>
      <c r="F219" s="92">
        <v>123823</v>
      </c>
      <c r="G219" s="92">
        <v>425545</v>
      </c>
      <c r="H219" s="92"/>
      <c r="I219" s="93">
        <v>0</v>
      </c>
      <c r="J219" s="93">
        <v>243464</v>
      </c>
      <c r="K219" s="93">
        <v>62758</v>
      </c>
      <c r="L219" s="92">
        <v>114561</v>
      </c>
      <c r="M219" s="92"/>
      <c r="N219" s="93">
        <v>20112</v>
      </c>
      <c r="O219" s="93">
        <v>91701</v>
      </c>
      <c r="P219" s="93">
        <v>0</v>
      </c>
      <c r="Q219" s="92">
        <v>0</v>
      </c>
      <c r="R219" s="92"/>
      <c r="S219" s="93">
        <v>81528</v>
      </c>
      <c r="T219" s="94">
        <v>49482</v>
      </c>
      <c r="U219" s="94">
        <v>131011</v>
      </c>
    </row>
    <row r="220" spans="1:21">
      <c r="A220" s="89">
        <v>36705</v>
      </c>
      <c r="B220" s="90" t="s">
        <v>204</v>
      </c>
      <c r="C220" s="97">
        <v>1.0365999999999999E-3</v>
      </c>
      <c r="D220" s="97">
        <v>1.0287E-3</v>
      </c>
      <c r="E220" s="92">
        <v>1348858.14</v>
      </c>
      <c r="F220" s="92">
        <v>3790963</v>
      </c>
      <c r="G220" s="92">
        <v>9527425</v>
      </c>
      <c r="H220" s="92"/>
      <c r="I220" s="93">
        <v>0</v>
      </c>
      <c r="J220" s="93">
        <v>5450865</v>
      </c>
      <c r="K220" s="93">
        <v>1405064</v>
      </c>
      <c r="L220" s="92">
        <v>85054</v>
      </c>
      <c r="M220" s="92"/>
      <c r="N220" s="93">
        <v>450279</v>
      </c>
      <c r="O220" s="93">
        <v>2053080</v>
      </c>
      <c r="P220" s="93">
        <v>0</v>
      </c>
      <c r="Q220" s="92">
        <v>56437</v>
      </c>
      <c r="R220" s="92"/>
      <c r="S220" s="93">
        <v>1825320</v>
      </c>
      <c r="T220" s="94">
        <v>-3873</v>
      </c>
      <c r="U220" s="94">
        <v>1821447</v>
      </c>
    </row>
    <row r="221" spans="1:21">
      <c r="A221" s="89">
        <v>36800</v>
      </c>
      <c r="B221" s="90" t="s">
        <v>205</v>
      </c>
      <c r="C221" s="97">
        <v>3.4369000000000001E-3</v>
      </c>
      <c r="D221" s="97">
        <v>3.3264000000000002E-3</v>
      </c>
      <c r="E221" s="92">
        <v>4310027.09</v>
      </c>
      <c r="F221" s="92">
        <v>12258443</v>
      </c>
      <c r="G221" s="92">
        <v>31588661</v>
      </c>
      <c r="H221" s="92"/>
      <c r="I221" s="93">
        <v>0</v>
      </c>
      <c r="J221" s="93">
        <v>18072619</v>
      </c>
      <c r="K221" s="93">
        <v>4658560</v>
      </c>
      <c r="L221" s="92">
        <v>496977</v>
      </c>
      <c r="M221" s="92"/>
      <c r="N221" s="93">
        <v>1492924</v>
      </c>
      <c r="O221" s="93">
        <v>6807090</v>
      </c>
      <c r="P221" s="93">
        <v>0</v>
      </c>
      <c r="Q221" s="92">
        <v>69208</v>
      </c>
      <c r="R221" s="92"/>
      <c r="S221" s="93">
        <v>6051941</v>
      </c>
      <c r="T221" s="94">
        <v>119064</v>
      </c>
      <c r="U221" s="94">
        <v>6171005</v>
      </c>
    </row>
    <row r="222" spans="1:21">
      <c r="A222" s="89">
        <v>36801</v>
      </c>
      <c r="B222" s="90" t="s">
        <v>206</v>
      </c>
      <c r="C222" s="97">
        <v>0</v>
      </c>
      <c r="D222" s="97">
        <v>5.8400000000000003E-5</v>
      </c>
      <c r="E222" s="92"/>
      <c r="F222" s="92">
        <v>215216</v>
      </c>
      <c r="G222" s="92">
        <v>0</v>
      </c>
      <c r="H222" s="92"/>
      <c r="I222" s="93">
        <v>0</v>
      </c>
      <c r="J222" s="93">
        <v>0</v>
      </c>
      <c r="K222" s="93">
        <v>0</v>
      </c>
      <c r="L222" s="92">
        <v>0</v>
      </c>
      <c r="M222" s="92"/>
      <c r="N222" s="93">
        <v>0</v>
      </c>
      <c r="O222" s="93">
        <v>0</v>
      </c>
      <c r="P222" s="93">
        <v>0</v>
      </c>
      <c r="Q222" s="92">
        <v>233338</v>
      </c>
      <c r="R222" s="92"/>
      <c r="S222" s="93">
        <v>0</v>
      </c>
      <c r="T222" s="94">
        <v>-70677</v>
      </c>
      <c r="U222" s="94">
        <v>-70677</v>
      </c>
    </row>
    <row r="223" spans="1:21">
      <c r="A223" s="89">
        <v>36802</v>
      </c>
      <c r="B223" s="90" t="s">
        <v>207</v>
      </c>
      <c r="C223" s="97">
        <v>9.0199999999999997E-5</v>
      </c>
      <c r="D223" s="97">
        <v>8.42E-5</v>
      </c>
      <c r="E223" s="92">
        <v>89375.090000000011</v>
      </c>
      <c r="F223" s="92">
        <v>310294</v>
      </c>
      <c r="G223" s="92">
        <v>829031</v>
      </c>
      <c r="H223" s="92"/>
      <c r="I223" s="93">
        <v>0</v>
      </c>
      <c r="J223" s="93">
        <v>474308</v>
      </c>
      <c r="K223" s="93">
        <v>122262</v>
      </c>
      <c r="L223" s="92">
        <v>1278</v>
      </c>
      <c r="M223" s="92"/>
      <c r="N223" s="93">
        <v>39181</v>
      </c>
      <c r="O223" s="93">
        <v>178649</v>
      </c>
      <c r="P223" s="93">
        <v>0</v>
      </c>
      <c r="Q223" s="92">
        <v>43898</v>
      </c>
      <c r="R223" s="92"/>
      <c r="S223" s="93">
        <v>158831</v>
      </c>
      <c r="T223" s="94">
        <v>-20748</v>
      </c>
      <c r="U223" s="94">
        <v>138083</v>
      </c>
    </row>
    <row r="224" spans="1:21">
      <c r="A224" s="89">
        <v>36810</v>
      </c>
      <c r="B224" s="90" t="s">
        <v>208</v>
      </c>
      <c r="C224" s="97">
        <v>6.6347000000000003E-3</v>
      </c>
      <c r="D224" s="97">
        <v>6.4930999999999999E-3</v>
      </c>
      <c r="E224" s="92">
        <v>7899362.8499999996</v>
      </c>
      <c r="F224" s="92">
        <v>23928359</v>
      </c>
      <c r="G224" s="92">
        <v>60979747</v>
      </c>
      <c r="H224" s="92"/>
      <c r="I224" s="93">
        <v>0</v>
      </c>
      <c r="J224" s="93">
        <v>34887953</v>
      </c>
      <c r="K224" s="93">
        <v>8993031</v>
      </c>
      <c r="L224" s="92">
        <v>507831</v>
      </c>
      <c r="M224" s="92"/>
      <c r="N224" s="93">
        <v>2881988</v>
      </c>
      <c r="O224" s="93">
        <v>13140620</v>
      </c>
      <c r="P224" s="93">
        <v>0</v>
      </c>
      <c r="Q224" s="92">
        <v>0</v>
      </c>
      <c r="R224" s="92"/>
      <c r="S224" s="93">
        <v>11682857</v>
      </c>
      <c r="T224" s="94">
        <v>190463</v>
      </c>
      <c r="U224" s="94">
        <v>11873321</v>
      </c>
    </row>
    <row r="225" spans="1:21">
      <c r="A225" s="89">
        <v>36900</v>
      </c>
      <c r="B225" s="90" t="s">
        <v>209</v>
      </c>
      <c r="C225" s="97">
        <v>6.5419999999999996E-4</v>
      </c>
      <c r="D225" s="97">
        <v>6.3560000000000005E-4</v>
      </c>
      <c r="E225" s="92">
        <v>827506.58</v>
      </c>
      <c r="F225" s="92">
        <v>2342312</v>
      </c>
      <c r="G225" s="92">
        <v>6012774</v>
      </c>
      <c r="H225" s="92"/>
      <c r="I225" s="93">
        <v>0</v>
      </c>
      <c r="J225" s="93">
        <v>3440050</v>
      </c>
      <c r="K225" s="93">
        <v>886738</v>
      </c>
      <c r="L225" s="92">
        <v>70923</v>
      </c>
      <c r="M225" s="92"/>
      <c r="N225" s="93">
        <v>284172</v>
      </c>
      <c r="O225" s="93">
        <v>1295702</v>
      </c>
      <c r="P225" s="93">
        <v>0</v>
      </c>
      <c r="Q225" s="92">
        <v>0</v>
      </c>
      <c r="R225" s="92"/>
      <c r="S225" s="93">
        <v>1151962</v>
      </c>
      <c r="T225" s="94">
        <v>22451</v>
      </c>
      <c r="U225" s="94">
        <v>1174413</v>
      </c>
    </row>
    <row r="226" spans="1:21">
      <c r="A226" s="89">
        <v>36901</v>
      </c>
      <c r="B226" s="90" t="s">
        <v>210</v>
      </c>
      <c r="C226" s="97">
        <v>2.1709999999999999E-4</v>
      </c>
      <c r="D226" s="97">
        <v>1.983E-4</v>
      </c>
      <c r="E226" s="92">
        <v>272212.34000000003</v>
      </c>
      <c r="F226" s="92">
        <v>730775</v>
      </c>
      <c r="G226" s="92">
        <v>1995373</v>
      </c>
      <c r="H226" s="92"/>
      <c r="I226" s="93">
        <v>0</v>
      </c>
      <c r="J226" s="93">
        <v>1141600</v>
      </c>
      <c r="K226" s="93">
        <v>294269</v>
      </c>
      <c r="L226" s="92">
        <v>95725</v>
      </c>
      <c r="M226" s="92"/>
      <c r="N226" s="93">
        <v>94304</v>
      </c>
      <c r="O226" s="93">
        <v>429986</v>
      </c>
      <c r="P226" s="93">
        <v>0</v>
      </c>
      <c r="Q226" s="92">
        <v>885</v>
      </c>
      <c r="R226" s="92"/>
      <c r="S226" s="93">
        <v>382285</v>
      </c>
      <c r="T226" s="94">
        <v>30123</v>
      </c>
      <c r="U226" s="94">
        <v>412408</v>
      </c>
    </row>
    <row r="227" spans="1:21">
      <c r="A227" s="89">
        <v>36905</v>
      </c>
      <c r="B227" s="90" t="s">
        <v>211</v>
      </c>
      <c r="C227" s="97">
        <v>2.084E-4</v>
      </c>
      <c r="D227" s="97">
        <v>1.9870000000000001E-4</v>
      </c>
      <c r="E227" s="92">
        <v>299197</v>
      </c>
      <c r="F227" s="92">
        <v>732249</v>
      </c>
      <c r="G227" s="92">
        <v>1915411</v>
      </c>
      <c r="H227" s="92"/>
      <c r="I227" s="93">
        <v>0</v>
      </c>
      <c r="J227" s="93">
        <v>1095852</v>
      </c>
      <c r="K227" s="93">
        <v>282477</v>
      </c>
      <c r="L227" s="92">
        <v>79457</v>
      </c>
      <c r="M227" s="92"/>
      <c r="N227" s="93">
        <v>90525</v>
      </c>
      <c r="O227" s="93">
        <v>412755</v>
      </c>
      <c r="P227" s="93">
        <v>0</v>
      </c>
      <c r="Q227" s="92">
        <v>562</v>
      </c>
      <c r="R227" s="92"/>
      <c r="S227" s="93">
        <v>366966</v>
      </c>
      <c r="T227" s="94">
        <v>27728</v>
      </c>
      <c r="U227" s="94">
        <v>394693</v>
      </c>
    </row>
    <row r="228" spans="1:21">
      <c r="A228" s="89">
        <v>37000</v>
      </c>
      <c r="B228" s="90" t="s">
        <v>212</v>
      </c>
      <c r="C228" s="97">
        <v>2.2902999999999999E-3</v>
      </c>
      <c r="D228" s="97">
        <v>2.1697000000000001E-3</v>
      </c>
      <c r="E228" s="92">
        <v>2829364.21</v>
      </c>
      <c r="F228" s="92">
        <v>7995774</v>
      </c>
      <c r="G228" s="92">
        <v>21050223</v>
      </c>
      <c r="H228" s="92"/>
      <c r="I228" s="93">
        <v>0</v>
      </c>
      <c r="J228" s="93">
        <v>12043330</v>
      </c>
      <c r="K228" s="93">
        <v>3104396</v>
      </c>
      <c r="L228" s="92">
        <v>508916</v>
      </c>
      <c r="M228" s="92"/>
      <c r="N228" s="93">
        <v>994863</v>
      </c>
      <c r="O228" s="93">
        <v>4536145</v>
      </c>
      <c r="P228" s="93">
        <v>0</v>
      </c>
      <c r="Q228" s="92">
        <v>177339</v>
      </c>
      <c r="R228" s="92"/>
      <c r="S228" s="93">
        <v>4032925</v>
      </c>
      <c r="T228" s="94">
        <v>61465</v>
      </c>
      <c r="U228" s="94">
        <v>4094390</v>
      </c>
    </row>
    <row r="229" spans="1:21">
      <c r="A229" s="89">
        <v>37001</v>
      </c>
      <c r="B229" s="90" t="s">
        <v>468</v>
      </c>
      <c r="C229" s="97">
        <v>4.4100000000000001E-5</v>
      </c>
      <c r="D229" s="97">
        <v>0</v>
      </c>
      <c r="E229" s="92">
        <v>48004.07</v>
      </c>
      <c r="F229" s="92"/>
      <c r="G229" s="92">
        <v>405325</v>
      </c>
      <c r="H229" s="92"/>
      <c r="I229" s="93">
        <v>0</v>
      </c>
      <c r="J229" s="93">
        <v>231896</v>
      </c>
      <c r="K229" s="93">
        <v>59776</v>
      </c>
      <c r="L229" s="92">
        <v>148075</v>
      </c>
      <c r="M229" s="92"/>
      <c r="N229" s="93">
        <v>19156</v>
      </c>
      <c r="O229" s="93">
        <v>87344</v>
      </c>
      <c r="P229" s="93">
        <v>0</v>
      </c>
      <c r="Q229" s="92">
        <v>0</v>
      </c>
      <c r="R229" s="92"/>
      <c r="S229" s="93">
        <v>77654</v>
      </c>
      <c r="T229" s="94">
        <v>42428</v>
      </c>
      <c r="U229" s="94">
        <v>120083</v>
      </c>
    </row>
    <row r="230" spans="1:21">
      <c r="A230" s="89">
        <v>37005</v>
      </c>
      <c r="B230" s="90" t="s">
        <v>213</v>
      </c>
      <c r="C230" s="97">
        <v>5.3939999999999999E-4</v>
      </c>
      <c r="D230" s="97">
        <v>5.4609999999999999E-4</v>
      </c>
      <c r="E230" s="92">
        <v>756011.25</v>
      </c>
      <c r="F230" s="92">
        <v>2012487</v>
      </c>
      <c r="G230" s="92">
        <v>4957643</v>
      </c>
      <c r="H230" s="92"/>
      <c r="I230" s="93">
        <v>0</v>
      </c>
      <c r="J230" s="93">
        <v>2836385</v>
      </c>
      <c r="K230" s="93">
        <v>731132</v>
      </c>
      <c r="L230" s="92">
        <v>71728</v>
      </c>
      <c r="M230" s="92"/>
      <c r="N230" s="93">
        <v>234305</v>
      </c>
      <c r="O230" s="93">
        <v>1068330</v>
      </c>
      <c r="P230" s="93">
        <v>0</v>
      </c>
      <c r="Q230" s="92">
        <v>0</v>
      </c>
      <c r="R230" s="92"/>
      <c r="S230" s="93">
        <v>949814</v>
      </c>
      <c r="T230" s="94">
        <v>26846</v>
      </c>
      <c r="U230" s="94">
        <v>976661</v>
      </c>
    </row>
    <row r="231" spans="1:21">
      <c r="A231" s="89">
        <v>37100</v>
      </c>
      <c r="B231" s="90" t="s">
        <v>214</v>
      </c>
      <c r="C231" s="97">
        <v>3.1722999999999999E-3</v>
      </c>
      <c r="D231" s="97">
        <v>3.0909000000000002E-3</v>
      </c>
      <c r="E231" s="92">
        <v>3814575.5800000005</v>
      </c>
      <c r="F231" s="92">
        <v>11390578</v>
      </c>
      <c r="G231" s="92">
        <v>29156714</v>
      </c>
      <c r="H231" s="92"/>
      <c r="I231" s="93">
        <v>0</v>
      </c>
      <c r="J231" s="93">
        <v>16681245</v>
      </c>
      <c r="K231" s="93">
        <v>4299907</v>
      </c>
      <c r="L231" s="92">
        <v>461419</v>
      </c>
      <c r="M231" s="92"/>
      <c r="N231" s="93">
        <v>1377987</v>
      </c>
      <c r="O231" s="93">
        <v>6283026</v>
      </c>
      <c r="P231" s="93">
        <v>0</v>
      </c>
      <c r="Q231" s="92">
        <v>337220</v>
      </c>
      <c r="R231" s="92"/>
      <c r="S231" s="93">
        <v>5586014</v>
      </c>
      <c r="T231" s="94">
        <v>-22519</v>
      </c>
      <c r="U231" s="94">
        <v>5563495</v>
      </c>
    </row>
    <row r="232" spans="1:21">
      <c r="A232" s="89">
        <v>37200</v>
      </c>
      <c r="B232" s="90" t="s">
        <v>215</v>
      </c>
      <c r="C232" s="97">
        <v>7.157E-4</v>
      </c>
      <c r="D232" s="97">
        <v>7.4390000000000003E-4</v>
      </c>
      <c r="E232" s="92">
        <v>926475.11000000022</v>
      </c>
      <c r="F232" s="92">
        <v>2741419</v>
      </c>
      <c r="G232" s="92">
        <v>6578022</v>
      </c>
      <c r="H232" s="92"/>
      <c r="I232" s="93">
        <v>0</v>
      </c>
      <c r="J232" s="93">
        <v>3763442</v>
      </c>
      <c r="K232" s="93">
        <v>970098</v>
      </c>
      <c r="L232" s="92">
        <v>75711</v>
      </c>
      <c r="M232" s="92"/>
      <c r="N232" s="93">
        <v>310886</v>
      </c>
      <c r="O232" s="93">
        <v>1417508</v>
      </c>
      <c r="P232" s="93">
        <v>0</v>
      </c>
      <c r="Q232" s="92">
        <v>135677</v>
      </c>
      <c r="R232" s="92"/>
      <c r="S232" s="93">
        <v>1260256</v>
      </c>
      <c r="T232" s="94">
        <v>-23304</v>
      </c>
      <c r="U232" s="94">
        <v>1236952</v>
      </c>
    </row>
    <row r="233" spans="1:21">
      <c r="A233" s="89">
        <v>37300</v>
      </c>
      <c r="B233" s="90" t="s">
        <v>216</v>
      </c>
      <c r="C233" s="97">
        <v>1.8910000000000001E-3</v>
      </c>
      <c r="D233" s="97">
        <v>1.8423000000000001E-3</v>
      </c>
      <c r="E233" s="92">
        <v>2317890.73</v>
      </c>
      <c r="F233" s="92">
        <v>6789240</v>
      </c>
      <c r="G233" s="92">
        <v>17380243</v>
      </c>
      <c r="H233" s="92"/>
      <c r="I233" s="93">
        <v>0</v>
      </c>
      <c r="J233" s="93">
        <v>9943648</v>
      </c>
      <c r="K233" s="93">
        <v>2563164</v>
      </c>
      <c r="L233" s="92">
        <v>102205</v>
      </c>
      <c r="M233" s="92"/>
      <c r="N233" s="93">
        <v>821414</v>
      </c>
      <c r="O233" s="93">
        <v>3745296</v>
      </c>
      <c r="P233" s="93">
        <v>0</v>
      </c>
      <c r="Q233" s="92">
        <v>359064</v>
      </c>
      <c r="R233" s="92"/>
      <c r="S233" s="93">
        <v>3329809</v>
      </c>
      <c r="T233" s="94">
        <v>-149383</v>
      </c>
      <c r="U233" s="94">
        <v>3180426</v>
      </c>
    </row>
    <row r="234" spans="1:21">
      <c r="A234" s="89">
        <v>37301</v>
      </c>
      <c r="B234" s="90" t="s">
        <v>217</v>
      </c>
      <c r="C234" s="97">
        <v>1.974E-4</v>
      </c>
      <c r="D234" s="97">
        <v>1.941E-4</v>
      </c>
      <c r="E234" s="92">
        <v>234621.66</v>
      </c>
      <c r="F234" s="92">
        <v>715297</v>
      </c>
      <c r="G234" s="92">
        <v>1814310</v>
      </c>
      <c r="H234" s="92"/>
      <c r="I234" s="93">
        <v>0</v>
      </c>
      <c r="J234" s="93">
        <v>1038010</v>
      </c>
      <c r="K234" s="93">
        <v>267567</v>
      </c>
      <c r="L234" s="92">
        <v>82121</v>
      </c>
      <c r="M234" s="92"/>
      <c r="N234" s="93">
        <v>85747</v>
      </c>
      <c r="O234" s="93">
        <v>390968</v>
      </c>
      <c r="P234" s="93">
        <v>0</v>
      </c>
      <c r="Q234" s="92">
        <v>1281</v>
      </c>
      <c r="R234" s="92"/>
      <c r="S234" s="93">
        <v>347596</v>
      </c>
      <c r="T234" s="94">
        <v>33474</v>
      </c>
      <c r="U234" s="94">
        <v>381071</v>
      </c>
    </row>
    <row r="235" spans="1:21">
      <c r="A235" s="89">
        <v>37305</v>
      </c>
      <c r="B235" s="90" t="s">
        <v>218</v>
      </c>
      <c r="C235" s="97">
        <v>5.6899999999999995E-4</v>
      </c>
      <c r="D235" s="97">
        <v>6.1359999999999995E-4</v>
      </c>
      <c r="E235" s="92">
        <v>825933.24000000011</v>
      </c>
      <c r="F235" s="92">
        <v>2261237</v>
      </c>
      <c r="G235" s="92">
        <v>5229698</v>
      </c>
      <c r="H235" s="92"/>
      <c r="I235" s="93">
        <v>0</v>
      </c>
      <c r="J235" s="93">
        <v>2992034</v>
      </c>
      <c r="K235" s="93">
        <v>771253</v>
      </c>
      <c r="L235" s="92">
        <v>0</v>
      </c>
      <c r="M235" s="92"/>
      <c r="N235" s="93">
        <v>247163</v>
      </c>
      <c r="O235" s="93">
        <v>1126955.71</v>
      </c>
      <c r="P235" s="93">
        <v>0</v>
      </c>
      <c r="Q235" s="92">
        <v>369515</v>
      </c>
      <c r="R235" s="92"/>
      <c r="S235" s="93">
        <v>1001936</v>
      </c>
      <c r="T235" s="94">
        <v>-141397</v>
      </c>
      <c r="U235" s="94">
        <v>860539</v>
      </c>
    </row>
    <row r="236" spans="1:21">
      <c r="A236" s="89">
        <v>37400</v>
      </c>
      <c r="B236" s="90" t="s">
        <v>219</v>
      </c>
      <c r="C236" s="97">
        <v>9.1569000000000008E-3</v>
      </c>
      <c r="D236" s="97">
        <v>9.2087999999999996E-3</v>
      </c>
      <c r="E236" s="92">
        <v>10687672.52</v>
      </c>
      <c r="F236" s="92">
        <v>33936251</v>
      </c>
      <c r="G236" s="92">
        <v>84161370</v>
      </c>
      <c r="H236" s="92"/>
      <c r="I236" s="93">
        <v>0</v>
      </c>
      <c r="J236" s="93">
        <v>48150707</v>
      </c>
      <c r="K236" s="93">
        <v>12411757</v>
      </c>
      <c r="L236" s="92">
        <v>102319</v>
      </c>
      <c r="M236" s="92"/>
      <c r="N236" s="93">
        <v>3977583</v>
      </c>
      <c r="O236" s="93">
        <v>18136065</v>
      </c>
      <c r="P236" s="93">
        <v>0</v>
      </c>
      <c r="Q236" s="92">
        <v>1253089</v>
      </c>
      <c r="R236" s="92"/>
      <c r="S236" s="93">
        <v>16124129</v>
      </c>
      <c r="T236" s="94">
        <v>-407995</v>
      </c>
      <c r="U236" s="94">
        <v>15716134</v>
      </c>
    </row>
    <row r="237" spans="1:21">
      <c r="A237" s="89">
        <v>37405</v>
      </c>
      <c r="B237" s="90" t="s">
        <v>220</v>
      </c>
      <c r="C237" s="97">
        <v>2.0752000000000001E-3</v>
      </c>
      <c r="D237" s="97">
        <v>1.9784E-3</v>
      </c>
      <c r="E237" s="92">
        <v>2527980.0299999998</v>
      </c>
      <c r="F237" s="92">
        <v>7290796</v>
      </c>
      <c r="G237" s="92">
        <v>19073232</v>
      </c>
      <c r="H237" s="92"/>
      <c r="I237" s="93">
        <v>0</v>
      </c>
      <c r="J237" s="93">
        <v>10912246</v>
      </c>
      <c r="K237" s="93">
        <v>2812838</v>
      </c>
      <c r="L237" s="92">
        <v>599792</v>
      </c>
      <c r="M237" s="92"/>
      <c r="N237" s="93">
        <v>901427</v>
      </c>
      <c r="O237" s="93">
        <v>4110120</v>
      </c>
      <c r="P237" s="93">
        <v>0</v>
      </c>
      <c r="Q237" s="92">
        <v>0</v>
      </c>
      <c r="R237" s="92"/>
      <c r="S237" s="93">
        <v>3654162</v>
      </c>
      <c r="T237" s="94">
        <v>226753</v>
      </c>
      <c r="U237" s="94">
        <v>3880915</v>
      </c>
    </row>
    <row r="238" spans="1:21">
      <c r="A238" s="89">
        <v>37500</v>
      </c>
      <c r="B238" s="90" t="s">
        <v>221</v>
      </c>
      <c r="C238" s="97">
        <v>1.0169000000000001E-3</v>
      </c>
      <c r="D238" s="97">
        <v>1.0656000000000001E-3</v>
      </c>
      <c r="E238" s="92">
        <v>1373813.3499999999</v>
      </c>
      <c r="F238" s="92">
        <v>3926947</v>
      </c>
      <c r="G238" s="92">
        <v>9346361</v>
      </c>
      <c r="H238" s="92"/>
      <c r="I238" s="93">
        <v>0</v>
      </c>
      <c r="J238" s="93">
        <v>5347274</v>
      </c>
      <c r="K238" s="93">
        <v>1378361</v>
      </c>
      <c r="L238" s="92">
        <v>230793</v>
      </c>
      <c r="M238" s="92"/>
      <c r="N238" s="93">
        <v>441722</v>
      </c>
      <c r="O238" s="93">
        <v>2014062</v>
      </c>
      <c r="P238" s="93">
        <v>0</v>
      </c>
      <c r="Q238" s="92">
        <v>108197</v>
      </c>
      <c r="R238" s="92"/>
      <c r="S238" s="93">
        <v>1790631</v>
      </c>
      <c r="T238" s="94">
        <v>71608</v>
      </c>
      <c r="U238" s="94">
        <v>1862239</v>
      </c>
    </row>
    <row r="239" spans="1:21">
      <c r="A239" s="89">
        <v>37600</v>
      </c>
      <c r="B239" s="90" t="s">
        <v>222</v>
      </c>
      <c r="C239" s="97">
        <v>6.4549000000000004E-3</v>
      </c>
      <c r="D239" s="97">
        <v>6.4326000000000001E-3</v>
      </c>
      <c r="E239" s="92">
        <v>7626235.6799999997</v>
      </c>
      <c r="F239" s="92">
        <v>23705405</v>
      </c>
      <c r="G239" s="92">
        <v>59327199</v>
      </c>
      <c r="H239" s="92"/>
      <c r="I239" s="93">
        <v>0</v>
      </c>
      <c r="J239" s="93">
        <v>33942491</v>
      </c>
      <c r="K239" s="93">
        <v>8749320</v>
      </c>
      <c r="L239" s="92">
        <v>0</v>
      </c>
      <c r="M239" s="92"/>
      <c r="N239" s="93">
        <v>2803886</v>
      </c>
      <c r="O239" s="93">
        <v>12784510</v>
      </c>
      <c r="P239" s="93">
        <v>0</v>
      </c>
      <c r="Q239" s="92">
        <v>1130498</v>
      </c>
      <c r="R239" s="92"/>
      <c r="S239" s="93">
        <v>11366253</v>
      </c>
      <c r="T239" s="94">
        <v>-414681</v>
      </c>
      <c r="U239" s="94">
        <v>10951571</v>
      </c>
    </row>
    <row r="240" spans="1:21">
      <c r="A240" s="89">
        <v>37601</v>
      </c>
      <c r="B240" s="90" t="s">
        <v>223</v>
      </c>
      <c r="C240" s="97">
        <v>2.029E-4</v>
      </c>
      <c r="D240" s="97">
        <v>8.25E-5</v>
      </c>
      <c r="E240" s="92">
        <v>204986.33000000002</v>
      </c>
      <c r="F240" s="92">
        <v>304029</v>
      </c>
      <c r="G240" s="92">
        <v>1864861</v>
      </c>
      <c r="H240" s="92"/>
      <c r="I240" s="93">
        <v>0</v>
      </c>
      <c r="J240" s="93">
        <v>1066931</v>
      </c>
      <c r="K240" s="93">
        <v>275022</v>
      </c>
      <c r="L240" s="92">
        <v>588427</v>
      </c>
      <c r="M240" s="92"/>
      <c r="N240" s="93">
        <v>88136</v>
      </c>
      <c r="O240" s="93">
        <v>401862</v>
      </c>
      <c r="P240" s="93">
        <v>0</v>
      </c>
      <c r="Q240" s="92">
        <v>0</v>
      </c>
      <c r="R240" s="92"/>
      <c r="S240" s="93">
        <v>357281</v>
      </c>
      <c r="T240" s="94">
        <v>205125</v>
      </c>
      <c r="U240" s="94">
        <v>562406</v>
      </c>
    </row>
    <row r="241" spans="1:21">
      <c r="A241" s="89">
        <v>37605</v>
      </c>
      <c r="B241" s="90" t="s">
        <v>224</v>
      </c>
      <c r="C241" s="97">
        <v>7.6970000000000001E-4</v>
      </c>
      <c r="D241" s="97">
        <v>7.3910000000000002E-4</v>
      </c>
      <c r="E241" s="92">
        <v>948930.6399999999</v>
      </c>
      <c r="F241" s="92">
        <v>2723730</v>
      </c>
      <c r="G241" s="92">
        <v>7074338</v>
      </c>
      <c r="H241" s="92"/>
      <c r="I241" s="93">
        <v>0</v>
      </c>
      <c r="J241" s="93">
        <v>4047396</v>
      </c>
      <c r="K241" s="93">
        <v>1043293</v>
      </c>
      <c r="L241" s="92">
        <v>83580</v>
      </c>
      <c r="M241" s="92"/>
      <c r="N241" s="93">
        <v>334343</v>
      </c>
      <c r="O241" s="93">
        <v>1524460</v>
      </c>
      <c r="P241" s="93">
        <v>0</v>
      </c>
      <c r="Q241" s="92">
        <v>20415</v>
      </c>
      <c r="R241" s="92"/>
      <c r="S241" s="93">
        <v>1355343</v>
      </c>
      <c r="T241" s="94">
        <v>15608</v>
      </c>
      <c r="U241" s="94">
        <v>1370951</v>
      </c>
    </row>
    <row r="242" spans="1:21">
      <c r="A242" s="89">
        <v>37610</v>
      </c>
      <c r="B242" s="90" t="s">
        <v>225</v>
      </c>
      <c r="C242" s="97">
        <v>1.9426999999999999E-3</v>
      </c>
      <c r="D242" s="97">
        <v>2.0593E-3</v>
      </c>
      <c r="E242" s="92">
        <v>2187554.94</v>
      </c>
      <c r="F242" s="92">
        <v>7588928</v>
      </c>
      <c r="G242" s="92">
        <v>17855420</v>
      </c>
      <c r="H242" s="92"/>
      <c r="I242" s="93">
        <v>0</v>
      </c>
      <c r="J242" s="93">
        <v>10215507</v>
      </c>
      <c r="K242" s="93">
        <v>2633240</v>
      </c>
      <c r="L242" s="92">
        <v>10412</v>
      </c>
      <c r="M242" s="92"/>
      <c r="N242" s="93">
        <v>843872</v>
      </c>
      <c r="O242" s="93">
        <v>3847692</v>
      </c>
      <c r="P242" s="93">
        <v>0</v>
      </c>
      <c r="Q242" s="92">
        <v>856589</v>
      </c>
      <c r="R242" s="92"/>
      <c r="S242" s="93">
        <v>3420846</v>
      </c>
      <c r="T242" s="94">
        <v>-261626</v>
      </c>
      <c r="U242" s="94">
        <v>3159220</v>
      </c>
    </row>
    <row r="243" spans="1:21">
      <c r="A243" s="89">
        <v>37700</v>
      </c>
      <c r="B243" s="90" t="s">
        <v>226</v>
      </c>
      <c r="C243" s="97">
        <v>2.7463000000000001E-3</v>
      </c>
      <c r="D243" s="97">
        <v>2.7039999999999998E-3</v>
      </c>
      <c r="E243" s="92">
        <v>3374355.0599999996</v>
      </c>
      <c r="F243" s="92">
        <v>9964775</v>
      </c>
      <c r="G243" s="92">
        <v>25241334</v>
      </c>
      <c r="H243" s="92"/>
      <c r="I243" s="93">
        <v>0</v>
      </c>
      <c r="J243" s="93">
        <v>14441163</v>
      </c>
      <c r="K243" s="93">
        <v>3722483</v>
      </c>
      <c r="L243" s="92">
        <v>55207</v>
      </c>
      <c r="M243" s="92"/>
      <c r="N243" s="93">
        <v>1192941</v>
      </c>
      <c r="O243" s="93">
        <v>5439294</v>
      </c>
      <c r="P243" s="93">
        <v>0</v>
      </c>
      <c r="Q243" s="92">
        <v>172136</v>
      </c>
      <c r="R243" s="92"/>
      <c r="S243" s="93">
        <v>4835883</v>
      </c>
      <c r="T243" s="94">
        <v>-74123</v>
      </c>
      <c r="U243" s="94">
        <v>4761760</v>
      </c>
    </row>
    <row r="244" spans="1:21">
      <c r="A244" s="89">
        <v>37705</v>
      </c>
      <c r="B244" s="90" t="s">
        <v>227</v>
      </c>
      <c r="C244" s="97">
        <v>8.03E-4</v>
      </c>
      <c r="D244" s="97">
        <v>7.9880000000000001E-4</v>
      </c>
      <c r="E244" s="92">
        <v>1000791.2300000001</v>
      </c>
      <c r="F244" s="92">
        <v>2943736</v>
      </c>
      <c r="G244" s="92">
        <v>7380399</v>
      </c>
      <c r="H244" s="92"/>
      <c r="I244" s="93">
        <v>0</v>
      </c>
      <c r="J244" s="93">
        <v>4222501</v>
      </c>
      <c r="K244" s="93">
        <v>1088430</v>
      </c>
      <c r="L244" s="92">
        <v>200597</v>
      </c>
      <c r="M244" s="92"/>
      <c r="N244" s="93">
        <v>348808</v>
      </c>
      <c r="O244" s="93">
        <v>1590413.77</v>
      </c>
      <c r="P244" s="93">
        <v>0</v>
      </c>
      <c r="Q244" s="92">
        <v>1450</v>
      </c>
      <c r="R244" s="92"/>
      <c r="S244" s="93">
        <v>1413980</v>
      </c>
      <c r="T244" s="94">
        <v>105184</v>
      </c>
      <c r="U244" s="94">
        <v>1519164</v>
      </c>
    </row>
    <row r="245" spans="1:21">
      <c r="A245" s="89">
        <v>37800</v>
      </c>
      <c r="B245" s="90" t="s">
        <v>228</v>
      </c>
      <c r="C245" s="97">
        <v>8.3046000000000005E-3</v>
      </c>
      <c r="D245" s="97">
        <v>8.3140999999999996E-3</v>
      </c>
      <c r="E245" s="92">
        <v>10326532.890000001</v>
      </c>
      <c r="F245" s="92">
        <v>30639105</v>
      </c>
      <c r="G245" s="92">
        <v>76327853</v>
      </c>
      <c r="H245" s="92"/>
      <c r="I245" s="93">
        <v>0</v>
      </c>
      <c r="J245" s="93">
        <v>43668967</v>
      </c>
      <c r="K245" s="93">
        <v>11256503</v>
      </c>
      <c r="L245" s="92">
        <v>232682</v>
      </c>
      <c r="M245" s="92"/>
      <c r="N245" s="93">
        <v>3607360</v>
      </c>
      <c r="O245" s="93">
        <v>16448008</v>
      </c>
      <c r="P245" s="93">
        <v>0</v>
      </c>
      <c r="Q245" s="92">
        <v>302653</v>
      </c>
      <c r="R245" s="92"/>
      <c r="S245" s="93">
        <v>14623338</v>
      </c>
      <c r="T245" s="94">
        <v>35155</v>
      </c>
      <c r="U245" s="94">
        <v>14658493</v>
      </c>
    </row>
    <row r="246" spans="1:21">
      <c r="A246" s="89">
        <v>37801</v>
      </c>
      <c r="B246" s="90" t="s">
        <v>229</v>
      </c>
      <c r="C246" s="97">
        <v>5.3900000000000002E-5</v>
      </c>
      <c r="D246" s="97">
        <v>5.6499999999999998E-5</v>
      </c>
      <c r="E246" s="92">
        <v>63337.650000000009</v>
      </c>
      <c r="F246" s="92">
        <v>208214</v>
      </c>
      <c r="G246" s="92">
        <v>495397</v>
      </c>
      <c r="H246" s="92"/>
      <c r="I246" s="93">
        <v>0</v>
      </c>
      <c r="J246" s="93">
        <v>283428</v>
      </c>
      <c r="K246" s="93">
        <v>73059</v>
      </c>
      <c r="L246" s="92">
        <v>141029</v>
      </c>
      <c r="M246" s="92"/>
      <c r="N246" s="93">
        <v>23413</v>
      </c>
      <c r="O246" s="93">
        <v>106754</v>
      </c>
      <c r="P246" s="93">
        <v>0</v>
      </c>
      <c r="Q246" s="92">
        <v>13169</v>
      </c>
      <c r="R246" s="92"/>
      <c r="S246" s="93">
        <v>94911</v>
      </c>
      <c r="T246" s="94">
        <v>62897</v>
      </c>
      <c r="U246" s="94">
        <v>157808</v>
      </c>
    </row>
    <row r="247" spans="1:21">
      <c r="A247" s="89">
        <v>37805</v>
      </c>
      <c r="B247" s="90" t="s">
        <v>230</v>
      </c>
      <c r="C247" s="97">
        <v>6.6949999999999996E-4</v>
      </c>
      <c r="D247" s="97">
        <v>7.4660000000000004E-4</v>
      </c>
      <c r="E247" s="92">
        <v>884208.79</v>
      </c>
      <c r="F247" s="92">
        <v>2751369</v>
      </c>
      <c r="G247" s="92">
        <v>6153397</v>
      </c>
      <c r="H247" s="92"/>
      <c r="I247" s="93">
        <v>0</v>
      </c>
      <c r="J247" s="93">
        <v>3520503</v>
      </c>
      <c r="K247" s="93">
        <v>907476</v>
      </c>
      <c r="L247" s="92">
        <v>79272</v>
      </c>
      <c r="M247" s="92"/>
      <c r="N247" s="93">
        <v>290818</v>
      </c>
      <c r="O247" s="93">
        <v>1326005</v>
      </c>
      <c r="P247" s="93">
        <v>0</v>
      </c>
      <c r="Q247" s="92">
        <v>448677</v>
      </c>
      <c r="R247" s="92"/>
      <c r="S247" s="93">
        <v>1178904</v>
      </c>
      <c r="T247" s="94">
        <v>-103986</v>
      </c>
      <c r="U247" s="94">
        <v>1074918</v>
      </c>
    </row>
    <row r="248" spans="1:21">
      <c r="A248" s="89">
        <v>37900</v>
      </c>
      <c r="B248" s="90" t="s">
        <v>231</v>
      </c>
      <c r="C248" s="97">
        <v>4.5617000000000001E-3</v>
      </c>
      <c r="D248" s="97">
        <v>4.7647999999999996E-3</v>
      </c>
      <c r="E248" s="92">
        <v>5820538.7399999993</v>
      </c>
      <c r="F248" s="92">
        <v>17559231</v>
      </c>
      <c r="G248" s="92">
        <v>41926735</v>
      </c>
      <c r="H248" s="92"/>
      <c r="I248" s="93">
        <v>0</v>
      </c>
      <c r="J248" s="93">
        <v>23987275</v>
      </c>
      <c r="K248" s="93">
        <v>6183175</v>
      </c>
      <c r="L248" s="92">
        <v>88219</v>
      </c>
      <c r="M248" s="92"/>
      <c r="N248" s="93">
        <v>1981516</v>
      </c>
      <c r="O248" s="93">
        <v>9034857</v>
      </c>
      <c r="P248" s="93">
        <v>0</v>
      </c>
      <c r="Q248" s="92">
        <v>1236921</v>
      </c>
      <c r="R248" s="92"/>
      <c r="S248" s="93">
        <v>8032570</v>
      </c>
      <c r="T248" s="94">
        <v>-357238</v>
      </c>
      <c r="U248" s="94">
        <v>7675332</v>
      </c>
    </row>
    <row r="249" spans="1:21">
      <c r="A249" s="89">
        <v>37901</v>
      </c>
      <c r="B249" s="90" t="s">
        <v>232</v>
      </c>
      <c r="C249" s="97">
        <v>6.1799999999999998E-5</v>
      </c>
      <c r="D249" s="97">
        <v>6.3499999999999999E-5</v>
      </c>
      <c r="E249" s="92">
        <v>69945.09</v>
      </c>
      <c r="F249" s="92">
        <v>234010</v>
      </c>
      <c r="G249" s="92">
        <v>568006</v>
      </c>
      <c r="H249" s="92"/>
      <c r="I249" s="93">
        <v>0</v>
      </c>
      <c r="J249" s="93">
        <v>324970</v>
      </c>
      <c r="K249" s="93">
        <v>83767</v>
      </c>
      <c r="L249" s="92">
        <v>571</v>
      </c>
      <c r="M249" s="92"/>
      <c r="N249" s="93">
        <v>26845</v>
      </c>
      <c r="O249" s="93">
        <v>122400</v>
      </c>
      <c r="P249" s="93">
        <v>0</v>
      </c>
      <c r="Q249" s="92">
        <v>12695</v>
      </c>
      <c r="R249" s="92"/>
      <c r="S249" s="93">
        <v>108822</v>
      </c>
      <c r="T249" s="94">
        <v>-3345</v>
      </c>
      <c r="U249" s="94">
        <v>105477</v>
      </c>
    </row>
    <row r="250" spans="1:21">
      <c r="A250" s="89">
        <v>37905</v>
      </c>
      <c r="B250" s="90" t="s">
        <v>233</v>
      </c>
      <c r="C250" s="97">
        <v>5.1179999999999997E-4</v>
      </c>
      <c r="D250" s="97">
        <v>5.2079999999999997E-4</v>
      </c>
      <c r="E250" s="92">
        <v>734022.86</v>
      </c>
      <c r="F250" s="92">
        <v>1919251</v>
      </c>
      <c r="G250" s="92">
        <v>4703971</v>
      </c>
      <c r="H250" s="92"/>
      <c r="I250" s="93">
        <v>0</v>
      </c>
      <c r="J250" s="93">
        <v>2691253</v>
      </c>
      <c r="K250" s="93">
        <v>693721</v>
      </c>
      <c r="L250" s="92">
        <v>35133</v>
      </c>
      <c r="M250" s="92"/>
      <c r="N250" s="93">
        <v>222316</v>
      </c>
      <c r="O250" s="93">
        <v>1013666</v>
      </c>
      <c r="P250" s="93">
        <v>0</v>
      </c>
      <c r="Q250" s="92">
        <v>44488</v>
      </c>
      <c r="R250" s="92"/>
      <c r="S250" s="93">
        <v>901214</v>
      </c>
      <c r="T250" s="94">
        <v>-6383</v>
      </c>
      <c r="U250" s="94">
        <v>894832</v>
      </c>
    </row>
    <row r="251" spans="1:21">
      <c r="A251" s="89">
        <v>38000</v>
      </c>
      <c r="B251" s="90" t="s">
        <v>234</v>
      </c>
      <c r="C251" s="97">
        <v>7.1815000000000004E-3</v>
      </c>
      <c r="D251" s="97">
        <v>7.1176E-3</v>
      </c>
      <c r="E251" s="92">
        <v>8836148.3300000001</v>
      </c>
      <c r="F251" s="92">
        <v>26229765</v>
      </c>
      <c r="G251" s="92">
        <v>66005403</v>
      </c>
      <c r="H251" s="92"/>
      <c r="I251" s="93">
        <v>0</v>
      </c>
      <c r="J251" s="93">
        <v>37763250</v>
      </c>
      <c r="K251" s="93">
        <v>9734193</v>
      </c>
      <c r="L251" s="92">
        <v>0</v>
      </c>
      <c r="M251" s="92"/>
      <c r="N251" s="93">
        <v>3119507</v>
      </c>
      <c r="O251" s="93">
        <v>14223607</v>
      </c>
      <c r="P251" s="93">
        <v>0</v>
      </c>
      <c r="Q251" s="92">
        <v>1444366</v>
      </c>
      <c r="R251" s="92"/>
      <c r="S251" s="93">
        <v>12645702</v>
      </c>
      <c r="T251" s="94">
        <v>-730520</v>
      </c>
      <c r="U251" s="94">
        <v>11915182</v>
      </c>
    </row>
    <row r="252" spans="1:21">
      <c r="A252" s="89">
        <v>38005</v>
      </c>
      <c r="B252" s="90" t="s">
        <v>235</v>
      </c>
      <c r="C252" s="97">
        <v>1.4989000000000001E-3</v>
      </c>
      <c r="D252" s="97">
        <v>1.4445E-3</v>
      </c>
      <c r="E252" s="92">
        <v>1905174.84</v>
      </c>
      <c r="F252" s="92">
        <v>5323269</v>
      </c>
      <c r="G252" s="92">
        <v>13776439</v>
      </c>
      <c r="H252" s="92"/>
      <c r="I252" s="93">
        <v>0</v>
      </c>
      <c r="J252" s="93">
        <v>7881826</v>
      </c>
      <c r="K252" s="93">
        <v>2031690</v>
      </c>
      <c r="L252" s="92">
        <v>397636</v>
      </c>
      <c r="M252" s="92"/>
      <c r="N252" s="93">
        <v>651094</v>
      </c>
      <c r="O252" s="93">
        <v>2968706</v>
      </c>
      <c r="P252" s="93">
        <v>0</v>
      </c>
      <c r="Q252" s="92">
        <v>0</v>
      </c>
      <c r="R252" s="92"/>
      <c r="S252" s="93">
        <v>2639371</v>
      </c>
      <c r="T252" s="94">
        <v>152911</v>
      </c>
      <c r="U252" s="94">
        <v>2792282</v>
      </c>
    </row>
    <row r="253" spans="1:21">
      <c r="A253" s="89">
        <v>38100</v>
      </c>
      <c r="B253" s="90" t="s">
        <v>236</v>
      </c>
      <c r="C253" s="97">
        <v>3.3161000000000002E-3</v>
      </c>
      <c r="D253" s="97">
        <v>3.3126000000000002E-3</v>
      </c>
      <c r="E253" s="92">
        <v>4178328.9000000004</v>
      </c>
      <c r="F253" s="92">
        <v>12207587</v>
      </c>
      <c r="G253" s="92">
        <v>30478385</v>
      </c>
      <c r="H253" s="92"/>
      <c r="I253" s="93">
        <v>0</v>
      </c>
      <c r="J253" s="93">
        <v>17437403</v>
      </c>
      <c r="K253" s="93">
        <v>4494821</v>
      </c>
      <c r="L253" s="92">
        <v>0</v>
      </c>
      <c r="M253" s="92"/>
      <c r="N253" s="93">
        <v>1440451</v>
      </c>
      <c r="O253" s="93">
        <v>6567834</v>
      </c>
      <c r="P253" s="93">
        <v>0</v>
      </c>
      <c r="Q253" s="92">
        <v>504299</v>
      </c>
      <c r="R253" s="92"/>
      <c r="S253" s="93">
        <v>5839228</v>
      </c>
      <c r="T253" s="94">
        <v>-258290</v>
      </c>
      <c r="U253" s="94">
        <v>5580938</v>
      </c>
    </row>
    <row r="254" spans="1:21">
      <c r="A254" s="89">
        <v>38105</v>
      </c>
      <c r="B254" s="90" t="s">
        <v>237</v>
      </c>
      <c r="C254" s="97">
        <v>6.8400000000000004E-4</v>
      </c>
      <c r="D254" s="97">
        <v>6.8559999999999997E-4</v>
      </c>
      <c r="E254" s="92">
        <v>857933.99</v>
      </c>
      <c r="F254" s="92">
        <v>2526572</v>
      </c>
      <c r="G254" s="92">
        <v>6286667</v>
      </c>
      <c r="H254" s="92"/>
      <c r="I254" s="93">
        <v>0</v>
      </c>
      <c r="J254" s="93">
        <v>3596750</v>
      </c>
      <c r="K254" s="93">
        <v>927131</v>
      </c>
      <c r="L254" s="92">
        <v>0</v>
      </c>
      <c r="M254" s="92"/>
      <c r="N254" s="93">
        <v>297117</v>
      </c>
      <c r="O254" s="93">
        <v>1354723.56</v>
      </c>
      <c r="P254" s="93">
        <v>0</v>
      </c>
      <c r="Q254" s="92">
        <v>82858</v>
      </c>
      <c r="R254" s="92"/>
      <c r="S254" s="93">
        <v>1204436</v>
      </c>
      <c r="T254" s="94">
        <v>-32836</v>
      </c>
      <c r="U254" s="94">
        <v>1171600</v>
      </c>
    </row>
    <row r="255" spans="1:21">
      <c r="A255" s="89">
        <v>38200</v>
      </c>
      <c r="B255" s="90" t="s">
        <v>238</v>
      </c>
      <c r="C255" s="97">
        <v>3.2125000000000001E-3</v>
      </c>
      <c r="D255" s="97">
        <v>3.2916E-3</v>
      </c>
      <c r="E255" s="92">
        <v>3908534.33</v>
      </c>
      <c r="F255" s="92">
        <v>12130198</v>
      </c>
      <c r="G255" s="92">
        <v>29526194</v>
      </c>
      <c r="H255" s="92"/>
      <c r="I255" s="93">
        <v>0</v>
      </c>
      <c r="J255" s="93">
        <v>16892632</v>
      </c>
      <c r="K255" s="93">
        <v>4354396</v>
      </c>
      <c r="L255" s="92">
        <v>50250</v>
      </c>
      <c r="M255" s="92"/>
      <c r="N255" s="93">
        <v>1395449</v>
      </c>
      <c r="O255" s="93">
        <v>6362645</v>
      </c>
      <c r="P255" s="93">
        <v>0</v>
      </c>
      <c r="Q255" s="92">
        <v>470033</v>
      </c>
      <c r="R255" s="92"/>
      <c r="S255" s="93">
        <v>5656801</v>
      </c>
      <c r="T255" s="94">
        <v>-111871</v>
      </c>
      <c r="U255" s="94">
        <v>5544930</v>
      </c>
    </row>
    <row r="256" spans="1:21">
      <c r="A256" s="89">
        <v>38205</v>
      </c>
      <c r="B256" s="90" t="s">
        <v>239</v>
      </c>
      <c r="C256" s="97">
        <v>4.5439999999999999E-4</v>
      </c>
      <c r="D256" s="97">
        <v>4.5619999999999998E-4</v>
      </c>
      <c r="E256" s="92">
        <v>624809.80999999994</v>
      </c>
      <c r="F256" s="92">
        <v>1681187</v>
      </c>
      <c r="G256" s="92">
        <v>4176405</v>
      </c>
      <c r="H256" s="92"/>
      <c r="I256" s="93">
        <v>0</v>
      </c>
      <c r="J256" s="93">
        <v>2389420</v>
      </c>
      <c r="K256" s="93">
        <v>615918</v>
      </c>
      <c r="L256" s="92">
        <v>30018</v>
      </c>
      <c r="M256" s="92"/>
      <c r="N256" s="93">
        <v>197383</v>
      </c>
      <c r="O256" s="93">
        <v>899980</v>
      </c>
      <c r="P256" s="93">
        <v>0</v>
      </c>
      <c r="Q256" s="92">
        <v>84868</v>
      </c>
      <c r="R256" s="92"/>
      <c r="S256" s="93">
        <v>800140</v>
      </c>
      <c r="T256" s="94">
        <v>-26192</v>
      </c>
      <c r="U256" s="94">
        <v>773948</v>
      </c>
    </row>
    <row r="257" spans="1:21">
      <c r="A257" s="89">
        <v>38210</v>
      </c>
      <c r="B257" s="90" t="s">
        <v>240</v>
      </c>
      <c r="C257" s="97">
        <v>1.1793000000000001E-3</v>
      </c>
      <c r="D257" s="97">
        <v>1.1485E-3</v>
      </c>
      <c r="E257" s="92">
        <v>1417451.14</v>
      </c>
      <c r="F257" s="92">
        <v>4232450</v>
      </c>
      <c r="G257" s="92">
        <v>10838985</v>
      </c>
      <c r="H257" s="92"/>
      <c r="I257" s="93">
        <v>0</v>
      </c>
      <c r="J257" s="93">
        <v>6201239</v>
      </c>
      <c r="K257" s="93">
        <v>1598487</v>
      </c>
      <c r="L257" s="92">
        <v>87673</v>
      </c>
      <c r="M257" s="92"/>
      <c r="N257" s="93">
        <v>512266</v>
      </c>
      <c r="O257" s="93">
        <v>2335710</v>
      </c>
      <c r="P257" s="93">
        <v>0</v>
      </c>
      <c r="Q257" s="92">
        <v>62799</v>
      </c>
      <c r="R257" s="92"/>
      <c r="S257" s="93">
        <v>2076596</v>
      </c>
      <c r="T257" s="94">
        <v>13103</v>
      </c>
      <c r="U257" s="94">
        <v>2089699</v>
      </c>
    </row>
    <row r="258" spans="1:21">
      <c r="A258" s="89">
        <v>38300</v>
      </c>
      <c r="B258" s="90" t="s">
        <v>241</v>
      </c>
      <c r="C258" s="97">
        <v>2.5320999999999998E-3</v>
      </c>
      <c r="D258" s="97">
        <v>2.5233E-3</v>
      </c>
      <c r="E258" s="92">
        <v>3100456.2</v>
      </c>
      <c r="F258" s="92">
        <v>9298860</v>
      </c>
      <c r="G258" s="92">
        <v>23272615</v>
      </c>
      <c r="H258" s="92"/>
      <c r="I258" s="93">
        <v>0</v>
      </c>
      <c r="J258" s="93">
        <v>13314812</v>
      </c>
      <c r="K258" s="93">
        <v>3432145</v>
      </c>
      <c r="L258" s="92">
        <v>0</v>
      </c>
      <c r="M258" s="92"/>
      <c r="N258" s="93">
        <v>1099896</v>
      </c>
      <c r="O258" s="93">
        <v>5015052</v>
      </c>
      <c r="P258" s="93">
        <v>0</v>
      </c>
      <c r="Q258" s="92">
        <v>502401</v>
      </c>
      <c r="R258" s="92"/>
      <c r="S258" s="93">
        <v>4458704</v>
      </c>
      <c r="T258" s="94">
        <v>-260227</v>
      </c>
      <c r="U258" s="94">
        <v>4198477</v>
      </c>
    </row>
    <row r="259" spans="1:21">
      <c r="A259" s="89">
        <v>38400</v>
      </c>
      <c r="B259" s="90" t="s">
        <v>242</v>
      </c>
      <c r="C259" s="97">
        <v>3.1153999999999999E-3</v>
      </c>
      <c r="D259" s="97">
        <v>3.2049000000000001E-3</v>
      </c>
      <c r="E259" s="92">
        <v>3816257.2099999995</v>
      </c>
      <c r="F259" s="92">
        <v>11810691</v>
      </c>
      <c r="G259" s="92">
        <v>28633744</v>
      </c>
      <c r="H259" s="92"/>
      <c r="I259" s="93">
        <v>0</v>
      </c>
      <c r="J259" s="93">
        <v>16382041</v>
      </c>
      <c r="K259" s="93">
        <v>4222781</v>
      </c>
      <c r="L259" s="92">
        <v>8437</v>
      </c>
      <c r="M259" s="92"/>
      <c r="N259" s="93">
        <v>1353271</v>
      </c>
      <c r="O259" s="93">
        <v>6170330</v>
      </c>
      <c r="P259" s="93">
        <v>0</v>
      </c>
      <c r="Q259" s="92">
        <v>840268</v>
      </c>
      <c r="R259" s="92"/>
      <c r="S259" s="93">
        <v>5485821</v>
      </c>
      <c r="T259" s="94">
        <v>-349814</v>
      </c>
      <c r="U259" s="94">
        <v>5136006</v>
      </c>
    </row>
    <row r="260" spans="1:21">
      <c r="A260" s="89">
        <v>38402</v>
      </c>
      <c r="B260" s="90" t="s">
        <v>243</v>
      </c>
      <c r="C260" s="97">
        <v>1.052E-4</v>
      </c>
      <c r="D260" s="97">
        <v>1.086E-4</v>
      </c>
      <c r="E260" s="92">
        <v>126613.90000000001</v>
      </c>
      <c r="F260" s="92">
        <v>400213</v>
      </c>
      <c r="G260" s="92">
        <v>966897</v>
      </c>
      <c r="H260" s="92"/>
      <c r="I260" s="93">
        <v>0</v>
      </c>
      <c r="J260" s="93">
        <v>553184</v>
      </c>
      <c r="K260" s="93">
        <v>142594</v>
      </c>
      <c r="L260" s="92">
        <v>20431</v>
      </c>
      <c r="M260" s="92"/>
      <c r="N260" s="93">
        <v>45697</v>
      </c>
      <c r="O260" s="93">
        <v>208358</v>
      </c>
      <c r="P260" s="93">
        <v>0</v>
      </c>
      <c r="Q260" s="92">
        <v>28487</v>
      </c>
      <c r="R260" s="92"/>
      <c r="S260" s="93">
        <v>185244</v>
      </c>
      <c r="T260" s="94">
        <v>2192</v>
      </c>
      <c r="U260" s="94">
        <v>187435</v>
      </c>
    </row>
    <row r="261" spans="1:21">
      <c r="A261" s="89">
        <v>38405</v>
      </c>
      <c r="B261" s="90" t="s">
        <v>244</v>
      </c>
      <c r="C261" s="97">
        <v>7.6369999999999997E-4</v>
      </c>
      <c r="D261" s="97">
        <v>7.5730000000000003E-4</v>
      </c>
      <c r="E261" s="92">
        <v>927482.5</v>
      </c>
      <c r="F261" s="92">
        <v>2790800</v>
      </c>
      <c r="G261" s="92">
        <v>7019192</v>
      </c>
      <c r="H261" s="92"/>
      <c r="I261" s="93">
        <v>0</v>
      </c>
      <c r="J261" s="93">
        <v>4015845</v>
      </c>
      <c r="K261" s="93">
        <v>1035160</v>
      </c>
      <c r="L261" s="92">
        <v>0</v>
      </c>
      <c r="M261" s="92"/>
      <c r="N261" s="93">
        <v>331737</v>
      </c>
      <c r="O261" s="93">
        <v>1512577</v>
      </c>
      <c r="P261" s="93">
        <v>0</v>
      </c>
      <c r="Q261" s="92">
        <v>136046</v>
      </c>
      <c r="R261" s="92"/>
      <c r="S261" s="93">
        <v>1344778</v>
      </c>
      <c r="T261" s="94">
        <v>-58469</v>
      </c>
      <c r="U261" s="94">
        <v>1286309</v>
      </c>
    </row>
    <row r="262" spans="1:21">
      <c r="A262" s="89">
        <v>38500</v>
      </c>
      <c r="B262" s="90" t="s">
        <v>245</v>
      </c>
      <c r="C262" s="97">
        <v>2.4922999999999998E-3</v>
      </c>
      <c r="D262" s="97">
        <v>2.5734E-3</v>
      </c>
      <c r="E262" s="92">
        <v>3070391.3</v>
      </c>
      <c r="F262" s="92">
        <v>9483489</v>
      </c>
      <c r="G262" s="92">
        <v>22906812</v>
      </c>
      <c r="H262" s="92"/>
      <c r="I262" s="93">
        <v>0</v>
      </c>
      <c r="J262" s="93">
        <v>13105528</v>
      </c>
      <c r="K262" s="93">
        <v>3378198</v>
      </c>
      <c r="L262" s="92">
        <v>0</v>
      </c>
      <c r="M262" s="92"/>
      <c r="N262" s="93">
        <v>1082608</v>
      </c>
      <c r="O262" s="93">
        <v>4936224</v>
      </c>
      <c r="P262" s="93">
        <v>0</v>
      </c>
      <c r="Q262" s="92">
        <v>683080</v>
      </c>
      <c r="R262" s="92"/>
      <c r="S262" s="93">
        <v>4388621</v>
      </c>
      <c r="T262" s="94">
        <v>-246507</v>
      </c>
      <c r="U262" s="94">
        <v>4142115</v>
      </c>
    </row>
    <row r="263" spans="1:21">
      <c r="A263" s="89">
        <v>38600</v>
      </c>
      <c r="B263" s="90" t="s">
        <v>246</v>
      </c>
      <c r="C263" s="97">
        <v>3.0961000000000001E-3</v>
      </c>
      <c r="D263" s="97">
        <v>3.1337000000000001E-3</v>
      </c>
      <c r="E263" s="92">
        <v>3785122.2700000005</v>
      </c>
      <c r="F263" s="92">
        <v>11548305</v>
      </c>
      <c r="G263" s="92">
        <v>28456357</v>
      </c>
      <c r="H263" s="92"/>
      <c r="I263" s="93">
        <v>0</v>
      </c>
      <c r="J263" s="93">
        <v>16280554</v>
      </c>
      <c r="K263" s="93">
        <v>4196621</v>
      </c>
      <c r="L263" s="92">
        <v>4145</v>
      </c>
      <c r="M263" s="92"/>
      <c r="N263" s="93">
        <v>1344887</v>
      </c>
      <c r="O263" s="93">
        <v>6132105</v>
      </c>
      <c r="P263" s="93">
        <v>0</v>
      </c>
      <c r="Q263" s="92">
        <v>634452</v>
      </c>
      <c r="R263" s="92"/>
      <c r="S263" s="93">
        <v>5451836</v>
      </c>
      <c r="T263" s="94">
        <v>-284523</v>
      </c>
      <c r="U263" s="94">
        <v>5167312</v>
      </c>
    </row>
    <row r="264" spans="1:21">
      <c r="A264" s="89">
        <v>38601</v>
      </c>
      <c r="B264" s="90" t="s">
        <v>247</v>
      </c>
      <c r="C264" s="97">
        <v>4.1300000000000001E-5</v>
      </c>
      <c r="D264" s="97">
        <v>4.0399999999999999E-5</v>
      </c>
      <c r="E264" s="92">
        <v>45523.1</v>
      </c>
      <c r="F264" s="92">
        <v>148882</v>
      </c>
      <c r="G264" s="92">
        <v>379590</v>
      </c>
      <c r="H264" s="92"/>
      <c r="I264" s="93">
        <v>0</v>
      </c>
      <c r="J264" s="93">
        <v>217172</v>
      </c>
      <c r="K264" s="93">
        <v>55980</v>
      </c>
      <c r="L264" s="92">
        <v>23619</v>
      </c>
      <c r="M264" s="92"/>
      <c r="N264" s="93">
        <v>17940</v>
      </c>
      <c r="O264" s="93">
        <v>81798</v>
      </c>
      <c r="P264" s="93">
        <v>0</v>
      </c>
      <c r="Q264" s="92">
        <v>2305</v>
      </c>
      <c r="R264" s="92"/>
      <c r="S264" s="93">
        <v>72724</v>
      </c>
      <c r="T264" s="94">
        <v>9992</v>
      </c>
      <c r="U264" s="94">
        <v>82716</v>
      </c>
    </row>
    <row r="265" spans="1:21">
      <c r="A265" s="89">
        <v>38602</v>
      </c>
      <c r="B265" s="90" t="s">
        <v>248</v>
      </c>
      <c r="C265" s="97">
        <v>1.83E-4</v>
      </c>
      <c r="D265" s="97">
        <v>1.717E-4</v>
      </c>
      <c r="E265" s="92">
        <v>227788.36999999997</v>
      </c>
      <c r="F265" s="92">
        <v>632748</v>
      </c>
      <c r="G265" s="92">
        <v>1681959</v>
      </c>
      <c r="H265" s="92"/>
      <c r="I265" s="93">
        <v>0</v>
      </c>
      <c r="J265" s="93">
        <v>962288</v>
      </c>
      <c r="K265" s="93">
        <v>248048</v>
      </c>
      <c r="L265" s="92">
        <v>98125</v>
      </c>
      <c r="M265" s="92"/>
      <c r="N265" s="93">
        <v>79492</v>
      </c>
      <c r="O265" s="93">
        <v>362448</v>
      </c>
      <c r="P265" s="93">
        <v>0</v>
      </c>
      <c r="Q265" s="92">
        <v>0</v>
      </c>
      <c r="R265" s="92"/>
      <c r="S265" s="93">
        <v>322240</v>
      </c>
      <c r="T265" s="94">
        <v>34463</v>
      </c>
      <c r="U265" s="94">
        <v>356702</v>
      </c>
    </row>
    <row r="266" spans="1:21">
      <c r="A266" s="89">
        <v>38605</v>
      </c>
      <c r="B266" s="90" t="s">
        <v>249</v>
      </c>
      <c r="C266" s="97">
        <v>8.5070000000000002E-4</v>
      </c>
      <c r="D266" s="97">
        <v>8.4349999999999996E-4</v>
      </c>
      <c r="E266" s="92">
        <v>1074563.79</v>
      </c>
      <c r="F266" s="92">
        <v>3108465</v>
      </c>
      <c r="G266" s="92">
        <v>7818812</v>
      </c>
      <c r="H266" s="92"/>
      <c r="I266" s="93">
        <v>0</v>
      </c>
      <c r="J266" s="93">
        <v>4473327</v>
      </c>
      <c r="K266" s="93">
        <v>1153085</v>
      </c>
      <c r="L266" s="92">
        <v>56750</v>
      </c>
      <c r="M266" s="92"/>
      <c r="N266" s="93">
        <v>369528</v>
      </c>
      <c r="O266" s="93">
        <v>1684888</v>
      </c>
      <c r="P266" s="93">
        <v>0</v>
      </c>
      <c r="Q266" s="92">
        <v>42459</v>
      </c>
      <c r="R266" s="92"/>
      <c r="S266" s="93">
        <v>1497974</v>
      </c>
      <c r="T266" s="94">
        <v>10204</v>
      </c>
      <c r="U266" s="94">
        <v>1508178</v>
      </c>
    </row>
    <row r="267" spans="1:21">
      <c r="A267" s="89">
        <v>38610</v>
      </c>
      <c r="B267" s="90" t="s">
        <v>250</v>
      </c>
      <c r="C267" s="97">
        <v>6.2620000000000004E-4</v>
      </c>
      <c r="D267" s="97">
        <v>6.401E-4</v>
      </c>
      <c r="E267" s="92">
        <v>827029.58</v>
      </c>
      <c r="F267" s="92">
        <v>2358895</v>
      </c>
      <c r="G267" s="92">
        <v>5755425</v>
      </c>
      <c r="H267" s="92"/>
      <c r="I267" s="93">
        <v>0</v>
      </c>
      <c r="J267" s="93">
        <v>3292814</v>
      </c>
      <c r="K267" s="93">
        <v>848785</v>
      </c>
      <c r="L267" s="92">
        <v>36605</v>
      </c>
      <c r="M267" s="92"/>
      <c r="N267" s="93">
        <v>272009</v>
      </c>
      <c r="O267" s="93">
        <v>1240245</v>
      </c>
      <c r="P267" s="93">
        <v>0</v>
      </c>
      <c r="Q267" s="92">
        <v>26746</v>
      </c>
      <c r="R267" s="92"/>
      <c r="S267" s="93">
        <v>1102658</v>
      </c>
      <c r="T267" s="94">
        <v>12621</v>
      </c>
      <c r="U267" s="94">
        <v>1115279</v>
      </c>
    </row>
    <row r="268" spans="1:21">
      <c r="A268" s="89">
        <v>38620</v>
      </c>
      <c r="B268" s="90" t="s">
        <v>251</v>
      </c>
      <c r="C268" s="97">
        <v>5.3479999999999999E-4</v>
      </c>
      <c r="D268" s="97">
        <v>5.2720000000000002E-4</v>
      </c>
      <c r="E268" s="92">
        <v>666269.61</v>
      </c>
      <c r="F268" s="92">
        <v>1942836</v>
      </c>
      <c r="G268" s="92">
        <v>4915364</v>
      </c>
      <c r="H268" s="92"/>
      <c r="I268" s="93">
        <v>0</v>
      </c>
      <c r="J268" s="93">
        <v>2812196</v>
      </c>
      <c r="K268" s="93">
        <v>724897</v>
      </c>
      <c r="L268" s="92">
        <v>100747</v>
      </c>
      <c r="M268" s="92"/>
      <c r="N268" s="93">
        <v>232307</v>
      </c>
      <c r="O268" s="93">
        <v>1059220</v>
      </c>
      <c r="P268" s="93">
        <v>0</v>
      </c>
      <c r="Q268" s="92">
        <v>0</v>
      </c>
      <c r="R268" s="92"/>
      <c r="S268" s="93">
        <v>941714</v>
      </c>
      <c r="T268" s="94">
        <v>39081</v>
      </c>
      <c r="U268" s="94">
        <v>980795</v>
      </c>
    </row>
    <row r="269" spans="1:21">
      <c r="A269" s="89">
        <v>38700</v>
      </c>
      <c r="B269" s="90" t="s">
        <v>252</v>
      </c>
      <c r="C269" s="97">
        <v>9.167E-4</v>
      </c>
      <c r="D269" s="97">
        <v>8.9820000000000004E-4</v>
      </c>
      <c r="E269" s="92">
        <v>1134767.1400000001</v>
      </c>
      <c r="F269" s="92">
        <v>3310045</v>
      </c>
      <c r="G269" s="92">
        <v>8425420</v>
      </c>
      <c r="H269" s="92"/>
      <c r="I269" s="93">
        <v>0</v>
      </c>
      <c r="J269" s="93">
        <v>4820382</v>
      </c>
      <c r="K269" s="93">
        <v>1242545</v>
      </c>
      <c r="L269" s="92">
        <v>221072</v>
      </c>
      <c r="M269" s="92"/>
      <c r="N269" s="93">
        <v>398197</v>
      </c>
      <c r="O269" s="93">
        <v>1815607</v>
      </c>
      <c r="P269" s="93">
        <v>0</v>
      </c>
      <c r="Q269" s="92">
        <v>0</v>
      </c>
      <c r="R269" s="92"/>
      <c r="S269" s="93">
        <v>1614191</v>
      </c>
      <c r="T269" s="94">
        <v>87744</v>
      </c>
      <c r="U269" s="94">
        <v>1701935</v>
      </c>
    </row>
    <row r="270" spans="1:21">
      <c r="A270" s="89">
        <v>38701</v>
      </c>
      <c r="B270" s="90" t="s">
        <v>253</v>
      </c>
      <c r="C270" s="97">
        <v>6.2899999999999997E-5</v>
      </c>
      <c r="D270" s="97">
        <v>6.0099999999999997E-5</v>
      </c>
      <c r="E270" s="92">
        <v>75743.73000000001</v>
      </c>
      <c r="F270" s="92">
        <v>221480</v>
      </c>
      <c r="G270" s="92">
        <v>578116</v>
      </c>
      <c r="H270" s="92"/>
      <c r="I270" s="93">
        <v>0</v>
      </c>
      <c r="J270" s="93">
        <v>330754</v>
      </c>
      <c r="K270" s="93">
        <v>85258</v>
      </c>
      <c r="L270" s="92">
        <v>6477</v>
      </c>
      <c r="M270" s="92"/>
      <c r="N270" s="93">
        <v>27323</v>
      </c>
      <c r="O270" s="93">
        <v>124579</v>
      </c>
      <c r="P270" s="93">
        <v>0</v>
      </c>
      <c r="Q270" s="92">
        <v>34487</v>
      </c>
      <c r="R270" s="92"/>
      <c r="S270" s="93">
        <v>110759</v>
      </c>
      <c r="T270" s="94">
        <v>-14978</v>
      </c>
      <c r="U270" s="94">
        <v>95781</v>
      </c>
    </row>
    <row r="271" spans="1:21">
      <c r="A271" s="89">
        <v>38800</v>
      </c>
      <c r="B271" s="90" t="s">
        <v>254</v>
      </c>
      <c r="C271" s="97">
        <v>1.5732999999999999E-3</v>
      </c>
      <c r="D271" s="97">
        <v>1.5524E-3</v>
      </c>
      <c r="E271" s="92">
        <v>1931735.9200000002</v>
      </c>
      <c r="F271" s="92">
        <v>5720901</v>
      </c>
      <c r="G271" s="92">
        <v>14460252</v>
      </c>
      <c r="H271" s="92"/>
      <c r="I271" s="93">
        <v>0</v>
      </c>
      <c r="J271" s="93">
        <v>8273052</v>
      </c>
      <c r="K271" s="93">
        <v>2132536</v>
      </c>
      <c r="L271" s="92">
        <v>129136</v>
      </c>
      <c r="M271" s="92"/>
      <c r="N271" s="93">
        <v>683412</v>
      </c>
      <c r="O271" s="93">
        <v>3116062</v>
      </c>
      <c r="P271" s="93">
        <v>0</v>
      </c>
      <c r="Q271" s="92">
        <v>22708</v>
      </c>
      <c r="R271" s="92"/>
      <c r="S271" s="93">
        <v>2770380</v>
      </c>
      <c r="T271" s="94">
        <v>34965</v>
      </c>
      <c r="U271" s="94">
        <v>2805345</v>
      </c>
    </row>
    <row r="272" spans="1:21">
      <c r="A272" s="89">
        <v>38801</v>
      </c>
      <c r="B272" s="90" t="s">
        <v>255</v>
      </c>
      <c r="C272" s="97">
        <v>1.1069999999999999E-4</v>
      </c>
      <c r="D272" s="97">
        <v>8.8300000000000005E-5</v>
      </c>
      <c r="E272" s="92">
        <v>110631.39000000001</v>
      </c>
      <c r="F272" s="92">
        <v>325403</v>
      </c>
      <c r="G272" s="92">
        <v>1017447</v>
      </c>
      <c r="H272" s="92"/>
      <c r="I272" s="93">
        <v>0</v>
      </c>
      <c r="J272" s="93">
        <v>582106</v>
      </c>
      <c r="K272" s="93">
        <v>150049</v>
      </c>
      <c r="L272" s="92">
        <v>109390</v>
      </c>
      <c r="M272" s="92"/>
      <c r="N272" s="93">
        <v>48086</v>
      </c>
      <c r="O272" s="93">
        <v>219251</v>
      </c>
      <c r="P272" s="93">
        <v>0</v>
      </c>
      <c r="Q272" s="92">
        <v>32694</v>
      </c>
      <c r="R272" s="92"/>
      <c r="S272" s="93">
        <v>194929</v>
      </c>
      <c r="T272" s="94">
        <v>33636</v>
      </c>
      <c r="U272" s="94">
        <v>228564</v>
      </c>
    </row>
    <row r="273" spans="1:21">
      <c r="A273" s="89">
        <v>38900</v>
      </c>
      <c r="B273" s="90" t="s">
        <v>256</v>
      </c>
      <c r="C273" s="97">
        <v>3.5940000000000001E-4</v>
      </c>
      <c r="D273" s="97">
        <v>3.3260000000000001E-4</v>
      </c>
      <c r="E273" s="92">
        <v>405249.82999999996</v>
      </c>
      <c r="F273" s="92">
        <v>1225697</v>
      </c>
      <c r="G273" s="92">
        <v>3303257</v>
      </c>
      <c r="H273" s="92"/>
      <c r="I273" s="93">
        <v>0</v>
      </c>
      <c r="J273" s="93">
        <v>1889871</v>
      </c>
      <c r="K273" s="93">
        <v>487150</v>
      </c>
      <c r="L273" s="92">
        <v>70964</v>
      </c>
      <c r="M273" s="92"/>
      <c r="N273" s="93">
        <v>156117</v>
      </c>
      <c r="O273" s="93">
        <v>711824</v>
      </c>
      <c r="P273" s="93">
        <v>0</v>
      </c>
      <c r="Q273" s="92">
        <v>48740</v>
      </c>
      <c r="R273" s="92"/>
      <c r="S273" s="93">
        <v>632857</v>
      </c>
      <c r="T273" s="94">
        <v>-5200</v>
      </c>
      <c r="U273" s="94">
        <v>627658</v>
      </c>
    </row>
    <row r="274" spans="1:21">
      <c r="A274" s="89">
        <v>39000</v>
      </c>
      <c r="B274" s="90" t="s">
        <v>257</v>
      </c>
      <c r="C274" s="97">
        <v>1.5830199999999999E-2</v>
      </c>
      <c r="D274" s="97">
        <v>1.5730299999999999E-2</v>
      </c>
      <c r="E274" s="92">
        <v>18695918.549999997</v>
      </c>
      <c r="F274" s="92">
        <v>57969270</v>
      </c>
      <c r="G274" s="92">
        <v>145495891</v>
      </c>
      <c r="H274" s="92"/>
      <c r="I274" s="93">
        <v>0</v>
      </c>
      <c r="J274" s="93">
        <v>83241634</v>
      </c>
      <c r="K274" s="93">
        <v>21457108</v>
      </c>
      <c r="L274" s="92">
        <v>643682</v>
      </c>
      <c r="M274" s="92"/>
      <c r="N274" s="93">
        <v>6876338</v>
      </c>
      <c r="O274" s="93">
        <v>31353136</v>
      </c>
      <c r="P274" s="93">
        <v>0</v>
      </c>
      <c r="Q274" s="92">
        <v>1707340</v>
      </c>
      <c r="R274" s="92"/>
      <c r="S274" s="93">
        <v>27874956</v>
      </c>
      <c r="T274" s="94">
        <v>-497104</v>
      </c>
      <c r="U274" s="94">
        <v>27377852</v>
      </c>
    </row>
    <row r="275" spans="1:21">
      <c r="A275" s="89">
        <v>39100</v>
      </c>
      <c r="B275" s="90" t="s">
        <v>258</v>
      </c>
      <c r="C275" s="97">
        <v>2.4624E-3</v>
      </c>
      <c r="D275" s="97">
        <v>2.5027999999999999E-3</v>
      </c>
      <c r="E275" s="92">
        <v>3305539.8199999994</v>
      </c>
      <c r="F275" s="92">
        <v>9223314</v>
      </c>
      <c r="G275" s="92">
        <v>22632000</v>
      </c>
      <c r="H275" s="92"/>
      <c r="I275" s="93">
        <v>0</v>
      </c>
      <c r="J275" s="93">
        <v>12948301</v>
      </c>
      <c r="K275" s="93">
        <v>3337670</v>
      </c>
      <c r="L275" s="92">
        <v>0</v>
      </c>
      <c r="M275" s="92"/>
      <c r="N275" s="93">
        <v>1069620</v>
      </c>
      <c r="O275" s="93">
        <v>4877005</v>
      </c>
      <c r="P275" s="93">
        <v>0</v>
      </c>
      <c r="Q275" s="92">
        <v>135880</v>
      </c>
      <c r="R275" s="92"/>
      <c r="S275" s="93">
        <v>4335971</v>
      </c>
      <c r="T275" s="94">
        <v>-73101</v>
      </c>
      <c r="U275" s="94">
        <v>4262870</v>
      </c>
    </row>
    <row r="276" spans="1:21">
      <c r="A276" s="89">
        <v>39101</v>
      </c>
      <c r="B276" s="90" t="s">
        <v>259</v>
      </c>
      <c r="C276" s="97">
        <v>1.7560000000000001E-4</v>
      </c>
      <c r="D276" s="97">
        <v>1.75E-4</v>
      </c>
      <c r="E276" s="92">
        <v>214530.62</v>
      </c>
      <c r="F276" s="92">
        <v>644909.65</v>
      </c>
      <c r="G276" s="92">
        <v>1613945</v>
      </c>
      <c r="H276" s="92"/>
      <c r="I276" s="93">
        <v>0</v>
      </c>
      <c r="J276" s="93">
        <v>923376</v>
      </c>
      <c r="K276" s="93">
        <v>238018</v>
      </c>
      <c r="L276" s="92">
        <v>0</v>
      </c>
      <c r="M276" s="92"/>
      <c r="N276" s="93">
        <v>76277</v>
      </c>
      <c r="O276" s="93">
        <v>347792</v>
      </c>
      <c r="P276" s="93">
        <v>0</v>
      </c>
      <c r="Q276" s="92">
        <v>26692</v>
      </c>
      <c r="R276" s="92"/>
      <c r="S276" s="93">
        <v>309209</v>
      </c>
      <c r="T276" s="94">
        <v>-10852</v>
      </c>
      <c r="U276" s="94">
        <v>298357</v>
      </c>
    </row>
    <row r="277" spans="1:21">
      <c r="A277" s="89">
        <v>39105</v>
      </c>
      <c r="B277" s="90" t="s">
        <v>260</v>
      </c>
      <c r="C277" s="97">
        <v>1.0095E-3</v>
      </c>
      <c r="D277" s="97">
        <v>1.0374E-3</v>
      </c>
      <c r="E277" s="92">
        <v>1313777.6500000004</v>
      </c>
      <c r="F277" s="92">
        <v>3823024</v>
      </c>
      <c r="G277" s="92">
        <v>9278348</v>
      </c>
      <c r="H277" s="92"/>
      <c r="I277" s="93">
        <v>0</v>
      </c>
      <c r="J277" s="93">
        <v>5308362</v>
      </c>
      <c r="K277" s="93">
        <v>1368331</v>
      </c>
      <c r="L277" s="92">
        <v>90010</v>
      </c>
      <c r="M277" s="92"/>
      <c r="N277" s="93">
        <v>438508</v>
      </c>
      <c r="O277" s="93">
        <v>1999406</v>
      </c>
      <c r="P277" s="93">
        <v>0</v>
      </c>
      <c r="Q277" s="92">
        <v>74735</v>
      </c>
      <c r="R277" s="92"/>
      <c r="S277" s="93">
        <v>1777600</v>
      </c>
      <c r="T277" s="94">
        <v>21519</v>
      </c>
      <c r="U277" s="94">
        <v>1799120</v>
      </c>
    </row>
    <row r="278" spans="1:21">
      <c r="A278" s="89">
        <v>39200</v>
      </c>
      <c r="B278" s="90" t="s">
        <v>261</v>
      </c>
      <c r="C278" s="97">
        <v>6.4350400000000002E-2</v>
      </c>
      <c r="D278" s="97">
        <v>6.1601799999999998E-2</v>
      </c>
      <c r="E278" s="92">
        <v>76747294.299999982</v>
      </c>
      <c r="F278" s="92">
        <v>227014830</v>
      </c>
      <c r="G278" s="92">
        <v>591446650</v>
      </c>
      <c r="H278" s="92"/>
      <c r="I278" s="93">
        <v>0</v>
      </c>
      <c r="J278" s="93">
        <v>338380594</v>
      </c>
      <c r="K278" s="93">
        <v>87224007</v>
      </c>
      <c r="L278" s="92">
        <v>9051046</v>
      </c>
      <c r="M278" s="92"/>
      <c r="N278" s="93">
        <v>27952591</v>
      </c>
      <c r="O278" s="93">
        <v>127451759</v>
      </c>
      <c r="P278" s="93">
        <v>0</v>
      </c>
      <c r="Q278" s="92">
        <v>0</v>
      </c>
      <c r="R278" s="92"/>
      <c r="S278" s="93">
        <v>113312818</v>
      </c>
      <c r="T278" s="94">
        <v>2985489</v>
      </c>
      <c r="U278" s="94">
        <v>116298306</v>
      </c>
    </row>
    <row r="279" spans="1:21">
      <c r="A279" s="89">
        <v>39201</v>
      </c>
      <c r="B279" s="90" t="s">
        <v>262</v>
      </c>
      <c r="C279" s="97">
        <v>1.94E-4</v>
      </c>
      <c r="D279" s="97">
        <v>1.8990000000000001E-4</v>
      </c>
      <c r="E279" s="92">
        <v>194379.69</v>
      </c>
      <c r="F279" s="92">
        <v>699819</v>
      </c>
      <c r="G279" s="92">
        <v>1783060</v>
      </c>
      <c r="H279" s="92"/>
      <c r="I279" s="93">
        <v>0</v>
      </c>
      <c r="J279" s="93">
        <v>1020131</v>
      </c>
      <c r="K279" s="93">
        <v>262958</v>
      </c>
      <c r="L279" s="92">
        <v>46220</v>
      </c>
      <c r="M279" s="92"/>
      <c r="N279" s="93">
        <v>84270</v>
      </c>
      <c r="O279" s="93">
        <v>384234.46</v>
      </c>
      <c r="P279" s="93">
        <v>0</v>
      </c>
      <c r="Q279" s="92">
        <v>36210</v>
      </c>
      <c r="R279" s="92"/>
      <c r="S279" s="93">
        <v>341609</v>
      </c>
      <c r="T279" s="94">
        <v>4663</v>
      </c>
      <c r="U279" s="94">
        <v>346272</v>
      </c>
    </row>
    <row r="280" spans="1:21">
      <c r="A280" s="89">
        <v>39204</v>
      </c>
      <c r="B280" s="90" t="s">
        <v>263</v>
      </c>
      <c r="C280" s="97">
        <v>1.3359999999999999E-4</v>
      </c>
      <c r="D280" s="97">
        <v>1.167E-4</v>
      </c>
      <c r="E280" s="92">
        <v>147095.62</v>
      </c>
      <c r="F280" s="92">
        <v>430063</v>
      </c>
      <c r="G280" s="92">
        <v>1227922</v>
      </c>
      <c r="H280" s="92"/>
      <c r="I280" s="93">
        <v>0</v>
      </c>
      <c r="J280" s="93">
        <v>702523</v>
      </c>
      <c r="K280" s="93">
        <v>181089</v>
      </c>
      <c r="L280" s="92">
        <v>202630</v>
      </c>
      <c r="M280" s="92"/>
      <c r="N280" s="93">
        <v>58033</v>
      </c>
      <c r="O280" s="93">
        <v>264607</v>
      </c>
      <c r="P280" s="93">
        <v>0</v>
      </c>
      <c r="Q280" s="92">
        <v>0</v>
      </c>
      <c r="R280" s="92"/>
      <c r="S280" s="93">
        <v>235252</v>
      </c>
      <c r="T280" s="94">
        <v>80968</v>
      </c>
      <c r="U280" s="94">
        <v>316220</v>
      </c>
    </row>
    <row r="281" spans="1:21">
      <c r="A281" s="89">
        <v>39205</v>
      </c>
      <c r="B281" s="90" t="s">
        <v>264</v>
      </c>
      <c r="C281" s="97">
        <v>5.0689000000000003E-3</v>
      </c>
      <c r="D281" s="97">
        <v>4.8887000000000002E-3</v>
      </c>
      <c r="E281" s="92">
        <v>6578882.8900000006</v>
      </c>
      <c r="F281" s="92">
        <v>18015827</v>
      </c>
      <c r="G281" s="92">
        <v>46588427</v>
      </c>
      <c r="H281" s="92"/>
      <c r="I281" s="93">
        <v>0</v>
      </c>
      <c r="J281" s="93">
        <v>26654339</v>
      </c>
      <c r="K281" s="93">
        <v>6870661</v>
      </c>
      <c r="L281" s="92">
        <v>2928732</v>
      </c>
      <c r="M281" s="92"/>
      <c r="N281" s="93">
        <v>2201834</v>
      </c>
      <c r="O281" s="93">
        <v>10039413</v>
      </c>
      <c r="P281" s="93">
        <v>0</v>
      </c>
      <c r="Q281" s="92">
        <v>0</v>
      </c>
      <c r="R281" s="92"/>
      <c r="S281" s="93">
        <v>8925684</v>
      </c>
      <c r="T281" s="94">
        <v>1178875</v>
      </c>
      <c r="U281" s="94">
        <v>10104559</v>
      </c>
    </row>
    <row r="282" spans="1:21">
      <c r="A282" s="89">
        <v>39208</v>
      </c>
      <c r="B282" s="90" t="s">
        <v>292</v>
      </c>
      <c r="C282" s="97">
        <v>4.0460000000000002E-4</v>
      </c>
      <c r="D282" s="97">
        <v>3.926E-4</v>
      </c>
      <c r="E282" s="92">
        <v>417317.87000000005</v>
      </c>
      <c r="F282" s="92">
        <v>1446809</v>
      </c>
      <c r="G282" s="92">
        <v>3718692</v>
      </c>
      <c r="H282" s="92"/>
      <c r="I282" s="93">
        <v>0</v>
      </c>
      <c r="J282" s="93">
        <v>2127551</v>
      </c>
      <c r="K282" s="93">
        <v>548417</v>
      </c>
      <c r="L282" s="92">
        <v>0</v>
      </c>
      <c r="M282" s="92"/>
      <c r="N282" s="93">
        <v>175751</v>
      </c>
      <c r="O282" s="93">
        <v>801347</v>
      </c>
      <c r="P282" s="93">
        <v>0</v>
      </c>
      <c r="Q282" s="92">
        <v>147063</v>
      </c>
      <c r="R282" s="92"/>
      <c r="S282" s="93">
        <v>712449</v>
      </c>
      <c r="T282" s="94">
        <v>-66847</v>
      </c>
      <c r="U282" s="94">
        <v>645602</v>
      </c>
    </row>
    <row r="283" spans="1:21">
      <c r="A283" s="89">
        <v>39209</v>
      </c>
      <c r="B283" s="90" t="s">
        <v>265</v>
      </c>
      <c r="C283" s="97">
        <v>2.0369999999999999E-4</v>
      </c>
      <c r="D283" s="97">
        <v>1.7799999999999999E-4</v>
      </c>
      <c r="E283" s="92">
        <v>204766.38999999998</v>
      </c>
      <c r="F283" s="92">
        <v>655965</v>
      </c>
      <c r="G283" s="92">
        <v>1872213</v>
      </c>
      <c r="H283" s="92"/>
      <c r="I283" s="93">
        <v>0</v>
      </c>
      <c r="J283" s="93">
        <v>1071138</v>
      </c>
      <c r="K283" s="93">
        <v>276106</v>
      </c>
      <c r="L283" s="92">
        <v>80092</v>
      </c>
      <c r="M283" s="92"/>
      <c r="N283" s="93">
        <v>88483</v>
      </c>
      <c r="O283" s="93">
        <v>403446</v>
      </c>
      <c r="P283" s="93">
        <v>0</v>
      </c>
      <c r="Q283" s="92">
        <v>32248</v>
      </c>
      <c r="R283" s="92"/>
      <c r="S283" s="93">
        <v>358690</v>
      </c>
      <c r="T283" s="94">
        <v>8064</v>
      </c>
      <c r="U283" s="94">
        <v>366753</v>
      </c>
    </row>
    <row r="284" spans="1:21">
      <c r="A284" s="89">
        <v>39300</v>
      </c>
      <c r="B284" s="90" t="s">
        <v>266</v>
      </c>
      <c r="C284" s="97">
        <v>9.5830000000000004E-4</v>
      </c>
      <c r="D284" s="97">
        <v>9.5180000000000004E-4</v>
      </c>
      <c r="E284" s="92">
        <v>1228877.2500000002</v>
      </c>
      <c r="F284" s="92">
        <v>3507571</v>
      </c>
      <c r="G284" s="92">
        <v>8807767</v>
      </c>
      <c r="H284" s="92"/>
      <c r="I284" s="93">
        <v>0</v>
      </c>
      <c r="J284" s="93">
        <v>5039131</v>
      </c>
      <c r="K284" s="93">
        <v>1298932</v>
      </c>
      <c r="L284" s="92">
        <v>86747</v>
      </c>
      <c r="M284" s="92"/>
      <c r="N284" s="93">
        <v>416267</v>
      </c>
      <c r="O284" s="93">
        <v>1897999</v>
      </c>
      <c r="P284" s="93">
        <v>0</v>
      </c>
      <c r="Q284" s="92">
        <v>31101</v>
      </c>
      <c r="R284" s="92"/>
      <c r="S284" s="93">
        <v>1687444</v>
      </c>
      <c r="T284" s="94">
        <v>12932</v>
      </c>
      <c r="U284" s="94">
        <v>1700376</v>
      </c>
    </row>
    <row r="285" spans="1:21">
      <c r="A285" s="89">
        <v>39301</v>
      </c>
      <c r="B285" s="90" t="s">
        <v>267</v>
      </c>
      <c r="C285" s="97">
        <v>5.2299999999999997E-5</v>
      </c>
      <c r="D285" s="97">
        <v>6.4499999999999996E-5</v>
      </c>
      <c r="E285" s="92">
        <v>71062.23</v>
      </c>
      <c r="F285" s="92">
        <v>237695</v>
      </c>
      <c r="G285" s="92">
        <v>480691</v>
      </c>
      <c r="H285" s="92"/>
      <c r="I285" s="93">
        <v>0</v>
      </c>
      <c r="J285" s="93">
        <v>275015</v>
      </c>
      <c r="K285" s="93">
        <v>70890</v>
      </c>
      <c r="L285" s="92">
        <v>33180</v>
      </c>
      <c r="M285" s="92"/>
      <c r="N285" s="93">
        <v>22718</v>
      </c>
      <c r="O285" s="93">
        <v>103585</v>
      </c>
      <c r="P285" s="93">
        <v>0</v>
      </c>
      <c r="Q285" s="92">
        <v>65178</v>
      </c>
      <c r="R285" s="92"/>
      <c r="S285" s="93">
        <v>92094</v>
      </c>
      <c r="T285" s="94">
        <v>-2650</v>
      </c>
      <c r="U285" s="94">
        <v>89443</v>
      </c>
    </row>
    <row r="286" spans="1:21">
      <c r="A286" s="89">
        <v>39400</v>
      </c>
      <c r="B286" s="90" t="s">
        <v>268</v>
      </c>
      <c r="C286" s="97">
        <v>6.5919999999999998E-4</v>
      </c>
      <c r="D286" s="97">
        <v>6.8510000000000001E-4</v>
      </c>
      <c r="E286" s="92">
        <v>898724.91</v>
      </c>
      <c r="F286" s="92">
        <v>2524729</v>
      </c>
      <c r="G286" s="92">
        <v>6058729</v>
      </c>
      <c r="H286" s="92"/>
      <c r="I286" s="93">
        <v>0</v>
      </c>
      <c r="J286" s="93">
        <v>3466342</v>
      </c>
      <c r="K286" s="93">
        <v>893515</v>
      </c>
      <c r="L286" s="92">
        <v>152179</v>
      </c>
      <c r="M286" s="92"/>
      <c r="N286" s="93">
        <v>286344</v>
      </c>
      <c r="O286" s="93">
        <v>1305605</v>
      </c>
      <c r="P286" s="93">
        <v>0</v>
      </c>
      <c r="Q286" s="92">
        <v>98699</v>
      </c>
      <c r="R286" s="92"/>
      <c r="S286" s="93">
        <v>1160767</v>
      </c>
      <c r="T286" s="94">
        <v>51447</v>
      </c>
      <c r="U286" s="94">
        <v>1212213</v>
      </c>
    </row>
    <row r="287" spans="1:21">
      <c r="A287" s="89">
        <v>39401</v>
      </c>
      <c r="B287" s="90" t="s">
        <v>269</v>
      </c>
      <c r="C287" s="97">
        <v>2.22E-4</v>
      </c>
      <c r="D287" s="97">
        <v>1.6760000000000001E-4</v>
      </c>
      <c r="E287" s="92">
        <v>228226.07</v>
      </c>
      <c r="F287" s="92">
        <v>617639</v>
      </c>
      <c r="G287" s="92">
        <v>2040409</v>
      </c>
      <c r="H287" s="92"/>
      <c r="I287" s="93">
        <v>0</v>
      </c>
      <c r="J287" s="93">
        <v>1167366</v>
      </c>
      <c r="K287" s="93">
        <v>300911</v>
      </c>
      <c r="L287" s="92">
        <v>352846</v>
      </c>
      <c r="M287" s="92"/>
      <c r="N287" s="93">
        <v>96433</v>
      </c>
      <c r="O287" s="93">
        <v>439690.98</v>
      </c>
      <c r="P287" s="93">
        <v>0</v>
      </c>
      <c r="Q287" s="92">
        <v>0</v>
      </c>
      <c r="R287" s="92"/>
      <c r="S287" s="93">
        <v>390914</v>
      </c>
      <c r="T287" s="94">
        <v>131233</v>
      </c>
      <c r="U287" s="94">
        <v>522147</v>
      </c>
    </row>
    <row r="288" spans="1:21">
      <c r="A288" s="89">
        <v>39500</v>
      </c>
      <c r="B288" s="90" t="s">
        <v>270</v>
      </c>
      <c r="C288" s="97">
        <v>1.9851000000000001E-3</v>
      </c>
      <c r="D288" s="97">
        <v>1.9558000000000002E-3</v>
      </c>
      <c r="E288" s="92">
        <v>2430298.8899999997</v>
      </c>
      <c r="F288" s="92">
        <v>7207510</v>
      </c>
      <c r="G288" s="92">
        <v>18245120</v>
      </c>
      <c r="H288" s="92"/>
      <c r="I288" s="93">
        <v>0</v>
      </c>
      <c r="J288" s="93">
        <v>10438464</v>
      </c>
      <c r="K288" s="93">
        <v>2690712</v>
      </c>
      <c r="L288" s="92">
        <v>67779</v>
      </c>
      <c r="M288" s="92"/>
      <c r="N288" s="93">
        <v>862290</v>
      </c>
      <c r="O288" s="93">
        <v>3931669</v>
      </c>
      <c r="P288" s="93">
        <v>0</v>
      </c>
      <c r="Q288" s="92">
        <v>51158</v>
      </c>
      <c r="R288" s="92"/>
      <c r="S288" s="93">
        <v>3495507</v>
      </c>
      <c r="T288" s="94">
        <v>10477</v>
      </c>
      <c r="U288" s="94">
        <v>3505984</v>
      </c>
    </row>
    <row r="289" spans="1:21">
      <c r="A289" s="89">
        <v>39501</v>
      </c>
      <c r="B289" s="90" t="s">
        <v>271</v>
      </c>
      <c r="C289" s="97">
        <v>6.41E-5</v>
      </c>
      <c r="D289" s="97">
        <v>6.7199999999999994E-5</v>
      </c>
      <c r="E289" s="92">
        <v>77170.959999999977</v>
      </c>
      <c r="F289" s="92">
        <v>247645</v>
      </c>
      <c r="G289" s="92">
        <v>589145</v>
      </c>
      <c r="H289" s="92"/>
      <c r="I289" s="93">
        <v>0</v>
      </c>
      <c r="J289" s="93">
        <v>337064</v>
      </c>
      <c r="K289" s="93">
        <v>86885</v>
      </c>
      <c r="L289" s="92">
        <v>6068</v>
      </c>
      <c r="M289" s="92"/>
      <c r="N289" s="93">
        <v>27844</v>
      </c>
      <c r="O289" s="93">
        <v>126956</v>
      </c>
      <c r="P289" s="93">
        <v>0</v>
      </c>
      <c r="Q289" s="92">
        <v>30379</v>
      </c>
      <c r="R289" s="92"/>
      <c r="S289" s="93">
        <v>112872</v>
      </c>
      <c r="T289" s="94">
        <v>-6873</v>
      </c>
      <c r="U289" s="94">
        <v>105999</v>
      </c>
    </row>
    <row r="290" spans="1:21">
      <c r="A290" s="89">
        <v>39600</v>
      </c>
      <c r="B290" s="90" t="s">
        <v>272</v>
      </c>
      <c r="C290" s="97">
        <v>6.5063999999999999E-3</v>
      </c>
      <c r="D290" s="97">
        <v>6.4853000000000003E-3</v>
      </c>
      <c r="E290" s="92">
        <v>8224795.6099999994</v>
      </c>
      <c r="F290" s="92">
        <v>23899615</v>
      </c>
      <c r="G290" s="92">
        <v>59800537</v>
      </c>
      <c r="H290" s="92"/>
      <c r="I290" s="93">
        <v>0</v>
      </c>
      <c r="J290" s="93">
        <v>34213299</v>
      </c>
      <c r="K290" s="93">
        <v>8819126</v>
      </c>
      <c r="L290" s="92">
        <v>118037</v>
      </c>
      <c r="M290" s="92"/>
      <c r="N290" s="93">
        <v>2826257</v>
      </c>
      <c r="O290" s="93">
        <v>12886511</v>
      </c>
      <c r="P290" s="93">
        <v>0</v>
      </c>
      <c r="Q290" s="92">
        <v>623421</v>
      </c>
      <c r="R290" s="92"/>
      <c r="S290" s="93">
        <v>11456938</v>
      </c>
      <c r="T290" s="94">
        <v>-306240</v>
      </c>
      <c r="U290" s="94">
        <v>11150698</v>
      </c>
    </row>
    <row r="291" spans="1:21">
      <c r="A291" s="89">
        <v>39605</v>
      </c>
      <c r="B291" s="90" t="s">
        <v>273</v>
      </c>
      <c r="C291" s="97">
        <v>9.4019999999999998E-4</v>
      </c>
      <c r="D291" s="97">
        <v>9.5520000000000002E-4</v>
      </c>
      <c r="E291" s="92">
        <v>1247634.5999999999</v>
      </c>
      <c r="F291" s="92">
        <v>3520101</v>
      </c>
      <c r="G291" s="92">
        <v>8641409</v>
      </c>
      <c r="H291" s="92"/>
      <c r="I291" s="93">
        <v>0</v>
      </c>
      <c r="J291" s="93">
        <v>4943954</v>
      </c>
      <c r="K291" s="93">
        <v>1274398</v>
      </c>
      <c r="L291" s="92">
        <v>168824</v>
      </c>
      <c r="M291" s="92"/>
      <c r="N291" s="93">
        <v>408405</v>
      </c>
      <c r="O291" s="93">
        <v>1862151</v>
      </c>
      <c r="P291" s="93">
        <v>0</v>
      </c>
      <c r="Q291" s="92">
        <v>12463</v>
      </c>
      <c r="R291" s="92"/>
      <c r="S291" s="93">
        <v>1655572</v>
      </c>
      <c r="T291" s="94">
        <v>74105</v>
      </c>
      <c r="U291" s="94">
        <v>1729676</v>
      </c>
    </row>
    <row r="292" spans="1:21">
      <c r="A292" s="89">
        <v>39700</v>
      </c>
      <c r="B292" s="90" t="s">
        <v>274</v>
      </c>
      <c r="C292" s="97">
        <v>3.8947000000000001E-3</v>
      </c>
      <c r="D292" s="97">
        <v>3.9490999999999997E-3</v>
      </c>
      <c r="E292" s="92">
        <v>4694298.05</v>
      </c>
      <c r="F292" s="92">
        <v>14553215</v>
      </c>
      <c r="G292" s="92">
        <v>35796316</v>
      </c>
      <c r="H292" s="92"/>
      <c r="I292" s="93">
        <v>0</v>
      </c>
      <c r="J292" s="93">
        <v>20479918</v>
      </c>
      <c r="K292" s="93">
        <v>5279087</v>
      </c>
      <c r="L292" s="92">
        <v>268552</v>
      </c>
      <c r="M292" s="92"/>
      <c r="N292" s="93">
        <v>1691784</v>
      </c>
      <c r="O292" s="93">
        <v>7713804</v>
      </c>
      <c r="P292" s="93">
        <v>0</v>
      </c>
      <c r="Q292" s="92">
        <v>565655</v>
      </c>
      <c r="R292" s="92"/>
      <c r="S292" s="93">
        <v>6858068</v>
      </c>
      <c r="T292" s="94">
        <v>-106191</v>
      </c>
      <c r="U292" s="94">
        <v>6751877</v>
      </c>
    </row>
    <row r="293" spans="1:21">
      <c r="A293" s="89">
        <v>39703</v>
      </c>
      <c r="B293" s="90" t="s">
        <v>275</v>
      </c>
      <c r="C293" s="97">
        <v>1.199E-4</v>
      </c>
      <c r="D293" s="97">
        <v>8.6700000000000007E-5</v>
      </c>
      <c r="E293" s="92">
        <v>119537.79000000001</v>
      </c>
      <c r="F293" s="92">
        <v>319507</v>
      </c>
      <c r="G293" s="92">
        <v>1102005</v>
      </c>
      <c r="H293" s="92"/>
      <c r="I293" s="93">
        <v>0</v>
      </c>
      <c r="J293" s="93">
        <v>630483</v>
      </c>
      <c r="K293" s="93">
        <v>162519</v>
      </c>
      <c r="L293" s="92">
        <v>292240</v>
      </c>
      <c r="M293" s="92"/>
      <c r="N293" s="93">
        <v>52082</v>
      </c>
      <c r="O293" s="93">
        <v>237473</v>
      </c>
      <c r="P293" s="93">
        <v>0</v>
      </c>
      <c r="Q293" s="92">
        <v>0</v>
      </c>
      <c r="R293" s="92"/>
      <c r="S293" s="93">
        <v>211129</v>
      </c>
      <c r="T293" s="94">
        <v>128316</v>
      </c>
      <c r="U293" s="94">
        <v>339444</v>
      </c>
    </row>
    <row r="294" spans="1:21">
      <c r="A294" s="89">
        <v>39705</v>
      </c>
      <c r="B294" s="90" t="s">
        <v>276</v>
      </c>
      <c r="C294" s="97">
        <v>9.0930000000000004E-4</v>
      </c>
      <c r="D294" s="97">
        <v>9.142E-4</v>
      </c>
      <c r="E294" s="92">
        <v>1194986.71</v>
      </c>
      <c r="F294" s="92">
        <v>3369008</v>
      </c>
      <c r="G294" s="92">
        <v>8357406</v>
      </c>
      <c r="H294" s="92"/>
      <c r="I294" s="93">
        <v>0</v>
      </c>
      <c r="J294" s="93">
        <v>4781469</v>
      </c>
      <c r="K294" s="93">
        <v>1232514</v>
      </c>
      <c r="L294" s="92">
        <v>222038</v>
      </c>
      <c r="M294" s="92"/>
      <c r="N294" s="93">
        <v>394983</v>
      </c>
      <c r="O294" s="93">
        <v>1800950</v>
      </c>
      <c r="P294" s="93">
        <v>0</v>
      </c>
      <c r="Q294" s="92">
        <v>0</v>
      </c>
      <c r="R294" s="92"/>
      <c r="S294" s="93">
        <v>1601161</v>
      </c>
      <c r="T294" s="94">
        <v>101669</v>
      </c>
      <c r="U294" s="94">
        <v>1702830</v>
      </c>
    </row>
    <row r="295" spans="1:21">
      <c r="A295" s="89">
        <v>39800</v>
      </c>
      <c r="B295" s="90" t="s">
        <v>277</v>
      </c>
      <c r="C295" s="97">
        <v>4.3068999999999998E-3</v>
      </c>
      <c r="D295" s="97">
        <v>4.3731000000000004E-3</v>
      </c>
      <c r="E295" s="92">
        <v>5344290.3400000008</v>
      </c>
      <c r="F295" s="92">
        <v>16115739</v>
      </c>
      <c r="G295" s="92">
        <v>39584860</v>
      </c>
      <c r="H295" s="92"/>
      <c r="I295" s="93">
        <v>0</v>
      </c>
      <c r="J295" s="93">
        <v>22647433</v>
      </c>
      <c r="K295" s="93">
        <v>5837805</v>
      </c>
      <c r="L295" s="92">
        <v>0</v>
      </c>
      <c r="M295" s="92"/>
      <c r="N295" s="93">
        <v>1870836</v>
      </c>
      <c r="O295" s="93">
        <v>8530203</v>
      </c>
      <c r="P295" s="93">
        <v>0</v>
      </c>
      <c r="Q295" s="92">
        <v>819822</v>
      </c>
      <c r="R295" s="92"/>
      <c r="S295" s="93">
        <v>7583900</v>
      </c>
      <c r="T295" s="94">
        <v>-365122</v>
      </c>
      <c r="U295" s="94">
        <v>7218777</v>
      </c>
    </row>
    <row r="296" spans="1:21">
      <c r="A296" s="191">
        <v>39805</v>
      </c>
      <c r="B296" s="5" t="s">
        <v>278</v>
      </c>
      <c r="C296" s="106">
        <v>4.8710000000000002E-4</v>
      </c>
      <c r="D296" s="106">
        <v>4.8930000000000002E-4</v>
      </c>
      <c r="E296" s="92">
        <v>678122.10000000009</v>
      </c>
      <c r="F296" s="92">
        <v>1803167</v>
      </c>
      <c r="G296" s="7">
        <v>4476952</v>
      </c>
      <c r="I296" s="93">
        <v>0</v>
      </c>
      <c r="J296" s="5">
        <v>2561370.0496999999</v>
      </c>
      <c r="K296" s="5">
        <v>660241.64339999994</v>
      </c>
      <c r="L296" s="5">
        <v>60555.833927609798</v>
      </c>
      <c r="N296" s="5">
        <v>211586.98509999999</v>
      </c>
      <c r="O296" s="5">
        <v>964745.38899999997</v>
      </c>
      <c r="P296" s="93">
        <v>0</v>
      </c>
      <c r="Q296" s="5">
        <v>35622.923577127403</v>
      </c>
      <c r="S296" s="5">
        <v>857720.75120000006</v>
      </c>
      <c r="T296" s="94">
        <v>-344</v>
      </c>
      <c r="U296" s="88">
        <v>857377</v>
      </c>
    </row>
    <row r="297" spans="1:21" s="85" customFormat="1">
      <c r="A297" s="191">
        <v>39900</v>
      </c>
      <c r="B297" s="192" t="s">
        <v>279</v>
      </c>
      <c r="C297" s="106">
        <v>2.1467000000000001E-3</v>
      </c>
      <c r="D297" s="106">
        <v>2.1565E-3</v>
      </c>
      <c r="E297" s="92">
        <v>2718248.7299999995</v>
      </c>
      <c r="F297" s="92">
        <v>7947129</v>
      </c>
      <c r="G297" s="7">
        <v>19730391</v>
      </c>
      <c r="H297" s="100"/>
      <c r="I297" s="93">
        <v>0</v>
      </c>
      <c r="J297" s="192">
        <v>11288222.3069</v>
      </c>
      <c r="K297" s="192">
        <v>2909753.1017999998</v>
      </c>
      <c r="L297" s="192">
        <v>101989.875498482</v>
      </c>
      <c r="M297" s="192"/>
      <c r="N297" s="192">
        <v>932485.69270000001</v>
      </c>
      <c r="O297" s="192">
        <v>4251732.5530000003</v>
      </c>
      <c r="P297" s="93">
        <v>0</v>
      </c>
      <c r="Q297" s="192">
        <v>266818.631954037</v>
      </c>
      <c r="R297" s="192"/>
      <c r="S297" s="192">
        <v>3780063.9224</v>
      </c>
      <c r="T297" s="193">
        <v>-97948</v>
      </c>
      <c r="U297" s="193">
        <v>3682116</v>
      </c>
    </row>
    <row r="298" spans="1:21">
      <c r="A298" s="191">
        <v>51000</v>
      </c>
      <c r="B298" s="5" t="s">
        <v>469</v>
      </c>
      <c r="C298" s="106">
        <v>3.3725400000000003E-2</v>
      </c>
      <c r="D298" s="106">
        <v>3.5084200000000003E-2</v>
      </c>
      <c r="E298" s="92">
        <v>47171405.390000008</v>
      </c>
      <c r="F298" s="92">
        <v>132444542</v>
      </c>
      <c r="G298" s="7">
        <v>309971264</v>
      </c>
      <c r="I298" s="93">
        <v>0</v>
      </c>
      <c r="J298" s="5">
        <v>177341879.43779999</v>
      </c>
      <c r="K298" s="5">
        <v>45713228.331600003</v>
      </c>
      <c r="L298" s="5">
        <v>2309154.99830369</v>
      </c>
      <c r="N298" s="5">
        <v>14649672.977399999</v>
      </c>
      <c r="O298" s="5">
        <v>66796189.986000001</v>
      </c>
      <c r="P298" s="93">
        <v>0</v>
      </c>
      <c r="Q298" s="5">
        <v>3340984.1708170301</v>
      </c>
      <c r="S298" s="5">
        <v>59386112.548799999</v>
      </c>
      <c r="T298" s="88">
        <v>236870</v>
      </c>
      <c r="U298" s="88">
        <v>59622983</v>
      </c>
    </row>
    <row r="299" spans="1:21">
      <c r="A299" s="191">
        <v>51000.2</v>
      </c>
      <c r="B299" s="5" t="s">
        <v>470</v>
      </c>
      <c r="C299" s="106">
        <v>2.34E-5</v>
      </c>
      <c r="D299" s="106">
        <v>3.9499999999999998E-5</v>
      </c>
      <c r="E299" s="92"/>
      <c r="F299" s="92"/>
      <c r="G299" s="7">
        <v>215070</v>
      </c>
      <c r="I299" s="93">
        <v>0</v>
      </c>
      <c r="J299" s="5">
        <v>123046.72380000001</v>
      </c>
      <c r="K299" s="5">
        <v>31717.623599999999</v>
      </c>
      <c r="L299" s="5">
        <v>2601.99811680836</v>
      </c>
      <c r="N299" s="5">
        <v>10164.5154</v>
      </c>
      <c r="O299" s="5">
        <v>46345.805999999997</v>
      </c>
      <c r="P299" s="93">
        <v>0</v>
      </c>
      <c r="Q299" s="5">
        <v>48931.273209544401</v>
      </c>
      <c r="S299" s="5">
        <v>41204.404799999997</v>
      </c>
      <c r="T299" s="88">
        <v>-12675</v>
      </c>
      <c r="U299" s="88">
        <v>28530</v>
      </c>
    </row>
    <row r="300" spans="1:21">
      <c r="A300" s="191">
        <v>51000.3</v>
      </c>
      <c r="B300" s="5" t="s">
        <v>471</v>
      </c>
      <c r="C300" s="106">
        <v>7.8580000000000002E-4</v>
      </c>
      <c r="D300" s="106">
        <v>8.1579999999999999E-4</v>
      </c>
      <c r="E300" s="92"/>
      <c r="F300" s="92"/>
      <c r="G300" s="7">
        <v>7222314</v>
      </c>
      <c r="I300" s="93">
        <v>0</v>
      </c>
      <c r="J300" s="5">
        <v>4132056.2206000001</v>
      </c>
      <c r="K300" s="5">
        <v>1065115.7531999999</v>
      </c>
      <c r="L300" s="5">
        <v>53695.7760723272</v>
      </c>
      <c r="N300" s="5">
        <v>341336.58980000002</v>
      </c>
      <c r="O300" s="5">
        <v>1556347.622</v>
      </c>
      <c r="P300" s="93">
        <v>0</v>
      </c>
      <c r="Q300" s="5">
        <v>28835.667793451699</v>
      </c>
      <c r="S300" s="5">
        <v>1383693.2176000001</v>
      </c>
      <c r="T300" s="88">
        <v>19506</v>
      </c>
      <c r="U300" s="88">
        <v>1403199</v>
      </c>
    </row>
    <row r="302" spans="1:21">
      <c r="B302" s="5" t="s">
        <v>472</v>
      </c>
      <c r="C302" s="194">
        <f>SUM(C3:C300)</f>
        <v>0.99999999999999978</v>
      </c>
      <c r="D302" s="194">
        <f>SUM(D3:D300)</f>
        <v>0.99999989999999994</v>
      </c>
      <c r="E302" s="108">
        <f>SUM(E3:E300)</f>
        <v>1272194390.52</v>
      </c>
      <c r="F302" s="108">
        <f>SUM(F3:F300)</f>
        <v>3685197998.6500001</v>
      </c>
      <c r="G302" s="108">
        <f>SUM(G3:G300)</f>
        <v>9191032996</v>
      </c>
      <c r="H302" s="108"/>
      <c r="I302" s="108">
        <f t="shared" ref="I302:U302" si="0">SUM(I3:I300)</f>
        <v>0</v>
      </c>
      <c r="J302" s="108">
        <f t="shared" si="0"/>
        <v>5258406992.7388</v>
      </c>
      <c r="K302" s="108">
        <f t="shared" si="0"/>
        <v>1355454004.1536</v>
      </c>
      <c r="L302" s="108">
        <f t="shared" si="0"/>
        <v>105861789.48191893</v>
      </c>
      <c r="M302" s="108"/>
      <c r="N302" s="108">
        <f t="shared" si="0"/>
        <v>434381000.89039999</v>
      </c>
      <c r="O302" s="108">
        <f t="shared" si="0"/>
        <v>1980589996.546</v>
      </c>
      <c r="P302" s="108">
        <f t="shared" si="0"/>
        <v>0</v>
      </c>
      <c r="Q302" s="108">
        <f t="shared" si="0"/>
        <v>105861381.6673512</v>
      </c>
      <c r="R302" s="108"/>
      <c r="S302" s="108">
        <f t="shared" si="0"/>
        <v>1760872005.2848001</v>
      </c>
      <c r="T302" s="108">
        <f t="shared" si="0"/>
        <v>156</v>
      </c>
      <c r="U302" s="108">
        <f t="shared" si="0"/>
        <v>1760872160</v>
      </c>
    </row>
    <row r="303" spans="1:21">
      <c r="G303" s="101"/>
      <c r="I303" s="101"/>
      <c r="J303" s="101"/>
      <c r="K303" s="101"/>
      <c r="L303" s="102"/>
      <c r="M303" s="101"/>
      <c r="N303" s="101"/>
      <c r="O303" s="101"/>
      <c r="P303" s="101"/>
      <c r="Q303" s="101"/>
      <c r="R303" s="101"/>
      <c r="S303" s="101"/>
      <c r="T303" s="101"/>
      <c r="U303" s="101"/>
    </row>
    <row r="304" spans="1:21" hidden="1">
      <c r="J304" s="195"/>
      <c r="K304" s="195"/>
      <c r="L304" s="195"/>
      <c r="M304" s="195"/>
      <c r="N304" s="195"/>
      <c r="O304" s="195"/>
      <c r="P304" s="195"/>
      <c r="Q304" s="195"/>
      <c r="R304" s="195"/>
      <c r="S304" s="195"/>
    </row>
    <row r="305" spans="2:21" hidden="1">
      <c r="J305" s="196"/>
      <c r="K305" s="197"/>
      <c r="L305" s="197"/>
      <c r="M305" s="197"/>
      <c r="N305" s="197"/>
      <c r="O305" s="197"/>
      <c r="P305" s="197"/>
      <c r="Q305" s="197"/>
      <c r="R305" s="197"/>
      <c r="S305" s="196"/>
    </row>
    <row r="306" spans="2:21" hidden="1">
      <c r="J306" s="196"/>
      <c r="K306" s="197"/>
      <c r="L306" s="197"/>
      <c r="M306" s="197"/>
      <c r="N306" s="197"/>
      <c r="O306" s="197"/>
      <c r="P306" s="197"/>
      <c r="Q306" s="197"/>
      <c r="R306" s="197"/>
      <c r="S306" s="196"/>
    </row>
    <row r="307" spans="2:21" hidden="1">
      <c r="J307" s="196"/>
      <c r="K307" s="197"/>
      <c r="L307" s="197"/>
      <c r="M307" s="197"/>
      <c r="N307" s="197"/>
      <c r="O307" s="197"/>
      <c r="P307" s="197"/>
      <c r="Q307" s="197"/>
      <c r="R307" s="197"/>
      <c r="S307" s="196"/>
    </row>
    <row r="308" spans="2:21" hidden="1">
      <c r="J308" s="196"/>
      <c r="K308" s="197"/>
      <c r="L308" s="197"/>
      <c r="M308" s="197"/>
      <c r="N308" s="197"/>
      <c r="O308" s="197"/>
      <c r="P308" s="197"/>
      <c r="Q308" s="197"/>
      <c r="R308" s="197"/>
      <c r="S308" s="196"/>
    </row>
    <row r="309" spans="2:21" hidden="1">
      <c r="J309" s="196"/>
      <c r="K309" s="197"/>
      <c r="L309" s="197"/>
      <c r="M309" s="197"/>
      <c r="N309" s="197"/>
      <c r="O309" s="197"/>
      <c r="P309" s="197"/>
      <c r="Q309" s="197"/>
      <c r="R309" s="197"/>
      <c r="S309" s="196"/>
    </row>
    <row r="310" spans="2:21" hidden="1">
      <c r="J310" s="196"/>
      <c r="K310" s="197"/>
      <c r="L310" s="197"/>
      <c r="M310" s="197"/>
      <c r="N310" s="197"/>
      <c r="O310" s="197"/>
      <c r="P310" s="197"/>
      <c r="Q310" s="197"/>
      <c r="R310" s="197"/>
      <c r="S310" s="196"/>
    </row>
    <row r="311" spans="2:21" hidden="1">
      <c r="J311" s="196"/>
      <c r="K311" s="197"/>
      <c r="L311" s="197"/>
      <c r="M311" s="197"/>
      <c r="N311" s="197"/>
      <c r="O311" s="197"/>
      <c r="P311" s="197"/>
      <c r="Q311" s="197"/>
      <c r="R311" s="197"/>
      <c r="S311" s="196"/>
    </row>
    <row r="312" spans="2:21" hidden="1">
      <c r="J312" s="196"/>
      <c r="K312" s="197"/>
      <c r="L312" s="197"/>
      <c r="M312" s="197"/>
      <c r="N312" s="197"/>
      <c r="O312" s="197"/>
      <c r="P312" s="197"/>
      <c r="Q312" s="197"/>
      <c r="R312" s="197"/>
      <c r="S312" s="196"/>
    </row>
    <row r="313" spans="2:21" hidden="1">
      <c r="J313" s="195"/>
      <c r="K313" s="195"/>
      <c r="L313" s="195"/>
      <c r="M313" s="195"/>
      <c r="N313" s="195"/>
      <c r="O313" s="195"/>
      <c r="P313" s="195"/>
      <c r="Q313" s="195"/>
      <c r="R313" s="195"/>
      <c r="S313" s="195"/>
    </row>
    <row r="315" spans="2:21">
      <c r="G315" s="189"/>
      <c r="H315" s="189"/>
      <c r="I315" s="189"/>
      <c r="J315" s="189"/>
      <c r="K315" s="98"/>
      <c r="L315" s="189"/>
      <c r="M315" s="189"/>
      <c r="N315" s="189"/>
      <c r="O315" s="189"/>
      <c r="P315" s="189"/>
      <c r="Q315" s="189"/>
      <c r="R315" s="45"/>
      <c r="S315" s="189"/>
      <c r="T315" s="189"/>
      <c r="U315" s="189"/>
    </row>
    <row r="316" spans="2:21">
      <c r="B316" s="90" t="s">
        <v>131</v>
      </c>
      <c r="C316" s="89">
        <v>33501</v>
      </c>
    </row>
    <row r="317" spans="2:21">
      <c r="B317" s="90" t="s">
        <v>191</v>
      </c>
      <c r="C317" s="89">
        <v>36301</v>
      </c>
    </row>
    <row r="318" spans="2:21">
      <c r="B318" s="90" t="s">
        <v>4</v>
      </c>
      <c r="C318" s="89">
        <v>10800</v>
      </c>
    </row>
    <row r="319" spans="2:21">
      <c r="B319" s="90" t="s">
        <v>58</v>
      </c>
      <c r="C319" s="89">
        <v>30105</v>
      </c>
      <c r="G319" s="101"/>
      <c r="L319" s="103"/>
    </row>
    <row r="320" spans="2:21">
      <c r="B320" s="90" t="s">
        <v>54</v>
      </c>
      <c r="C320" s="89">
        <v>30100</v>
      </c>
      <c r="G320" s="101"/>
      <c r="L320" s="103"/>
    </row>
    <row r="321" spans="2:14">
      <c r="B321" s="90" t="s">
        <v>59</v>
      </c>
      <c r="C321" s="89">
        <v>30200</v>
      </c>
      <c r="G321" s="101"/>
    </row>
    <row r="322" spans="2:14">
      <c r="B322" s="90" t="s">
        <v>60</v>
      </c>
      <c r="C322" s="89">
        <v>30300</v>
      </c>
      <c r="G322" s="101"/>
      <c r="K322" s="103"/>
      <c r="L322" s="103"/>
      <c r="M322" s="103"/>
      <c r="N322" s="103"/>
    </row>
    <row r="323" spans="2:14">
      <c r="B323" s="90" t="s">
        <v>290</v>
      </c>
      <c r="C323" s="89">
        <v>34901</v>
      </c>
      <c r="G323" s="101"/>
      <c r="K323" s="103"/>
      <c r="L323" s="103"/>
      <c r="M323" s="103"/>
      <c r="N323" s="103"/>
    </row>
    <row r="324" spans="2:14">
      <c r="B324" s="90" t="s">
        <v>61</v>
      </c>
      <c r="C324" s="89">
        <v>30400</v>
      </c>
      <c r="G324" s="101"/>
      <c r="K324" s="103"/>
      <c r="L324" s="103"/>
      <c r="M324" s="103"/>
      <c r="N324" s="103"/>
    </row>
    <row r="325" spans="2:14">
      <c r="B325" s="90" t="s">
        <v>33</v>
      </c>
      <c r="C325" s="89">
        <v>20100</v>
      </c>
      <c r="G325" s="101"/>
    </row>
    <row r="326" spans="2:14">
      <c r="B326" s="90" t="s">
        <v>210</v>
      </c>
      <c r="C326" s="89">
        <v>36901</v>
      </c>
      <c r="G326" s="101"/>
    </row>
    <row r="327" spans="2:14">
      <c r="B327" s="90" t="s">
        <v>128</v>
      </c>
      <c r="C327" s="89">
        <v>33402</v>
      </c>
    </row>
    <row r="328" spans="2:14">
      <c r="B328" s="90" t="s">
        <v>63</v>
      </c>
      <c r="C328" s="89">
        <v>30500</v>
      </c>
    </row>
    <row r="329" spans="2:14">
      <c r="B329" s="90" t="s">
        <v>225</v>
      </c>
      <c r="C329" s="89">
        <v>37610</v>
      </c>
    </row>
    <row r="330" spans="2:14">
      <c r="B330" s="90" t="s">
        <v>77</v>
      </c>
      <c r="C330" s="89">
        <v>31110</v>
      </c>
    </row>
    <row r="331" spans="2:14">
      <c r="B331" s="90" t="s">
        <v>76</v>
      </c>
      <c r="C331" s="89">
        <v>31105</v>
      </c>
      <c r="L331" s="75"/>
    </row>
    <row r="332" spans="2:14">
      <c r="B332" s="90" t="s">
        <v>64</v>
      </c>
      <c r="C332" s="89">
        <v>30600</v>
      </c>
    </row>
    <row r="333" spans="2:14">
      <c r="B333" s="90" t="s">
        <v>26</v>
      </c>
      <c r="C333" s="89">
        <v>18600</v>
      </c>
    </row>
    <row r="334" spans="2:14">
      <c r="B334" s="90" t="s">
        <v>124</v>
      </c>
      <c r="C334" s="89">
        <v>33206</v>
      </c>
    </row>
    <row r="335" spans="2:14">
      <c r="B335" s="90" t="s">
        <v>67</v>
      </c>
      <c r="C335" s="89">
        <v>30705</v>
      </c>
    </row>
    <row r="336" spans="2:14">
      <c r="B336" s="90" t="s">
        <v>66</v>
      </c>
      <c r="C336" s="89">
        <v>30700</v>
      </c>
    </row>
    <row r="337" spans="2:3">
      <c r="B337" s="90" t="s">
        <v>68</v>
      </c>
      <c r="C337" s="89">
        <v>30800</v>
      </c>
    </row>
    <row r="338" spans="2:3">
      <c r="B338" s="90" t="s">
        <v>232</v>
      </c>
      <c r="C338" s="89">
        <v>37901</v>
      </c>
    </row>
    <row r="339" spans="2:3">
      <c r="B339" s="90" t="s">
        <v>70</v>
      </c>
      <c r="C339" s="89">
        <v>30905</v>
      </c>
    </row>
    <row r="340" spans="2:3">
      <c r="B340" s="90" t="s">
        <v>69</v>
      </c>
      <c r="C340" s="89">
        <v>30900</v>
      </c>
    </row>
    <row r="341" spans="2:3">
      <c r="B341" s="90" t="s">
        <v>149</v>
      </c>
      <c r="C341" s="89">
        <v>34505</v>
      </c>
    </row>
    <row r="342" spans="2:3">
      <c r="B342" s="90" t="s">
        <v>255</v>
      </c>
      <c r="C342" s="89">
        <v>38801</v>
      </c>
    </row>
    <row r="343" spans="2:3">
      <c r="B343" s="90" t="s">
        <v>247</v>
      </c>
      <c r="C343" s="89">
        <v>38601</v>
      </c>
    </row>
    <row r="344" spans="2:3">
      <c r="B344" s="90" t="s">
        <v>72</v>
      </c>
      <c r="C344" s="89">
        <v>31005</v>
      </c>
    </row>
    <row r="345" spans="2:3">
      <c r="B345" s="90" t="s">
        <v>71</v>
      </c>
      <c r="C345" s="89">
        <v>31000</v>
      </c>
    </row>
    <row r="346" spans="2:3">
      <c r="B346" s="90" t="s">
        <v>73</v>
      </c>
      <c r="C346" s="89">
        <v>31100</v>
      </c>
    </row>
    <row r="347" spans="2:3">
      <c r="B347" s="90" t="s">
        <v>78</v>
      </c>
      <c r="C347" s="89">
        <v>31200</v>
      </c>
    </row>
    <row r="348" spans="2:3">
      <c r="B348" s="90" t="s">
        <v>80</v>
      </c>
      <c r="C348" s="89">
        <v>31300</v>
      </c>
    </row>
    <row r="349" spans="2:3">
      <c r="B349" s="90" t="s">
        <v>84</v>
      </c>
      <c r="C349" s="89">
        <v>31405</v>
      </c>
    </row>
    <row r="350" spans="2:3">
      <c r="B350" s="90" t="s">
        <v>83</v>
      </c>
      <c r="C350" s="89">
        <v>31400</v>
      </c>
    </row>
    <row r="351" spans="2:3">
      <c r="B351" s="90" t="s">
        <v>85</v>
      </c>
      <c r="C351" s="89">
        <v>31500</v>
      </c>
    </row>
    <row r="352" spans="2:3">
      <c r="B352" s="90" t="s">
        <v>199</v>
      </c>
      <c r="C352" s="89">
        <v>36505</v>
      </c>
    </row>
    <row r="353" spans="2:3">
      <c r="B353" s="90" t="s">
        <v>197</v>
      </c>
      <c r="C353" s="89">
        <v>36501</v>
      </c>
    </row>
    <row r="354" spans="2:3">
      <c r="B354" s="90" t="s">
        <v>286</v>
      </c>
      <c r="C354" s="89">
        <v>31601</v>
      </c>
    </row>
    <row r="355" spans="2:3">
      <c r="B355" s="90" t="s">
        <v>81</v>
      </c>
      <c r="C355" s="89">
        <v>31301</v>
      </c>
    </row>
    <row r="356" spans="2:3">
      <c r="B356" s="90" t="s">
        <v>87</v>
      </c>
      <c r="C356" s="89">
        <v>31605</v>
      </c>
    </row>
    <row r="357" spans="2:3">
      <c r="B357" s="90" t="s">
        <v>86</v>
      </c>
      <c r="C357" s="89">
        <v>31600</v>
      </c>
    </row>
    <row r="358" spans="2:3">
      <c r="B358" s="90" t="s">
        <v>265</v>
      </c>
      <c r="C358" s="89">
        <v>39209</v>
      </c>
    </row>
    <row r="359" spans="2:3">
      <c r="B359" s="90" t="s">
        <v>88</v>
      </c>
      <c r="C359" s="89">
        <v>31700</v>
      </c>
    </row>
    <row r="360" spans="2:3">
      <c r="B360" s="90" t="s">
        <v>89</v>
      </c>
      <c r="C360" s="89">
        <v>31800</v>
      </c>
    </row>
    <row r="361" spans="2:3">
      <c r="B361" s="90" t="s">
        <v>90</v>
      </c>
      <c r="C361" s="89">
        <v>31805</v>
      </c>
    </row>
    <row r="362" spans="2:3">
      <c r="B362" s="90" t="s">
        <v>164</v>
      </c>
      <c r="C362" s="89">
        <v>35305</v>
      </c>
    </row>
    <row r="363" spans="2:3">
      <c r="B363" s="90" t="s">
        <v>120</v>
      </c>
      <c r="C363" s="89">
        <v>33202</v>
      </c>
    </row>
    <row r="364" spans="2:3">
      <c r="B364" s="90" t="s">
        <v>180</v>
      </c>
      <c r="C364" s="89">
        <v>36005</v>
      </c>
    </row>
    <row r="365" spans="2:3">
      <c r="B365" s="90" t="s">
        <v>208</v>
      </c>
      <c r="C365" s="89">
        <v>36810</v>
      </c>
    </row>
    <row r="366" spans="2:3">
      <c r="B366" s="90" t="s">
        <v>184</v>
      </c>
      <c r="C366" s="89">
        <v>36009</v>
      </c>
    </row>
    <row r="367" spans="2:3">
      <c r="B367" s="90" t="s">
        <v>176</v>
      </c>
      <c r="C367" s="89">
        <v>36000</v>
      </c>
    </row>
    <row r="368" spans="2:3">
      <c r="B368" s="90" t="s">
        <v>93</v>
      </c>
      <c r="C368" s="89">
        <v>31900</v>
      </c>
    </row>
    <row r="369" spans="2:3">
      <c r="B369" s="90" t="s">
        <v>94</v>
      </c>
      <c r="C369" s="89">
        <v>32000</v>
      </c>
    </row>
    <row r="370" spans="2:3">
      <c r="B370" s="90" t="s">
        <v>166</v>
      </c>
      <c r="C370" s="89">
        <v>35401</v>
      </c>
    </row>
    <row r="371" spans="2:3">
      <c r="B371" s="90" t="s">
        <v>97</v>
      </c>
      <c r="C371" s="89">
        <v>32200</v>
      </c>
    </row>
    <row r="372" spans="2:3">
      <c r="B372" s="90" t="s">
        <v>98</v>
      </c>
      <c r="C372" s="89">
        <v>32300</v>
      </c>
    </row>
    <row r="373" spans="2:3">
      <c r="B373" s="90" t="s">
        <v>99</v>
      </c>
      <c r="C373" s="89">
        <v>32305</v>
      </c>
    </row>
    <row r="374" spans="2:3">
      <c r="B374" s="90" t="s">
        <v>240</v>
      </c>
      <c r="C374" s="89">
        <v>38210</v>
      </c>
    </row>
    <row r="375" spans="2:3">
      <c r="B375" s="90" t="s">
        <v>55</v>
      </c>
      <c r="C375" s="89">
        <v>30102</v>
      </c>
    </row>
    <row r="376" spans="2:3">
      <c r="B376" s="90" t="s">
        <v>204</v>
      </c>
      <c r="C376" s="89">
        <v>36705</v>
      </c>
    </row>
    <row r="377" spans="2:3">
      <c r="B377" s="90" t="s">
        <v>213</v>
      </c>
      <c r="C377" s="89">
        <v>37005</v>
      </c>
    </row>
    <row r="378" spans="2:3">
      <c r="B378" s="90" t="s">
        <v>100</v>
      </c>
      <c r="C378" s="89">
        <v>32400</v>
      </c>
    </row>
    <row r="379" spans="2:3">
      <c r="B379" s="90" t="s">
        <v>177</v>
      </c>
      <c r="C379" s="89">
        <v>36001</v>
      </c>
    </row>
    <row r="380" spans="2:3">
      <c r="B380" s="90" t="s">
        <v>31</v>
      </c>
      <c r="C380" s="89">
        <v>19005</v>
      </c>
    </row>
    <row r="381" spans="2:3">
      <c r="B381" s="90" t="s">
        <v>179</v>
      </c>
      <c r="C381" s="89">
        <v>36003</v>
      </c>
    </row>
    <row r="382" spans="2:3">
      <c r="B382" s="90" t="s">
        <v>116</v>
      </c>
      <c r="C382" s="89">
        <v>33027</v>
      </c>
    </row>
    <row r="383" spans="2:3">
      <c r="B383" s="90" t="s">
        <v>291</v>
      </c>
      <c r="C383" s="89">
        <v>36004</v>
      </c>
    </row>
    <row r="384" spans="2:3">
      <c r="B384" s="90" t="s">
        <v>105</v>
      </c>
      <c r="C384" s="89">
        <v>32505</v>
      </c>
    </row>
    <row r="385" spans="2:3">
      <c r="B385" s="90" t="s">
        <v>106</v>
      </c>
      <c r="C385" s="89">
        <v>32600</v>
      </c>
    </row>
    <row r="386" spans="2:3">
      <c r="B386" s="90" t="s">
        <v>108</v>
      </c>
      <c r="C386" s="89">
        <v>32700</v>
      </c>
    </row>
    <row r="387" spans="2:3">
      <c r="B387" s="90" t="s">
        <v>109</v>
      </c>
      <c r="C387" s="89">
        <v>32800</v>
      </c>
    </row>
    <row r="388" spans="2:3">
      <c r="B388" s="90" t="s">
        <v>111</v>
      </c>
      <c r="C388" s="89">
        <v>32905</v>
      </c>
    </row>
    <row r="389" spans="2:3">
      <c r="B389" s="90" t="s">
        <v>110</v>
      </c>
      <c r="C389" s="89">
        <v>32900</v>
      </c>
    </row>
    <row r="390" spans="2:3">
      <c r="B390" s="90" t="s">
        <v>114</v>
      </c>
      <c r="C390" s="89">
        <v>33000</v>
      </c>
    </row>
    <row r="391" spans="2:3">
      <c r="B391" s="90" t="s">
        <v>6</v>
      </c>
      <c r="C391" s="89">
        <v>10900</v>
      </c>
    </row>
    <row r="392" spans="2:3">
      <c r="B392" s="90" t="s">
        <v>25</v>
      </c>
      <c r="C392" s="89">
        <v>18400</v>
      </c>
    </row>
    <row r="393" spans="2:3">
      <c r="B393" s="90" t="s">
        <v>19</v>
      </c>
      <c r="C393" s="89">
        <v>12510</v>
      </c>
    </row>
    <row r="394" spans="2:3">
      <c r="B394" s="90" t="s">
        <v>3</v>
      </c>
      <c r="C394" s="89">
        <v>10700</v>
      </c>
    </row>
    <row r="395" spans="2:3">
      <c r="B395" s="90" t="s">
        <v>1</v>
      </c>
      <c r="C395" s="89">
        <v>10400</v>
      </c>
    </row>
    <row r="396" spans="2:3">
      <c r="B396" s="90" t="s">
        <v>49</v>
      </c>
      <c r="C396" s="89">
        <v>22000</v>
      </c>
    </row>
    <row r="397" spans="2:3">
      <c r="B397" s="90" t="s">
        <v>32</v>
      </c>
      <c r="C397" s="89">
        <v>19100</v>
      </c>
    </row>
    <row r="398" spans="2:3">
      <c r="B398" s="90" t="s">
        <v>288</v>
      </c>
      <c r="C398" s="98">
        <v>33403</v>
      </c>
    </row>
    <row r="399" spans="2:3">
      <c r="B399" s="90" t="s">
        <v>117</v>
      </c>
      <c r="C399" s="89">
        <v>33100</v>
      </c>
    </row>
    <row r="400" spans="2:3">
      <c r="B400" s="90" t="s">
        <v>119</v>
      </c>
      <c r="C400" s="89">
        <v>33200</v>
      </c>
    </row>
    <row r="401" spans="2:3">
      <c r="B401" s="90" t="s">
        <v>123</v>
      </c>
      <c r="C401" s="89">
        <v>33205</v>
      </c>
    </row>
    <row r="402" spans="2:3">
      <c r="B402" s="90" t="s">
        <v>35</v>
      </c>
      <c r="C402" s="89">
        <v>20300</v>
      </c>
    </row>
    <row r="403" spans="2:3">
      <c r="B403" s="90" t="s">
        <v>292</v>
      </c>
      <c r="C403" s="89">
        <v>39208</v>
      </c>
    </row>
    <row r="404" spans="2:3">
      <c r="B404" s="90" t="s">
        <v>96</v>
      </c>
      <c r="C404" s="89">
        <v>32100</v>
      </c>
    </row>
    <row r="405" spans="2:3">
      <c r="B405" s="90" t="s">
        <v>125</v>
      </c>
      <c r="C405" s="89">
        <v>33300</v>
      </c>
    </row>
    <row r="406" spans="2:3">
      <c r="B406" s="90" t="s">
        <v>126</v>
      </c>
      <c r="C406" s="89">
        <v>33305</v>
      </c>
    </row>
    <row r="407" spans="2:3">
      <c r="B407" s="90" t="s">
        <v>212</v>
      </c>
      <c r="C407" s="89">
        <v>37000</v>
      </c>
    </row>
    <row r="408" spans="2:3">
      <c r="B408" s="90" t="s">
        <v>36</v>
      </c>
      <c r="C408" s="89">
        <v>20400</v>
      </c>
    </row>
    <row r="409" spans="2:3">
      <c r="B409" s="90" t="s">
        <v>251</v>
      </c>
      <c r="C409" s="89">
        <v>38620</v>
      </c>
    </row>
    <row r="410" spans="2:3">
      <c r="B410" s="90" t="s">
        <v>262</v>
      </c>
      <c r="C410" s="89">
        <v>39201</v>
      </c>
    </row>
    <row r="411" spans="2:3">
      <c r="B411" s="90" t="s">
        <v>11</v>
      </c>
      <c r="C411" s="89">
        <v>11300</v>
      </c>
    </row>
    <row r="412" spans="2:3">
      <c r="B412" s="90" t="s">
        <v>75</v>
      </c>
      <c r="C412" s="89">
        <v>31102</v>
      </c>
    </row>
    <row r="413" spans="2:3">
      <c r="B413" s="90" t="s">
        <v>74</v>
      </c>
      <c r="C413" s="89">
        <v>31101</v>
      </c>
    </row>
    <row r="414" spans="2:3">
      <c r="B414" s="90" t="s">
        <v>37</v>
      </c>
      <c r="C414" s="89">
        <v>20600</v>
      </c>
    </row>
    <row r="415" spans="2:3">
      <c r="B415" s="90" t="s">
        <v>107</v>
      </c>
      <c r="C415" s="89">
        <v>32605</v>
      </c>
    </row>
    <row r="416" spans="2:3">
      <c r="B416" s="90" t="s">
        <v>129</v>
      </c>
      <c r="C416" s="98">
        <v>33405</v>
      </c>
    </row>
    <row r="417" spans="2:3">
      <c r="B417" s="90" t="s">
        <v>130</v>
      </c>
      <c r="C417" s="98">
        <v>33500</v>
      </c>
    </row>
    <row r="418" spans="2:3">
      <c r="B418" s="90" t="s">
        <v>133</v>
      </c>
      <c r="C418" s="89">
        <v>33605</v>
      </c>
    </row>
    <row r="419" spans="2:3">
      <c r="B419" s="90" t="s">
        <v>201</v>
      </c>
      <c r="C419" s="89">
        <v>36601</v>
      </c>
    </row>
    <row r="420" spans="2:3">
      <c r="B420" s="90" t="s">
        <v>132</v>
      </c>
      <c r="C420" s="89">
        <v>33600</v>
      </c>
    </row>
    <row r="421" spans="2:3">
      <c r="B421" s="90" t="s">
        <v>134</v>
      </c>
      <c r="C421" s="89">
        <v>33700</v>
      </c>
    </row>
    <row r="422" spans="2:3">
      <c r="B422" s="90" t="s">
        <v>17</v>
      </c>
      <c r="C422" s="89">
        <v>12160</v>
      </c>
    </row>
    <row r="423" spans="2:3">
      <c r="B423" s="90" t="s">
        <v>15</v>
      </c>
      <c r="C423" s="89">
        <v>12100</v>
      </c>
    </row>
    <row r="424" spans="2:3">
      <c r="B424" s="90" t="s">
        <v>135</v>
      </c>
      <c r="C424" s="89">
        <v>33800</v>
      </c>
    </row>
    <row r="425" spans="2:3">
      <c r="B425" s="90" t="s">
        <v>65</v>
      </c>
      <c r="C425" s="89">
        <v>30601</v>
      </c>
    </row>
    <row r="426" spans="2:3">
      <c r="B426" s="90" t="s">
        <v>136</v>
      </c>
      <c r="C426" s="89">
        <v>33900</v>
      </c>
    </row>
    <row r="427" spans="2:3">
      <c r="B427" s="90" t="s">
        <v>243</v>
      </c>
      <c r="C427" s="89">
        <v>38402</v>
      </c>
    </row>
    <row r="428" spans="2:3">
      <c r="B428" s="90" t="s">
        <v>137</v>
      </c>
      <c r="C428" s="89">
        <v>34000</v>
      </c>
    </row>
    <row r="429" spans="2:3">
      <c r="B429" s="90" t="s">
        <v>138</v>
      </c>
      <c r="C429" s="89">
        <v>34100</v>
      </c>
    </row>
    <row r="430" spans="2:3">
      <c r="B430" s="90" t="s">
        <v>139</v>
      </c>
      <c r="C430" s="89">
        <v>34105</v>
      </c>
    </row>
    <row r="431" spans="2:3">
      <c r="B431" s="90" t="s">
        <v>141</v>
      </c>
      <c r="C431" s="89">
        <v>34205</v>
      </c>
    </row>
    <row r="432" spans="2:3">
      <c r="B432" s="90" t="s">
        <v>140</v>
      </c>
      <c r="C432" s="89">
        <v>34200</v>
      </c>
    </row>
    <row r="433" spans="2:3">
      <c r="B433" s="90" t="s">
        <v>267</v>
      </c>
      <c r="C433" s="89">
        <v>39301</v>
      </c>
    </row>
    <row r="434" spans="2:3">
      <c r="B434" s="90" t="s">
        <v>144</v>
      </c>
      <c r="C434" s="89">
        <v>34300</v>
      </c>
    </row>
    <row r="435" spans="2:3">
      <c r="B435" s="90" t="s">
        <v>145</v>
      </c>
      <c r="C435" s="89">
        <v>34400</v>
      </c>
    </row>
    <row r="436" spans="2:3">
      <c r="B436" s="90" t="s">
        <v>146</v>
      </c>
      <c r="C436" s="89">
        <v>34405</v>
      </c>
    </row>
    <row r="437" spans="2:3">
      <c r="B437" s="90" t="s">
        <v>18</v>
      </c>
      <c r="C437" s="89">
        <v>12220</v>
      </c>
    </row>
    <row r="438" spans="2:3">
      <c r="B438" s="90" t="s">
        <v>121</v>
      </c>
      <c r="C438" s="89">
        <v>33203</v>
      </c>
    </row>
    <row r="439" spans="2:3">
      <c r="B439" s="90" t="s">
        <v>269</v>
      </c>
      <c r="C439" s="89">
        <v>39401</v>
      </c>
    </row>
    <row r="440" spans="2:3">
      <c r="B440" s="90" t="s">
        <v>147</v>
      </c>
      <c r="C440" s="89">
        <v>34500</v>
      </c>
    </row>
    <row r="441" spans="2:3">
      <c r="B441" s="90" t="s">
        <v>150</v>
      </c>
      <c r="C441" s="89">
        <v>34600</v>
      </c>
    </row>
    <row r="442" spans="2:3">
      <c r="B442" s="90" t="s">
        <v>91</v>
      </c>
      <c r="C442" s="89">
        <v>31810</v>
      </c>
    </row>
    <row r="443" spans="2:3">
      <c r="B443" s="5" t="s">
        <v>470</v>
      </c>
      <c r="C443" s="191">
        <v>51000.2</v>
      </c>
    </row>
    <row r="444" spans="2:3">
      <c r="B444" s="5" t="s">
        <v>471</v>
      </c>
      <c r="C444" s="191">
        <v>51000.3</v>
      </c>
    </row>
    <row r="445" spans="2:3">
      <c r="B445" s="5" t="s">
        <v>469</v>
      </c>
      <c r="C445" s="191">
        <v>51000</v>
      </c>
    </row>
    <row r="446" spans="2:3">
      <c r="B446" s="90" t="s">
        <v>152</v>
      </c>
      <c r="C446" s="89">
        <v>34700</v>
      </c>
    </row>
    <row r="447" spans="2:3">
      <c r="B447" s="90" t="s">
        <v>153</v>
      </c>
      <c r="C447" s="89">
        <v>34800</v>
      </c>
    </row>
    <row r="448" spans="2:3">
      <c r="B448" s="90" t="s">
        <v>8</v>
      </c>
      <c r="C448" s="89">
        <v>10930</v>
      </c>
    </row>
    <row r="449" spans="2:3">
      <c r="B449" s="90" t="s">
        <v>20</v>
      </c>
      <c r="C449" s="89">
        <v>12600</v>
      </c>
    </row>
    <row r="450" spans="2:3">
      <c r="B450" s="90" t="s">
        <v>362</v>
      </c>
      <c r="C450" s="89">
        <v>33207</v>
      </c>
    </row>
    <row r="451" spans="2:3">
      <c r="B451" s="90" t="s">
        <v>287</v>
      </c>
      <c r="C451" s="89">
        <v>32901</v>
      </c>
    </row>
    <row r="452" spans="2:3">
      <c r="B452" s="90" t="s">
        <v>289</v>
      </c>
      <c r="C452" s="89">
        <v>34900</v>
      </c>
    </row>
    <row r="453" spans="2:3">
      <c r="B453" s="90" t="s">
        <v>237</v>
      </c>
      <c r="C453" s="89">
        <v>38105</v>
      </c>
    </row>
    <row r="454" spans="2:3">
      <c r="B454" s="90" t="s">
        <v>157</v>
      </c>
      <c r="C454" s="89">
        <v>35000</v>
      </c>
    </row>
    <row r="455" spans="2:3">
      <c r="B455" s="90" t="s">
        <v>118</v>
      </c>
      <c r="C455" s="89">
        <v>33105</v>
      </c>
    </row>
    <row r="456" spans="2:3">
      <c r="B456" s="90" t="s">
        <v>159</v>
      </c>
      <c r="C456" s="89">
        <v>35100</v>
      </c>
    </row>
    <row r="457" spans="2:3">
      <c r="B457" s="90" t="s">
        <v>160</v>
      </c>
      <c r="C457" s="89">
        <v>35105</v>
      </c>
    </row>
    <row r="458" spans="2:3">
      <c r="B458" s="90" t="s">
        <v>162</v>
      </c>
      <c r="C458" s="89">
        <v>35200</v>
      </c>
    </row>
    <row r="459" spans="2:3">
      <c r="B459" s="90" t="s">
        <v>82</v>
      </c>
      <c r="C459" s="89">
        <v>31320</v>
      </c>
    </row>
    <row r="460" spans="2:3">
      <c r="B460" s="90" t="s">
        <v>178</v>
      </c>
      <c r="C460" s="89">
        <v>36002</v>
      </c>
    </row>
    <row r="461" spans="2:3">
      <c r="B461" s="90" t="s">
        <v>167</v>
      </c>
      <c r="C461" s="89">
        <v>35402</v>
      </c>
    </row>
    <row r="462" spans="2:3">
      <c r="B462" s="90" t="s">
        <v>186</v>
      </c>
      <c r="C462" s="89">
        <v>36102</v>
      </c>
    </row>
    <row r="463" spans="2:3">
      <c r="B463" s="90" t="s">
        <v>363</v>
      </c>
      <c r="C463" s="89">
        <v>33208</v>
      </c>
    </row>
    <row r="464" spans="2:3">
      <c r="B464" s="90" t="s">
        <v>21</v>
      </c>
      <c r="C464" s="89">
        <v>12700</v>
      </c>
    </row>
    <row r="465" spans="2:3">
      <c r="B465" s="90" t="s">
        <v>181</v>
      </c>
      <c r="C465" s="89">
        <v>36006</v>
      </c>
    </row>
    <row r="466" spans="2:3">
      <c r="B466" s="90" t="s">
        <v>168</v>
      </c>
      <c r="C466" s="89">
        <v>35405</v>
      </c>
    </row>
    <row r="467" spans="2:3">
      <c r="B467" s="90" t="s">
        <v>165</v>
      </c>
      <c r="C467" s="89">
        <v>35400</v>
      </c>
    </row>
    <row r="468" spans="2:3">
      <c r="B468" s="90" t="s">
        <v>112</v>
      </c>
      <c r="C468" s="89">
        <v>32910</v>
      </c>
    </row>
    <row r="469" spans="2:3">
      <c r="B469" s="90" t="s">
        <v>169</v>
      </c>
      <c r="C469" s="89">
        <v>35500</v>
      </c>
    </row>
    <row r="470" spans="2:3">
      <c r="B470" s="90" t="s">
        <v>16</v>
      </c>
      <c r="C470" s="89">
        <v>12150</v>
      </c>
    </row>
    <row r="471" spans="2:3">
      <c r="B471" s="90" t="s">
        <v>170</v>
      </c>
      <c r="C471" s="89">
        <v>35600</v>
      </c>
    </row>
    <row r="472" spans="2:3">
      <c r="B472" s="90" t="s">
        <v>171</v>
      </c>
      <c r="C472" s="89">
        <v>35700</v>
      </c>
    </row>
    <row r="473" spans="2:3">
      <c r="B473" s="90" t="s">
        <v>173</v>
      </c>
      <c r="C473" s="89">
        <v>35805</v>
      </c>
    </row>
    <row r="474" spans="2:3">
      <c r="B474" s="90" t="s">
        <v>172</v>
      </c>
      <c r="C474" s="89">
        <v>35800</v>
      </c>
    </row>
    <row r="475" spans="2:3">
      <c r="B475" s="90" t="s">
        <v>187</v>
      </c>
      <c r="C475" s="89">
        <v>36105</v>
      </c>
    </row>
    <row r="476" spans="2:3">
      <c r="B476" s="90" t="s">
        <v>174</v>
      </c>
      <c r="C476" s="89">
        <v>35900</v>
      </c>
    </row>
    <row r="477" spans="2:3">
      <c r="B477" s="90" t="s">
        <v>175</v>
      </c>
      <c r="C477" s="89">
        <v>35905</v>
      </c>
    </row>
    <row r="478" spans="2:3">
      <c r="B478" s="90" t="s">
        <v>248</v>
      </c>
      <c r="C478" s="89">
        <v>38602</v>
      </c>
    </row>
    <row r="479" spans="2:3">
      <c r="B479" s="90" t="s">
        <v>155</v>
      </c>
      <c r="C479" s="89">
        <v>34905</v>
      </c>
    </row>
    <row r="480" spans="2:3">
      <c r="B480" s="90" t="s">
        <v>185</v>
      </c>
      <c r="C480" s="89">
        <v>36100</v>
      </c>
    </row>
    <row r="481" spans="2:3">
      <c r="B481" s="90" t="s">
        <v>189</v>
      </c>
      <c r="C481" s="89">
        <v>36205</v>
      </c>
    </row>
    <row r="482" spans="2:3">
      <c r="B482" s="90" t="s">
        <v>188</v>
      </c>
      <c r="C482" s="89">
        <v>36200</v>
      </c>
    </row>
    <row r="483" spans="2:3">
      <c r="B483" s="90" t="s">
        <v>190</v>
      </c>
      <c r="C483" s="89">
        <v>36300</v>
      </c>
    </row>
    <row r="484" spans="2:3">
      <c r="B484" s="90" t="s">
        <v>156</v>
      </c>
      <c r="C484" s="89">
        <v>34910</v>
      </c>
    </row>
    <row r="485" spans="2:3">
      <c r="B485" s="90" t="s">
        <v>250</v>
      </c>
      <c r="C485" s="89">
        <v>38610</v>
      </c>
    </row>
    <row r="486" spans="2:3">
      <c r="B486" s="90" t="s">
        <v>148</v>
      </c>
      <c r="C486" s="89">
        <v>34501</v>
      </c>
    </row>
    <row r="487" spans="2:3">
      <c r="B487" s="90" t="s">
        <v>253</v>
      </c>
      <c r="C487" s="89">
        <v>38701</v>
      </c>
    </row>
    <row r="488" spans="2:3">
      <c r="B488" s="90" t="s">
        <v>29</v>
      </c>
      <c r="C488" s="89">
        <v>18740</v>
      </c>
    </row>
    <row r="489" spans="2:3">
      <c r="B489" s="90" t="s">
        <v>39</v>
      </c>
      <c r="C489" s="89">
        <v>20800</v>
      </c>
    </row>
    <row r="490" spans="2:3">
      <c r="B490" s="90" t="s">
        <v>28</v>
      </c>
      <c r="C490" s="89">
        <v>18690</v>
      </c>
    </row>
    <row r="491" spans="2:3">
      <c r="B491" s="90" t="s">
        <v>10</v>
      </c>
      <c r="C491" s="89">
        <v>10950</v>
      </c>
    </row>
    <row r="492" spans="2:3">
      <c r="B492" s="90" t="s">
        <v>34</v>
      </c>
      <c r="C492" s="89">
        <v>20200</v>
      </c>
    </row>
    <row r="493" spans="2:3">
      <c r="B493" s="90" t="s">
        <v>30</v>
      </c>
      <c r="C493" s="89">
        <v>18780</v>
      </c>
    </row>
    <row r="494" spans="2:3">
      <c r="B494" s="90" t="s">
        <v>42</v>
      </c>
      <c r="C494" s="89">
        <v>21300</v>
      </c>
    </row>
    <row r="495" spans="2:3">
      <c r="B495" s="90" t="s">
        <v>468</v>
      </c>
      <c r="C495" s="89">
        <v>37001</v>
      </c>
    </row>
    <row r="496" spans="2:3">
      <c r="B496" s="90" t="s">
        <v>115</v>
      </c>
      <c r="C496" s="89">
        <v>33001</v>
      </c>
    </row>
    <row r="497" spans="2:3">
      <c r="B497" s="90" t="s">
        <v>195</v>
      </c>
      <c r="C497" s="89">
        <v>36405</v>
      </c>
    </row>
    <row r="498" spans="2:3">
      <c r="B498" s="90" t="s">
        <v>194</v>
      </c>
      <c r="C498" s="89">
        <v>36400</v>
      </c>
    </row>
    <row r="499" spans="2:3">
      <c r="B499" s="90" t="s">
        <v>38</v>
      </c>
      <c r="C499" s="89">
        <v>20700</v>
      </c>
    </row>
    <row r="500" spans="2:3">
      <c r="B500" s="90" t="s">
        <v>284</v>
      </c>
      <c r="C500" s="89">
        <v>14200</v>
      </c>
    </row>
    <row r="501" spans="2:3">
      <c r="B501" s="90" t="s">
        <v>12</v>
      </c>
      <c r="C501" s="89">
        <v>11310</v>
      </c>
    </row>
    <row r="502" spans="2:3">
      <c r="B502" s="90" t="s">
        <v>161</v>
      </c>
      <c r="C502" s="89">
        <v>35106</v>
      </c>
    </row>
    <row r="503" spans="2:3">
      <c r="B503" s="90" t="s">
        <v>104</v>
      </c>
      <c r="C503" s="89">
        <v>32500</v>
      </c>
    </row>
    <row r="504" spans="2:3">
      <c r="B504" s="90" t="s">
        <v>196</v>
      </c>
      <c r="C504" s="89">
        <v>36500</v>
      </c>
    </row>
    <row r="505" spans="2:3">
      <c r="B505" s="90" t="s">
        <v>92</v>
      </c>
      <c r="C505" s="89">
        <v>31820</v>
      </c>
    </row>
    <row r="506" spans="2:3">
      <c r="B506" s="90" t="s">
        <v>27</v>
      </c>
      <c r="C506" s="89">
        <v>18640</v>
      </c>
    </row>
    <row r="507" spans="2:3">
      <c r="B507" s="90" t="s">
        <v>0</v>
      </c>
      <c r="C507" s="89">
        <v>10200</v>
      </c>
    </row>
    <row r="508" spans="2:3">
      <c r="B508" s="90" t="s">
        <v>200</v>
      </c>
      <c r="C508" s="89">
        <v>36600</v>
      </c>
    </row>
    <row r="509" spans="2:3">
      <c r="B509" s="90" t="s">
        <v>5</v>
      </c>
      <c r="C509" s="89">
        <v>10850</v>
      </c>
    </row>
    <row r="510" spans="2:3">
      <c r="B510" s="90" t="s">
        <v>7</v>
      </c>
      <c r="C510" s="89">
        <v>10910</v>
      </c>
    </row>
    <row r="511" spans="2:3">
      <c r="B511" s="90" t="s">
        <v>9</v>
      </c>
      <c r="C511" s="89">
        <v>10940</v>
      </c>
    </row>
    <row r="512" spans="2:3">
      <c r="B512" s="90" t="s">
        <v>202</v>
      </c>
      <c r="C512" s="89">
        <v>36700</v>
      </c>
    </row>
    <row r="513" spans="2:3">
      <c r="B513" s="90" t="s">
        <v>207</v>
      </c>
      <c r="C513" s="89">
        <v>36802</v>
      </c>
    </row>
    <row r="514" spans="2:3">
      <c r="B514" s="90" t="s">
        <v>205</v>
      </c>
      <c r="C514" s="89">
        <v>36800</v>
      </c>
    </row>
    <row r="515" spans="2:3">
      <c r="B515" s="90" t="s">
        <v>206</v>
      </c>
      <c r="C515" s="89">
        <v>36801</v>
      </c>
    </row>
    <row r="516" spans="2:3">
      <c r="B516" s="90" t="s">
        <v>211</v>
      </c>
      <c r="C516" s="89">
        <v>36905</v>
      </c>
    </row>
    <row r="517" spans="2:3">
      <c r="B517" s="90" t="s">
        <v>209</v>
      </c>
      <c r="C517" s="89">
        <v>36900</v>
      </c>
    </row>
    <row r="518" spans="2:3">
      <c r="B518" s="90" t="s">
        <v>214</v>
      </c>
      <c r="C518" s="89">
        <v>37100</v>
      </c>
    </row>
    <row r="519" spans="2:3">
      <c r="B519" s="90" t="s">
        <v>215</v>
      </c>
      <c r="C519" s="89">
        <v>37200</v>
      </c>
    </row>
    <row r="520" spans="2:3">
      <c r="B520" s="90" t="s">
        <v>216</v>
      </c>
      <c r="C520" s="89">
        <v>37300</v>
      </c>
    </row>
    <row r="521" spans="2:3">
      <c r="B521" s="90" t="s">
        <v>218</v>
      </c>
      <c r="C521" s="89">
        <v>37305</v>
      </c>
    </row>
    <row r="522" spans="2:3">
      <c r="B522" s="90" t="s">
        <v>183</v>
      </c>
      <c r="C522" s="89">
        <v>36008</v>
      </c>
    </row>
    <row r="523" spans="2:3">
      <c r="B523" s="90" t="s">
        <v>275</v>
      </c>
      <c r="C523" s="89">
        <v>39703</v>
      </c>
    </row>
    <row r="524" spans="2:3">
      <c r="B524" s="90" t="s">
        <v>364</v>
      </c>
      <c r="C524" s="89">
        <v>33209</v>
      </c>
    </row>
    <row r="525" spans="2:3">
      <c r="B525" s="90" t="s">
        <v>220</v>
      </c>
      <c r="C525" s="89">
        <v>37405</v>
      </c>
    </row>
    <row r="526" spans="2:3">
      <c r="B526" s="90" t="s">
        <v>219</v>
      </c>
      <c r="C526" s="89">
        <v>37400</v>
      </c>
    </row>
    <row r="527" spans="2:3">
      <c r="B527" s="90" t="s">
        <v>221</v>
      </c>
      <c r="C527" s="89">
        <v>37500</v>
      </c>
    </row>
    <row r="528" spans="2:3">
      <c r="B528" s="90" t="s">
        <v>224</v>
      </c>
      <c r="C528" s="89">
        <v>37605</v>
      </c>
    </row>
    <row r="529" spans="2:3">
      <c r="B529" s="90" t="s">
        <v>222</v>
      </c>
      <c r="C529" s="89">
        <v>37600</v>
      </c>
    </row>
    <row r="530" spans="2:3">
      <c r="B530" s="90" t="s">
        <v>22</v>
      </c>
      <c r="C530" s="89">
        <v>13500</v>
      </c>
    </row>
    <row r="531" spans="2:3">
      <c r="B531" s="90" t="s">
        <v>226</v>
      </c>
      <c r="C531" s="89">
        <v>37700</v>
      </c>
    </row>
    <row r="532" spans="2:3">
      <c r="B532" s="90" t="s">
        <v>227</v>
      </c>
      <c r="C532" s="89">
        <v>37705</v>
      </c>
    </row>
    <row r="533" spans="2:3">
      <c r="B533" s="90" t="s">
        <v>56</v>
      </c>
      <c r="C533" s="89">
        <v>30103</v>
      </c>
    </row>
    <row r="534" spans="2:3">
      <c r="B534" s="90" t="s">
        <v>142</v>
      </c>
      <c r="C534" s="89">
        <v>34220</v>
      </c>
    </row>
    <row r="535" spans="2:3">
      <c r="B535" s="90" t="s">
        <v>151</v>
      </c>
      <c r="C535" s="89">
        <v>34605</v>
      </c>
    </row>
    <row r="536" spans="2:3">
      <c r="B536" s="90" t="s">
        <v>230</v>
      </c>
      <c r="C536" s="89">
        <v>37805</v>
      </c>
    </row>
    <row r="537" spans="2:3">
      <c r="B537" s="90" t="s">
        <v>228</v>
      </c>
      <c r="C537" s="89">
        <v>37800</v>
      </c>
    </row>
    <row r="538" spans="2:3">
      <c r="B538" s="90" t="s">
        <v>233</v>
      </c>
      <c r="C538" s="89">
        <v>37905</v>
      </c>
    </row>
    <row r="539" spans="2:3">
      <c r="B539" s="90" t="s">
        <v>231</v>
      </c>
      <c r="C539" s="89">
        <v>37900</v>
      </c>
    </row>
    <row r="540" spans="2:3">
      <c r="B540" s="90" t="s">
        <v>235</v>
      </c>
      <c r="C540" s="89">
        <v>38005</v>
      </c>
    </row>
    <row r="541" spans="2:3">
      <c r="B541" s="90" t="s">
        <v>234</v>
      </c>
      <c r="C541" s="89">
        <v>38000</v>
      </c>
    </row>
    <row r="542" spans="2:3">
      <c r="B542" s="90" t="s">
        <v>217</v>
      </c>
      <c r="C542" s="89">
        <v>37301</v>
      </c>
    </row>
    <row r="543" spans="2:3">
      <c r="B543" s="90" t="s">
        <v>236</v>
      </c>
      <c r="C543" s="89">
        <v>38100</v>
      </c>
    </row>
    <row r="544" spans="2:3">
      <c r="B544" s="90" t="s">
        <v>239</v>
      </c>
      <c r="C544" s="89">
        <v>38205</v>
      </c>
    </row>
    <row r="545" spans="2:3">
      <c r="B545" s="90" t="s">
        <v>238</v>
      </c>
      <c r="C545" s="89">
        <v>38200</v>
      </c>
    </row>
    <row r="546" spans="2:3">
      <c r="B546" s="90" t="s">
        <v>193</v>
      </c>
      <c r="C546" s="89">
        <v>36305</v>
      </c>
    </row>
    <row r="547" spans="2:3">
      <c r="B547" s="90" t="s">
        <v>163</v>
      </c>
      <c r="C547" s="89">
        <v>35300</v>
      </c>
    </row>
    <row r="548" spans="2:3">
      <c r="B548" s="90" t="s">
        <v>241</v>
      </c>
      <c r="C548" s="89">
        <v>38300</v>
      </c>
    </row>
    <row r="549" spans="2:3">
      <c r="B549" s="90" t="s">
        <v>23</v>
      </c>
      <c r="C549" s="89">
        <v>13700</v>
      </c>
    </row>
    <row r="550" spans="2:3">
      <c r="B550" s="90" t="s">
        <v>103</v>
      </c>
      <c r="C550" s="89">
        <v>32420</v>
      </c>
    </row>
    <row r="551" spans="2:3">
      <c r="B551" s="90" t="s">
        <v>182</v>
      </c>
      <c r="C551" s="89">
        <v>36007</v>
      </c>
    </row>
    <row r="552" spans="2:3">
      <c r="B552" s="90" t="s">
        <v>62</v>
      </c>
      <c r="C552" s="89">
        <v>30405</v>
      </c>
    </row>
    <row r="553" spans="2:3">
      <c r="B553" s="90" t="s">
        <v>229</v>
      </c>
      <c r="C553" s="89">
        <v>37801</v>
      </c>
    </row>
    <row r="554" spans="2:3">
      <c r="B554" s="90" t="s">
        <v>101</v>
      </c>
      <c r="C554" s="89">
        <v>32405</v>
      </c>
    </row>
    <row r="555" spans="2:3">
      <c r="B555" s="90" t="s">
        <v>263</v>
      </c>
      <c r="C555" s="89">
        <v>39204</v>
      </c>
    </row>
    <row r="556" spans="2:3">
      <c r="B556" s="90" t="s">
        <v>158</v>
      </c>
      <c r="C556" s="89">
        <v>35005</v>
      </c>
    </row>
    <row r="557" spans="2:3">
      <c r="B557" s="90" t="s">
        <v>244</v>
      </c>
      <c r="C557" s="89">
        <v>38405</v>
      </c>
    </row>
    <row r="558" spans="2:3">
      <c r="B558" s="90" t="s">
        <v>242</v>
      </c>
      <c r="C558" s="89">
        <v>38400</v>
      </c>
    </row>
    <row r="559" spans="2:3">
      <c r="B559" s="90" t="s">
        <v>192</v>
      </c>
      <c r="C559" s="89">
        <v>36302</v>
      </c>
    </row>
    <row r="560" spans="2:3">
      <c r="B560" s="90" t="s">
        <v>2</v>
      </c>
      <c r="C560" s="89">
        <v>10500</v>
      </c>
    </row>
    <row r="561" spans="2:3">
      <c r="B561" s="90" t="s">
        <v>14</v>
      </c>
      <c r="C561" s="89">
        <v>11900</v>
      </c>
    </row>
    <row r="562" spans="2:3">
      <c r="B562" s="90" t="s">
        <v>285</v>
      </c>
      <c r="C562" s="89">
        <v>18670</v>
      </c>
    </row>
    <row r="563" spans="2:3">
      <c r="B563" s="90" t="s">
        <v>465</v>
      </c>
      <c r="C563" s="89">
        <v>14300.2</v>
      </c>
    </row>
    <row r="564" spans="2:3">
      <c r="B564" s="90" t="s">
        <v>464</v>
      </c>
      <c r="C564" s="89">
        <v>14300</v>
      </c>
    </row>
    <row r="565" spans="2:3">
      <c r="B565" s="90" t="s">
        <v>245</v>
      </c>
      <c r="C565" s="89">
        <v>38500</v>
      </c>
    </row>
    <row r="566" spans="2:3">
      <c r="B566" s="90" t="s">
        <v>154</v>
      </c>
      <c r="C566" s="89">
        <v>34903</v>
      </c>
    </row>
    <row r="567" spans="2:3">
      <c r="B567" s="90" t="s">
        <v>249</v>
      </c>
      <c r="C567" s="89">
        <v>38605</v>
      </c>
    </row>
    <row r="568" spans="2:3">
      <c r="B568" s="90" t="s">
        <v>246</v>
      </c>
      <c r="C568" s="89">
        <v>38600</v>
      </c>
    </row>
    <row r="569" spans="2:3">
      <c r="B569" s="90" t="s">
        <v>252</v>
      </c>
      <c r="C569" s="89">
        <v>38700</v>
      </c>
    </row>
    <row r="570" spans="2:3">
      <c r="B570" s="90" t="s">
        <v>57</v>
      </c>
      <c r="C570" s="89">
        <v>30104</v>
      </c>
    </row>
    <row r="571" spans="2:3">
      <c r="B571" s="90" t="s">
        <v>113</v>
      </c>
      <c r="C571" s="89">
        <v>32920</v>
      </c>
    </row>
    <row r="572" spans="2:3">
      <c r="B572" s="90" t="s">
        <v>254</v>
      </c>
      <c r="C572" s="89">
        <v>38800</v>
      </c>
    </row>
    <row r="573" spans="2:3">
      <c r="B573" s="90" t="s">
        <v>95</v>
      </c>
      <c r="C573" s="89">
        <v>32005</v>
      </c>
    </row>
    <row r="574" spans="2:3">
      <c r="B574" s="90" t="s">
        <v>271</v>
      </c>
      <c r="C574" s="89">
        <v>39501</v>
      </c>
    </row>
    <row r="575" spans="2:3">
      <c r="B575" s="90" t="s">
        <v>256</v>
      </c>
      <c r="C575" s="89">
        <v>38900</v>
      </c>
    </row>
    <row r="576" spans="2:3">
      <c r="B576" s="90" t="s">
        <v>41</v>
      </c>
      <c r="C576" s="89">
        <v>21200</v>
      </c>
    </row>
    <row r="577" spans="2:3">
      <c r="B577" s="90" t="s">
        <v>45</v>
      </c>
      <c r="C577" s="89">
        <v>21550</v>
      </c>
    </row>
    <row r="578" spans="2:3">
      <c r="B578" s="90" t="s">
        <v>43</v>
      </c>
      <c r="C578" s="89">
        <v>21520</v>
      </c>
    </row>
    <row r="579" spans="2:3">
      <c r="B579" s="90" t="s">
        <v>467</v>
      </c>
      <c r="C579" s="89">
        <v>21525.200000000001</v>
      </c>
    </row>
    <row r="580" spans="2:3">
      <c r="B580" s="90" t="s">
        <v>466</v>
      </c>
      <c r="C580" s="89">
        <v>21525</v>
      </c>
    </row>
    <row r="581" spans="2:3">
      <c r="B581" s="90" t="s">
        <v>257</v>
      </c>
      <c r="C581" s="89">
        <v>39000</v>
      </c>
    </row>
    <row r="582" spans="2:3">
      <c r="B582" s="90" t="s">
        <v>50</v>
      </c>
      <c r="C582" s="89">
        <v>23000</v>
      </c>
    </row>
    <row r="583" spans="2:3">
      <c r="B583" s="90" t="s">
        <v>51</v>
      </c>
      <c r="C583" s="89">
        <v>23100</v>
      </c>
    </row>
    <row r="584" spans="2:3">
      <c r="B584" s="90" t="s">
        <v>40</v>
      </c>
      <c r="C584" s="89">
        <v>20900</v>
      </c>
    </row>
    <row r="585" spans="2:3">
      <c r="B585" s="90" t="s">
        <v>52</v>
      </c>
      <c r="C585" s="89">
        <v>23200</v>
      </c>
    </row>
    <row r="586" spans="2:3">
      <c r="B586" s="90" t="s">
        <v>46</v>
      </c>
      <c r="C586" s="89">
        <v>21570</v>
      </c>
    </row>
    <row r="587" spans="2:3">
      <c r="B587" s="90" t="s">
        <v>223</v>
      </c>
      <c r="C587" s="89">
        <v>37601</v>
      </c>
    </row>
    <row r="588" spans="2:3">
      <c r="B588" s="90" t="s">
        <v>259</v>
      </c>
      <c r="C588" s="89">
        <v>39101</v>
      </c>
    </row>
    <row r="589" spans="2:3">
      <c r="B589" s="90" t="s">
        <v>258</v>
      </c>
      <c r="C589" s="89">
        <v>39100</v>
      </c>
    </row>
    <row r="590" spans="2:3">
      <c r="B590" s="90" t="s">
        <v>260</v>
      </c>
      <c r="C590" s="89">
        <v>39105</v>
      </c>
    </row>
    <row r="591" spans="2:3">
      <c r="B591" s="90" t="s">
        <v>122</v>
      </c>
      <c r="C591" s="89">
        <v>33204</v>
      </c>
    </row>
    <row r="592" spans="2:3">
      <c r="B592" s="90" t="s">
        <v>261</v>
      </c>
      <c r="C592" s="89">
        <v>39200</v>
      </c>
    </row>
    <row r="593" spans="2:3">
      <c r="B593" s="90" t="s">
        <v>264</v>
      </c>
      <c r="C593" s="89">
        <v>39205</v>
      </c>
    </row>
    <row r="594" spans="2:3">
      <c r="B594" s="90" t="s">
        <v>266</v>
      </c>
      <c r="C594" s="89">
        <v>39300</v>
      </c>
    </row>
    <row r="595" spans="2:3">
      <c r="B595" s="90" t="s">
        <v>268</v>
      </c>
      <c r="C595" s="89">
        <v>39400</v>
      </c>
    </row>
    <row r="596" spans="2:3">
      <c r="B596" s="90" t="s">
        <v>270</v>
      </c>
      <c r="C596" s="89">
        <v>39500</v>
      </c>
    </row>
    <row r="597" spans="2:3">
      <c r="B597" s="90" t="s">
        <v>273</v>
      </c>
      <c r="C597" s="89">
        <v>39605</v>
      </c>
    </row>
    <row r="598" spans="2:3">
      <c r="B598" s="90" t="s">
        <v>272</v>
      </c>
      <c r="C598" s="89">
        <v>39600</v>
      </c>
    </row>
    <row r="599" spans="2:3">
      <c r="B599" s="90" t="s">
        <v>143</v>
      </c>
      <c r="C599" s="89">
        <v>34230</v>
      </c>
    </row>
    <row r="600" spans="2:3">
      <c r="B600" s="90" t="s">
        <v>47</v>
      </c>
      <c r="C600" s="89">
        <v>21800</v>
      </c>
    </row>
    <row r="601" spans="2:3">
      <c r="B601" s="90" t="s">
        <v>79</v>
      </c>
      <c r="C601" s="89">
        <v>31205</v>
      </c>
    </row>
    <row r="602" spans="2:3">
      <c r="B602" s="90" t="s">
        <v>102</v>
      </c>
      <c r="C602" s="89">
        <v>32410</v>
      </c>
    </row>
    <row r="603" spans="2:3">
      <c r="B603" s="90" t="s">
        <v>13</v>
      </c>
      <c r="C603" s="89">
        <v>11600</v>
      </c>
    </row>
    <row r="604" spans="2:3">
      <c r="B604" s="90" t="s">
        <v>276</v>
      </c>
      <c r="C604" s="89">
        <v>39705</v>
      </c>
    </row>
    <row r="605" spans="2:3">
      <c r="B605" s="90" t="s">
        <v>274</v>
      </c>
      <c r="C605" s="89">
        <v>39700</v>
      </c>
    </row>
    <row r="606" spans="2:3">
      <c r="B606" s="90" t="s">
        <v>198</v>
      </c>
      <c r="C606" s="89">
        <v>36502</v>
      </c>
    </row>
    <row r="607" spans="2:3">
      <c r="B607" s="5" t="s">
        <v>278</v>
      </c>
      <c r="C607" s="191">
        <v>39805</v>
      </c>
    </row>
    <row r="608" spans="2:3">
      <c r="B608" s="90" t="s">
        <v>277</v>
      </c>
      <c r="C608" s="89">
        <v>39800</v>
      </c>
    </row>
    <row r="609" spans="2:3">
      <c r="B609" s="90" t="s">
        <v>48</v>
      </c>
      <c r="C609" s="89">
        <v>21900</v>
      </c>
    </row>
    <row r="610" spans="2:3">
      <c r="B610" s="90" t="s">
        <v>127</v>
      </c>
      <c r="C610" s="89">
        <v>33400</v>
      </c>
    </row>
    <row r="611" spans="2:3">
      <c r="B611" s="192" t="s">
        <v>279</v>
      </c>
      <c r="C611" s="191">
        <v>39900</v>
      </c>
    </row>
    <row r="612" spans="2:3">
      <c r="B612" s="90" t="s">
        <v>53</v>
      </c>
      <c r="C612" s="89">
        <v>30000</v>
      </c>
    </row>
    <row r="613" spans="2:3">
      <c r="B613" s="90" t="s">
        <v>203</v>
      </c>
      <c r="C613" s="89">
        <v>36701</v>
      </c>
    </row>
  </sheetData>
  <sortState ref="B316:C613">
    <sortCondition ref="B316"/>
  </sortState>
  <pageMargins left="0.25" right="0.25" top="0.75" bottom="0.75" header="0.3" footer="0.3"/>
  <pageSetup paperSize="5"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94"/>
  <sheetViews>
    <sheetView zoomScale="80" zoomScaleNormal="80" workbookViewId="0">
      <pane xSplit="7" ySplit="2" topLeftCell="H3" activePane="bottomRight" state="frozen"/>
      <selection pane="topRight" activeCell="F1" sqref="F1"/>
      <selection pane="bottomLeft" activeCell="A3" sqref="A3"/>
      <selection pane="bottomRight" activeCell="H3" sqref="H3"/>
    </sheetView>
  </sheetViews>
  <sheetFormatPr defaultColWidth="9.140625" defaultRowHeight="15"/>
  <cols>
    <col min="1" max="1" width="13.42578125" style="5" customWidth="1"/>
    <col min="2" max="2" width="39" style="5" customWidth="1"/>
    <col min="3" max="4" width="13.85546875" style="5" customWidth="1"/>
    <col min="5" max="6" width="20" style="5" customWidth="1"/>
    <col min="7" max="7" width="20.28515625" style="5" customWidth="1"/>
    <col min="8" max="8" width="3.85546875" style="5" customWidth="1"/>
    <col min="9" max="9" width="18.28515625" style="5" customWidth="1"/>
    <col min="10" max="10" width="20" style="5" customWidth="1"/>
    <col min="11" max="11" width="14.42578125" style="5" customWidth="1"/>
    <col min="12" max="12" width="19.42578125" style="5" customWidth="1"/>
    <col min="13" max="13" width="3.85546875" style="5" customWidth="1"/>
    <col min="14" max="14" width="18.28515625" style="5" customWidth="1"/>
    <col min="15" max="15" width="20" style="5" customWidth="1"/>
    <col min="16" max="16" width="14.42578125" style="5" customWidth="1"/>
    <col min="17" max="17" width="19.42578125" style="5" customWidth="1"/>
    <col min="18" max="18" width="3.85546875" style="5" customWidth="1"/>
    <col min="19" max="19" width="22.28515625" style="5" customWidth="1"/>
    <col min="20" max="20" width="22.42578125" style="5" customWidth="1"/>
    <col min="21" max="21" width="16.85546875" style="5" customWidth="1"/>
    <col min="22" max="23" width="9.140625" style="5"/>
    <col min="24" max="24" width="14.28515625" bestFit="1" customWidth="1"/>
    <col min="25" max="25" width="13.28515625" bestFit="1" customWidth="1"/>
    <col min="26" max="26" width="9.140625" style="5"/>
    <col min="27" max="27" width="11.5703125" style="5" bestFit="1" customWidth="1"/>
    <col min="28" max="28" width="13" style="5" bestFit="1" customWidth="1"/>
    <col min="29" max="29" width="9.140625" style="5"/>
    <col min="30" max="30" width="12.5703125" style="5" bestFit="1" customWidth="1"/>
    <col min="31" max="31" width="11.5703125" style="5" bestFit="1" customWidth="1"/>
    <col min="32" max="32" width="10.5703125" style="5" bestFit="1" customWidth="1"/>
    <col min="33" max="16384" width="9.140625" style="5"/>
  </cols>
  <sheetData>
    <row r="1" spans="1:34">
      <c r="A1" s="85"/>
      <c r="I1" s="86" t="s">
        <v>294</v>
      </c>
      <c r="J1" s="86"/>
      <c r="K1" s="86"/>
      <c r="L1" s="86"/>
      <c r="N1" s="86" t="s">
        <v>295</v>
      </c>
      <c r="O1" s="86"/>
      <c r="P1" s="86"/>
      <c r="Q1" s="86"/>
      <c r="S1" s="86" t="s">
        <v>296</v>
      </c>
      <c r="T1" s="86"/>
      <c r="U1" s="86"/>
      <c r="X1" s="5"/>
      <c r="Y1" s="5"/>
    </row>
    <row r="2" spans="1:34" ht="120">
      <c r="A2" s="9" t="s">
        <v>282</v>
      </c>
      <c r="B2" s="9" t="s">
        <v>283</v>
      </c>
      <c r="C2" s="9" t="s">
        <v>357</v>
      </c>
      <c r="D2" s="9" t="s">
        <v>358</v>
      </c>
      <c r="E2" s="9" t="s">
        <v>306</v>
      </c>
      <c r="F2" s="9" t="s">
        <v>387</v>
      </c>
      <c r="G2" s="9" t="s">
        <v>386</v>
      </c>
      <c r="H2" s="9" t="s">
        <v>359</v>
      </c>
      <c r="I2" s="9" t="s">
        <v>297</v>
      </c>
      <c r="J2" s="9" t="s">
        <v>298</v>
      </c>
      <c r="K2" s="9" t="s">
        <v>299</v>
      </c>
      <c r="L2" s="9" t="s">
        <v>300</v>
      </c>
      <c r="M2" s="9" t="s">
        <v>359</v>
      </c>
      <c r="N2" s="9" t="s">
        <v>297</v>
      </c>
      <c r="O2" s="9" t="s">
        <v>298</v>
      </c>
      <c r="P2" s="9" t="s">
        <v>299</v>
      </c>
      <c r="Q2" s="9" t="s">
        <v>300</v>
      </c>
      <c r="R2" s="9" t="s">
        <v>359</v>
      </c>
      <c r="S2" s="9" t="s">
        <v>301</v>
      </c>
      <c r="T2" s="9" t="s">
        <v>302</v>
      </c>
      <c r="U2" s="9" t="s">
        <v>303</v>
      </c>
      <c r="X2" s="87"/>
      <c r="Y2" s="87"/>
      <c r="Z2" s="5" t="s">
        <v>360</v>
      </c>
      <c r="AB2" s="5" t="s">
        <v>361</v>
      </c>
      <c r="AE2" s="88"/>
      <c r="AF2" s="88"/>
      <c r="AG2" s="88"/>
      <c r="AH2" s="88"/>
    </row>
    <row r="3" spans="1:34">
      <c r="A3" s="89">
        <v>10200</v>
      </c>
      <c r="B3" s="90" t="s">
        <v>0</v>
      </c>
      <c r="C3" s="91">
        <v>1.1215000000000001E-3</v>
      </c>
      <c r="D3" s="91">
        <v>1.1096000000000001E-3</v>
      </c>
      <c r="E3" s="92">
        <v>1278633.06</v>
      </c>
      <c r="F3" s="92">
        <f t="shared" ref="F3:F66" si="0">D3*$F$298</f>
        <v>1300918.4625464</v>
      </c>
      <c r="G3" s="92">
        <v>4132950</v>
      </c>
      <c r="H3" s="92"/>
      <c r="I3" s="93">
        <v>0</v>
      </c>
      <c r="J3" s="93">
        <v>2884079</v>
      </c>
      <c r="K3" s="93">
        <v>0</v>
      </c>
      <c r="L3" s="92">
        <v>136810</v>
      </c>
      <c r="M3" s="92"/>
      <c r="N3" s="93">
        <v>469916</v>
      </c>
      <c r="O3" s="93">
        <v>3331849</v>
      </c>
      <c r="P3" s="93">
        <v>0</v>
      </c>
      <c r="Q3" s="92">
        <v>57108</v>
      </c>
      <c r="R3" s="92"/>
      <c r="S3" s="93">
        <v>402714</v>
      </c>
      <c r="T3" s="94">
        <v>33216</v>
      </c>
      <c r="U3" s="94">
        <v>435930</v>
      </c>
      <c r="X3" s="95">
        <v>1.1096000000000001E-3</v>
      </c>
      <c r="Y3" s="96">
        <f>+X3-D3</f>
        <v>0</v>
      </c>
      <c r="Z3" s="88">
        <f>+S3+T3-U3</f>
        <v>0</v>
      </c>
      <c r="AB3" s="75">
        <f>+J3-O3</f>
        <v>-447770</v>
      </c>
      <c r="AC3" s="75">
        <v>1</v>
      </c>
      <c r="AD3" s="7"/>
      <c r="AE3" s="7"/>
      <c r="AF3" s="7"/>
      <c r="AG3" s="7"/>
    </row>
    <row r="4" spans="1:34">
      <c r="A4" s="89">
        <v>10400</v>
      </c>
      <c r="B4" s="90" t="s">
        <v>1</v>
      </c>
      <c r="C4" s="97">
        <v>3.2226999999999998E-3</v>
      </c>
      <c r="D4" s="97">
        <v>4.7707000000000001E-3</v>
      </c>
      <c r="E4" s="92">
        <v>4443452.2699999996</v>
      </c>
      <c r="F4" s="92">
        <f t="shared" si="0"/>
        <v>5593269.3847062998</v>
      </c>
      <c r="G4" s="92">
        <v>11876288</v>
      </c>
      <c r="H4" s="92"/>
      <c r="I4" s="93">
        <v>0</v>
      </c>
      <c r="J4" s="93">
        <v>8287579</v>
      </c>
      <c r="K4" s="93">
        <v>0</v>
      </c>
      <c r="L4" s="92">
        <v>0</v>
      </c>
      <c r="M4" s="92"/>
      <c r="N4" s="93">
        <v>1350334</v>
      </c>
      <c r="O4" s="93">
        <v>9574274</v>
      </c>
      <c r="P4" s="93">
        <v>0</v>
      </c>
      <c r="Q4" s="92">
        <v>6262521</v>
      </c>
      <c r="R4" s="92"/>
      <c r="S4" s="93">
        <v>1157223</v>
      </c>
      <c r="T4" s="94">
        <v>-1734910</v>
      </c>
      <c r="U4" s="94">
        <v>-577687</v>
      </c>
      <c r="X4" s="95">
        <v>4.7707000000000001E-3</v>
      </c>
      <c r="Y4" s="96">
        <f t="shared" ref="Y4:Y67" si="1">+X4-D4</f>
        <v>0</v>
      </c>
      <c r="Z4" s="88">
        <f t="shared" ref="Z4:Z67" si="2">+S4+T4-U4</f>
        <v>0</v>
      </c>
      <c r="AB4" s="75">
        <f>+J4-O4</f>
        <v>-1286695</v>
      </c>
      <c r="AC4" s="75">
        <v>1</v>
      </c>
      <c r="AD4" s="7"/>
      <c r="AE4" s="7"/>
      <c r="AF4" s="7"/>
      <c r="AG4" s="7"/>
    </row>
    <row r="5" spans="1:34">
      <c r="A5" s="89">
        <v>10500</v>
      </c>
      <c r="B5" s="90" t="s">
        <v>2</v>
      </c>
      <c r="C5" s="97">
        <v>7.291E-4</v>
      </c>
      <c r="D5" s="97">
        <v>7.2420000000000004E-4</v>
      </c>
      <c r="E5" s="92">
        <v>908098.01</v>
      </c>
      <c r="F5" s="92">
        <f t="shared" si="0"/>
        <v>849067.36713780009</v>
      </c>
      <c r="G5" s="92">
        <v>2686878</v>
      </c>
      <c r="H5" s="92"/>
      <c r="I5" s="93">
        <v>0</v>
      </c>
      <c r="J5" s="93">
        <v>1874973</v>
      </c>
      <c r="K5" s="93">
        <v>0</v>
      </c>
      <c r="L5" s="92">
        <v>11039</v>
      </c>
      <c r="M5" s="92"/>
      <c r="N5" s="93">
        <v>305498</v>
      </c>
      <c r="O5" s="93">
        <v>2166073</v>
      </c>
      <c r="P5" s="93">
        <v>0</v>
      </c>
      <c r="Q5" s="92">
        <v>88722</v>
      </c>
      <c r="R5" s="92"/>
      <c r="S5" s="93">
        <v>261809</v>
      </c>
      <c r="T5" s="94">
        <v>-28742</v>
      </c>
      <c r="U5" s="94">
        <v>233067</v>
      </c>
      <c r="X5" s="95">
        <v>7.2420000000000004E-4</v>
      </c>
      <c r="Y5" s="96">
        <f t="shared" si="1"/>
        <v>0</v>
      </c>
      <c r="Z5" s="88">
        <f t="shared" si="2"/>
        <v>0</v>
      </c>
      <c r="AB5" s="75">
        <f t="shared" ref="AB5:AB68" si="3">+J5-O5</f>
        <v>-291100</v>
      </c>
      <c r="AC5" s="75">
        <v>0</v>
      </c>
      <c r="AD5" s="7"/>
      <c r="AE5" s="7"/>
      <c r="AF5" s="7"/>
      <c r="AG5" s="7"/>
    </row>
    <row r="6" spans="1:34">
      <c r="A6" s="89">
        <v>10700</v>
      </c>
      <c r="B6" s="90" t="s">
        <v>3</v>
      </c>
      <c r="C6" s="97">
        <v>1.854E-3</v>
      </c>
      <c r="D6" s="97">
        <v>1.9047000000000001E-3</v>
      </c>
      <c r="E6" s="92">
        <v>2752347.82</v>
      </c>
      <c r="F6" s="92">
        <f t="shared" si="0"/>
        <v>2233110.4863123</v>
      </c>
      <c r="G6" s="92">
        <v>6832357</v>
      </c>
      <c r="H6" s="92"/>
      <c r="I6" s="93">
        <v>0</v>
      </c>
      <c r="J6" s="93">
        <v>4767795</v>
      </c>
      <c r="K6" s="93">
        <v>0</v>
      </c>
      <c r="L6" s="92">
        <v>240329</v>
      </c>
      <c r="M6" s="92"/>
      <c r="N6" s="93">
        <v>776839</v>
      </c>
      <c r="O6" s="93">
        <v>5508023</v>
      </c>
      <c r="P6" s="93">
        <v>0</v>
      </c>
      <c r="Q6" s="92">
        <v>0</v>
      </c>
      <c r="R6" s="92"/>
      <c r="S6" s="93">
        <v>665743.59</v>
      </c>
      <c r="T6" s="94">
        <v>77371</v>
      </c>
      <c r="U6" s="94">
        <v>743115</v>
      </c>
      <c r="X6" s="95">
        <v>1.9047000000000001E-3</v>
      </c>
      <c r="Y6" s="96">
        <f t="shared" si="1"/>
        <v>0</v>
      </c>
      <c r="Z6" s="88">
        <f t="shared" si="2"/>
        <v>-0.41000000003259629</v>
      </c>
      <c r="AB6" s="75">
        <f t="shared" si="3"/>
        <v>-740228</v>
      </c>
      <c r="AC6" s="75">
        <v>-1</v>
      </c>
      <c r="AD6" s="7"/>
      <c r="AE6" s="7"/>
      <c r="AF6" s="7"/>
      <c r="AG6" s="7"/>
    </row>
    <row r="7" spans="1:34">
      <c r="A7" s="89">
        <v>10800</v>
      </c>
      <c r="B7" s="90" t="s">
        <v>4</v>
      </c>
      <c r="C7" s="97">
        <v>1.9480399999999998E-2</v>
      </c>
      <c r="D7" s="97">
        <v>1.9810100000000001E-2</v>
      </c>
      <c r="E7" s="92">
        <v>25675383.239999998</v>
      </c>
      <c r="F7" s="92">
        <f t="shared" si="0"/>
        <v>23225779.411400899</v>
      </c>
      <c r="G7" s="92">
        <v>71789131</v>
      </c>
      <c r="H7" s="92"/>
      <c r="I7" s="93">
        <v>0</v>
      </c>
      <c r="J7" s="93">
        <v>50096303</v>
      </c>
      <c r="K7" s="93">
        <v>0</v>
      </c>
      <c r="L7" s="92">
        <v>192345</v>
      </c>
      <c r="M7" s="92"/>
      <c r="N7" s="93">
        <v>8162424</v>
      </c>
      <c r="O7" s="93">
        <v>57874048</v>
      </c>
      <c r="P7" s="93">
        <v>0</v>
      </c>
      <c r="Q7" s="92">
        <v>549275</v>
      </c>
      <c r="R7" s="92"/>
      <c r="S7" s="93">
        <v>6995119</v>
      </c>
      <c r="T7" s="94">
        <v>-83213</v>
      </c>
      <c r="U7" s="94">
        <v>6911907</v>
      </c>
      <c r="X7" s="95">
        <v>1.9810100000000001E-2</v>
      </c>
      <c r="Y7" s="96">
        <f t="shared" si="1"/>
        <v>0</v>
      </c>
      <c r="Z7" s="88">
        <f t="shared" si="2"/>
        <v>-1</v>
      </c>
      <c r="AB7" s="75">
        <f t="shared" si="3"/>
        <v>-7777745</v>
      </c>
      <c r="AC7" s="75">
        <v>0</v>
      </c>
      <c r="AD7" s="7"/>
      <c r="AE7" s="7"/>
      <c r="AF7" s="7"/>
      <c r="AG7" s="7"/>
    </row>
    <row r="8" spans="1:34">
      <c r="A8" s="89">
        <v>10850</v>
      </c>
      <c r="B8" s="90" t="s">
        <v>5</v>
      </c>
      <c r="C8" s="97">
        <v>1.2410000000000001E-4</v>
      </c>
      <c r="D8" s="97">
        <v>1.198E-4</v>
      </c>
      <c r="E8" s="92">
        <v>244557.65</v>
      </c>
      <c r="F8" s="92">
        <f t="shared" si="0"/>
        <v>140456.0488582</v>
      </c>
      <c r="G8" s="92">
        <v>457333</v>
      </c>
      <c r="H8" s="92"/>
      <c r="I8" s="93">
        <v>0</v>
      </c>
      <c r="J8" s="93">
        <v>319139</v>
      </c>
      <c r="K8" s="93">
        <v>0</v>
      </c>
      <c r="L8" s="92">
        <v>211587</v>
      </c>
      <c r="M8" s="92"/>
      <c r="N8" s="93">
        <v>51999</v>
      </c>
      <c r="O8" s="93">
        <v>368687</v>
      </c>
      <c r="P8" s="93">
        <v>0</v>
      </c>
      <c r="Q8" s="92">
        <v>0</v>
      </c>
      <c r="R8" s="92"/>
      <c r="S8" s="93">
        <v>44562</v>
      </c>
      <c r="T8" s="94">
        <v>68753</v>
      </c>
      <c r="U8" s="94">
        <v>113315</v>
      </c>
      <c r="X8" s="95">
        <v>1.198E-4</v>
      </c>
      <c r="Y8" s="96">
        <f t="shared" si="1"/>
        <v>0</v>
      </c>
      <c r="Z8" s="88">
        <f t="shared" si="2"/>
        <v>0</v>
      </c>
      <c r="AB8" s="75">
        <f t="shared" si="3"/>
        <v>-49548</v>
      </c>
      <c r="AC8" s="75">
        <v>0</v>
      </c>
      <c r="AD8" s="7"/>
      <c r="AE8" s="7"/>
      <c r="AF8" s="7"/>
      <c r="AG8" s="7"/>
    </row>
    <row r="9" spans="1:34">
      <c r="A9" s="89">
        <v>10900</v>
      </c>
      <c r="B9" s="90" t="s">
        <v>6</v>
      </c>
      <c r="C9" s="97">
        <v>1.9277000000000001E-3</v>
      </c>
      <c r="D9" s="97">
        <v>1.8564E-3</v>
      </c>
      <c r="E9" s="92">
        <v>3045859.58</v>
      </c>
      <c r="F9" s="92">
        <f t="shared" si="0"/>
        <v>2176482.5467476002</v>
      </c>
      <c r="G9" s="92">
        <v>7103956</v>
      </c>
      <c r="H9" s="92"/>
      <c r="I9" s="93">
        <v>0</v>
      </c>
      <c r="J9" s="93">
        <v>4957323</v>
      </c>
      <c r="K9" s="93">
        <v>0</v>
      </c>
      <c r="L9" s="92">
        <v>1426419</v>
      </c>
      <c r="M9" s="92"/>
      <c r="N9" s="93">
        <v>807720</v>
      </c>
      <c r="O9" s="93">
        <v>5726977</v>
      </c>
      <c r="P9" s="93">
        <v>0</v>
      </c>
      <c r="Q9" s="92">
        <v>0</v>
      </c>
      <c r="R9" s="92"/>
      <c r="S9" s="93">
        <v>692208</v>
      </c>
      <c r="T9" s="94">
        <v>447658</v>
      </c>
      <c r="U9" s="94">
        <v>1139866</v>
      </c>
      <c r="X9" s="95">
        <v>1.8564E-3</v>
      </c>
      <c r="Y9" s="96">
        <f t="shared" si="1"/>
        <v>0</v>
      </c>
      <c r="Z9" s="88">
        <f t="shared" si="2"/>
        <v>0</v>
      </c>
      <c r="AB9" s="75">
        <f t="shared" si="3"/>
        <v>-769654</v>
      </c>
      <c r="AC9" s="75">
        <v>0</v>
      </c>
      <c r="AD9" s="7"/>
      <c r="AE9" s="7"/>
      <c r="AF9" s="7"/>
      <c r="AG9" s="7"/>
    </row>
    <row r="10" spans="1:34">
      <c r="A10" s="89">
        <v>10910</v>
      </c>
      <c r="B10" s="90" t="s">
        <v>7</v>
      </c>
      <c r="C10" s="97">
        <v>3.3819999999999998E-4</v>
      </c>
      <c r="D10" s="97">
        <v>2.9770000000000003E-4</v>
      </c>
      <c r="E10" s="92">
        <v>459631.7</v>
      </c>
      <c r="F10" s="92">
        <f t="shared" si="0"/>
        <v>349029.76414930006</v>
      </c>
      <c r="G10" s="92">
        <v>1246334</v>
      </c>
      <c r="H10" s="92"/>
      <c r="I10" s="93">
        <v>0</v>
      </c>
      <c r="J10" s="93">
        <v>869724</v>
      </c>
      <c r="K10" s="93">
        <v>0</v>
      </c>
      <c r="L10" s="92">
        <v>197047</v>
      </c>
      <c r="M10" s="92"/>
      <c r="N10" s="93">
        <v>141708</v>
      </c>
      <c r="O10" s="93">
        <v>1004754</v>
      </c>
      <c r="P10" s="93">
        <v>0</v>
      </c>
      <c r="Q10" s="92">
        <v>48542</v>
      </c>
      <c r="R10" s="92"/>
      <c r="S10" s="93">
        <v>121443</v>
      </c>
      <c r="T10" s="94">
        <v>37185</v>
      </c>
      <c r="U10" s="94">
        <v>158628</v>
      </c>
      <c r="X10" s="95">
        <v>2.9770000000000003E-4</v>
      </c>
      <c r="Y10" s="96">
        <f t="shared" si="1"/>
        <v>0</v>
      </c>
      <c r="Z10" s="88">
        <f t="shared" si="2"/>
        <v>0</v>
      </c>
      <c r="AB10" s="75">
        <f t="shared" si="3"/>
        <v>-135030</v>
      </c>
      <c r="AC10" s="75">
        <v>0</v>
      </c>
      <c r="AD10" s="7"/>
      <c r="AE10" s="7"/>
      <c r="AF10" s="7"/>
      <c r="AG10" s="7"/>
    </row>
    <row r="11" spans="1:34">
      <c r="A11" s="89">
        <v>10930</v>
      </c>
      <c r="B11" s="90" t="s">
        <v>8</v>
      </c>
      <c r="C11" s="97">
        <v>2.6234000000000001E-3</v>
      </c>
      <c r="D11" s="97">
        <v>2.4191E-3</v>
      </c>
      <c r="E11" s="92">
        <v>3833671.01</v>
      </c>
      <c r="F11" s="92">
        <f t="shared" si="0"/>
        <v>2836203.9047818999</v>
      </c>
      <c r="G11" s="92">
        <v>9667748</v>
      </c>
      <c r="H11" s="92"/>
      <c r="I11" s="93">
        <v>0</v>
      </c>
      <c r="J11" s="93">
        <v>6746404</v>
      </c>
      <c r="K11" s="93">
        <v>0</v>
      </c>
      <c r="L11" s="92">
        <v>1273472</v>
      </c>
      <c r="M11" s="92"/>
      <c r="N11" s="93">
        <v>1099223</v>
      </c>
      <c r="O11" s="93">
        <v>7793822</v>
      </c>
      <c r="P11" s="93">
        <v>0</v>
      </c>
      <c r="Q11" s="92">
        <v>217826</v>
      </c>
      <c r="R11" s="92"/>
      <c r="S11" s="93">
        <v>942024</v>
      </c>
      <c r="T11" s="94">
        <v>274689</v>
      </c>
      <c r="U11" s="94">
        <v>1216712</v>
      </c>
      <c r="X11" s="95">
        <v>2.4191E-3</v>
      </c>
      <c r="Y11" s="96">
        <f t="shared" si="1"/>
        <v>0</v>
      </c>
      <c r="Z11" s="88">
        <f t="shared" si="2"/>
        <v>1</v>
      </c>
      <c r="AB11" s="75">
        <f t="shared" si="3"/>
        <v>-1047418</v>
      </c>
      <c r="AC11" s="75">
        <v>0</v>
      </c>
    </row>
    <row r="12" spans="1:34">
      <c r="A12" s="89">
        <v>10940</v>
      </c>
      <c r="B12" s="90" t="s">
        <v>9</v>
      </c>
      <c r="C12" s="97">
        <v>7.228E-4</v>
      </c>
      <c r="D12" s="97">
        <v>8.5400000000000005E-4</v>
      </c>
      <c r="E12" s="92">
        <v>1038418.6</v>
      </c>
      <c r="F12" s="92">
        <f t="shared" si="0"/>
        <v>1001247.6270860001</v>
      </c>
      <c r="G12" s="92">
        <v>2663661</v>
      </c>
      <c r="H12" s="92"/>
      <c r="I12" s="93">
        <v>0</v>
      </c>
      <c r="J12" s="93">
        <v>1858771</v>
      </c>
      <c r="K12" s="93">
        <v>0</v>
      </c>
      <c r="L12" s="92">
        <v>0</v>
      </c>
      <c r="M12" s="92"/>
      <c r="N12" s="93">
        <v>302858</v>
      </c>
      <c r="O12" s="93">
        <v>2147356</v>
      </c>
      <c r="P12" s="93">
        <v>0</v>
      </c>
      <c r="Q12" s="92">
        <v>501045</v>
      </c>
      <c r="R12" s="92"/>
      <c r="S12" s="93">
        <v>259547</v>
      </c>
      <c r="T12" s="94">
        <v>-142385</v>
      </c>
      <c r="U12" s="94">
        <v>117162</v>
      </c>
      <c r="X12" s="95">
        <v>8.5400000000000005E-4</v>
      </c>
      <c r="Y12" s="96">
        <f t="shared" si="1"/>
        <v>0</v>
      </c>
      <c r="Z12" s="88">
        <f t="shared" si="2"/>
        <v>0</v>
      </c>
      <c r="AB12" s="75">
        <f t="shared" si="3"/>
        <v>-288585</v>
      </c>
      <c r="AC12" s="75">
        <v>0</v>
      </c>
    </row>
    <row r="13" spans="1:34">
      <c r="A13" s="89">
        <v>10950</v>
      </c>
      <c r="B13" s="90" t="s">
        <v>10</v>
      </c>
      <c r="C13" s="97">
        <v>6.7480000000000003E-4</v>
      </c>
      <c r="D13" s="97">
        <v>6.6839999999999998E-4</v>
      </c>
      <c r="E13" s="92">
        <v>927702.87</v>
      </c>
      <c r="F13" s="92">
        <f t="shared" si="0"/>
        <v>783646.26925559994</v>
      </c>
      <c r="G13" s="92">
        <v>2486772</v>
      </c>
      <c r="H13" s="92"/>
      <c r="I13" s="93">
        <v>0</v>
      </c>
      <c r="J13" s="93">
        <v>1735333</v>
      </c>
      <c r="K13" s="93">
        <v>0</v>
      </c>
      <c r="L13" s="92">
        <v>260459</v>
      </c>
      <c r="M13" s="92"/>
      <c r="N13" s="93">
        <v>282746</v>
      </c>
      <c r="O13" s="93">
        <v>2004754</v>
      </c>
      <c r="P13" s="93">
        <v>0</v>
      </c>
      <c r="Q13" s="92">
        <v>0</v>
      </c>
      <c r="R13" s="92"/>
      <c r="S13" s="93">
        <v>242311</v>
      </c>
      <c r="T13" s="94">
        <v>86318</v>
      </c>
      <c r="U13" s="94">
        <v>328629</v>
      </c>
      <c r="X13" s="95">
        <v>6.6839999999999998E-4</v>
      </c>
      <c r="Y13" s="96">
        <f t="shared" si="1"/>
        <v>0</v>
      </c>
      <c r="Z13" s="88">
        <f t="shared" si="2"/>
        <v>0</v>
      </c>
      <c r="AB13" s="75">
        <f t="shared" si="3"/>
        <v>-269421</v>
      </c>
      <c r="AC13" s="75">
        <v>0</v>
      </c>
    </row>
    <row r="14" spans="1:34">
      <c r="A14" s="89">
        <v>11300</v>
      </c>
      <c r="B14" s="90" t="s">
        <v>11</v>
      </c>
      <c r="C14" s="97">
        <v>8.1285999999999997E-3</v>
      </c>
      <c r="D14" s="97">
        <v>8.5200999999999992E-3</v>
      </c>
      <c r="E14" s="92">
        <v>11121993.68</v>
      </c>
      <c r="F14" s="92">
        <f t="shared" si="0"/>
        <v>9989145.0907908995</v>
      </c>
      <c r="G14" s="92">
        <v>29955500</v>
      </c>
      <c r="H14" s="92"/>
      <c r="I14" s="93">
        <v>0</v>
      </c>
      <c r="J14" s="93">
        <v>20903719</v>
      </c>
      <c r="K14" s="93">
        <v>0</v>
      </c>
      <c r="L14" s="92">
        <v>0</v>
      </c>
      <c r="M14" s="92"/>
      <c r="N14" s="93">
        <v>3405940</v>
      </c>
      <c r="O14" s="93">
        <v>24149144</v>
      </c>
      <c r="P14" s="93">
        <v>0</v>
      </c>
      <c r="Q14" s="92">
        <v>1197297</v>
      </c>
      <c r="R14" s="92"/>
      <c r="S14" s="93">
        <v>2918858</v>
      </c>
      <c r="T14" s="94">
        <v>-348985</v>
      </c>
      <c r="U14" s="94">
        <v>2569873</v>
      </c>
      <c r="X14" s="95">
        <v>8.5200999999999992E-3</v>
      </c>
      <c r="Y14" s="96">
        <f t="shared" si="1"/>
        <v>0</v>
      </c>
      <c r="Z14" s="88">
        <f t="shared" si="2"/>
        <v>0</v>
      </c>
      <c r="AB14" s="75">
        <f t="shared" si="3"/>
        <v>-3245425</v>
      </c>
      <c r="AC14" s="75">
        <v>-1</v>
      </c>
    </row>
    <row r="15" spans="1:34">
      <c r="A15" s="89">
        <v>11310</v>
      </c>
      <c r="B15" s="90" t="s">
        <v>12</v>
      </c>
      <c r="C15" s="97">
        <v>5.1639999999999998E-4</v>
      </c>
      <c r="D15" s="97">
        <v>5.1659999999999998E-4</v>
      </c>
      <c r="E15" s="92">
        <v>708974.88</v>
      </c>
      <c r="F15" s="92">
        <f t="shared" si="0"/>
        <v>605672.7449094</v>
      </c>
      <c r="G15" s="92">
        <v>1903036</v>
      </c>
      <c r="H15" s="92"/>
      <c r="I15" s="93">
        <v>0</v>
      </c>
      <c r="J15" s="93">
        <v>1327988</v>
      </c>
      <c r="K15" s="93">
        <v>0</v>
      </c>
      <c r="L15" s="92">
        <v>66309</v>
      </c>
      <c r="M15" s="92"/>
      <c r="N15" s="93">
        <v>216375</v>
      </c>
      <c r="O15" s="93">
        <v>1534166</v>
      </c>
      <c r="P15" s="93">
        <v>0</v>
      </c>
      <c r="Q15" s="92">
        <v>0</v>
      </c>
      <c r="R15" s="92"/>
      <c r="S15" s="93">
        <v>185431</v>
      </c>
      <c r="T15" s="94">
        <v>20201</v>
      </c>
      <c r="U15" s="94">
        <v>205632</v>
      </c>
      <c r="X15" s="95">
        <v>5.1659999999999998E-4</v>
      </c>
      <c r="Y15" s="96">
        <f t="shared" si="1"/>
        <v>0</v>
      </c>
      <c r="Z15" s="88">
        <f t="shared" si="2"/>
        <v>0</v>
      </c>
      <c r="AB15" s="75">
        <f t="shared" si="3"/>
        <v>-206178</v>
      </c>
      <c r="AC15" s="75">
        <v>1</v>
      </c>
    </row>
    <row r="16" spans="1:34">
      <c r="A16" s="89">
        <v>11600</v>
      </c>
      <c r="B16" s="90" t="s">
        <v>13</v>
      </c>
      <c r="C16" s="97">
        <v>2.1665E-3</v>
      </c>
      <c r="D16" s="97">
        <v>2.222E-3</v>
      </c>
      <c r="E16" s="92">
        <v>2668558.35</v>
      </c>
      <c r="F16" s="92">
        <f t="shared" si="0"/>
        <v>2605119.704198</v>
      </c>
      <c r="G16" s="92">
        <v>7983981</v>
      </c>
      <c r="H16" s="92"/>
      <c r="I16" s="93">
        <v>0</v>
      </c>
      <c r="J16" s="93">
        <v>5571428</v>
      </c>
      <c r="K16" s="93">
        <v>0</v>
      </c>
      <c r="L16" s="92">
        <v>153619</v>
      </c>
      <c r="M16" s="92"/>
      <c r="N16" s="93">
        <v>907779</v>
      </c>
      <c r="O16" s="93">
        <v>6436425</v>
      </c>
      <c r="P16" s="93">
        <v>0</v>
      </c>
      <c r="Q16" s="92">
        <v>287193</v>
      </c>
      <c r="R16" s="92"/>
      <c r="S16" s="93">
        <v>777958</v>
      </c>
      <c r="T16" s="94">
        <v>-24494</v>
      </c>
      <c r="U16" s="94">
        <v>753463</v>
      </c>
      <c r="X16" s="95">
        <v>2.222E-3</v>
      </c>
      <c r="Y16" s="96">
        <f t="shared" si="1"/>
        <v>0</v>
      </c>
      <c r="Z16" s="88">
        <f t="shared" si="2"/>
        <v>1</v>
      </c>
      <c r="AB16" s="75">
        <f t="shared" si="3"/>
        <v>-864997</v>
      </c>
      <c r="AC16" s="75">
        <v>-1</v>
      </c>
    </row>
    <row r="17" spans="1:29">
      <c r="A17" s="89">
        <v>11900</v>
      </c>
      <c r="B17" s="90" t="s">
        <v>14</v>
      </c>
      <c r="C17" s="97">
        <v>2.474E-4</v>
      </c>
      <c r="D17" s="97">
        <v>2.2139999999999999E-4</v>
      </c>
      <c r="E17" s="92">
        <v>295452.24</v>
      </c>
      <c r="F17" s="92">
        <f t="shared" si="0"/>
        <v>259574.03353259998</v>
      </c>
      <c r="G17" s="92">
        <v>911718</v>
      </c>
      <c r="H17" s="92"/>
      <c r="I17" s="93">
        <v>0</v>
      </c>
      <c r="J17" s="93">
        <v>636220</v>
      </c>
      <c r="K17" s="93">
        <v>0</v>
      </c>
      <c r="L17" s="92">
        <v>96857</v>
      </c>
      <c r="M17" s="92"/>
      <c r="N17" s="93">
        <v>103662</v>
      </c>
      <c r="O17" s="93">
        <v>734997</v>
      </c>
      <c r="P17" s="93">
        <v>0</v>
      </c>
      <c r="Q17" s="92">
        <v>44076</v>
      </c>
      <c r="R17" s="92"/>
      <c r="S17" s="93">
        <v>88838</v>
      </c>
      <c r="T17" s="94">
        <v>11032</v>
      </c>
      <c r="U17" s="94">
        <v>99870</v>
      </c>
      <c r="X17" s="95">
        <v>2.2139999999999999E-4</v>
      </c>
      <c r="Y17" s="96">
        <f t="shared" si="1"/>
        <v>0</v>
      </c>
      <c r="Z17" s="88">
        <f t="shared" si="2"/>
        <v>0</v>
      </c>
      <c r="AB17" s="75">
        <f t="shared" si="3"/>
        <v>-98777</v>
      </c>
      <c r="AC17" s="75">
        <v>0</v>
      </c>
    </row>
    <row r="18" spans="1:29">
      <c r="A18" s="89">
        <v>12100</v>
      </c>
      <c r="B18" s="90" t="s">
        <v>15</v>
      </c>
      <c r="C18" s="97">
        <v>2.677E-4</v>
      </c>
      <c r="D18" s="97">
        <v>2.519E-4</v>
      </c>
      <c r="E18" s="92">
        <v>369619.58</v>
      </c>
      <c r="F18" s="92">
        <f t="shared" si="0"/>
        <v>295332.87735710002</v>
      </c>
      <c r="G18" s="92">
        <v>986528</v>
      </c>
      <c r="H18" s="92"/>
      <c r="I18" s="93">
        <v>0</v>
      </c>
      <c r="J18" s="93">
        <v>688424</v>
      </c>
      <c r="K18" s="93">
        <v>0</v>
      </c>
      <c r="L18" s="92">
        <v>285140</v>
      </c>
      <c r="M18" s="92"/>
      <c r="N18" s="93">
        <v>112168</v>
      </c>
      <c r="O18" s="93">
        <v>795306</v>
      </c>
      <c r="P18" s="93">
        <v>0</v>
      </c>
      <c r="Q18" s="92">
        <v>0</v>
      </c>
      <c r="R18" s="92"/>
      <c r="S18" s="93">
        <v>96127</v>
      </c>
      <c r="T18" s="94">
        <v>94737</v>
      </c>
      <c r="U18" s="94">
        <v>190864</v>
      </c>
      <c r="X18" s="95">
        <v>2.519E-4</v>
      </c>
      <c r="Y18" s="96">
        <f t="shared" si="1"/>
        <v>0</v>
      </c>
      <c r="Z18" s="88">
        <f t="shared" si="2"/>
        <v>0</v>
      </c>
      <c r="AB18" s="75">
        <f t="shared" si="3"/>
        <v>-106882</v>
      </c>
      <c r="AC18" s="75">
        <v>-1</v>
      </c>
    </row>
    <row r="19" spans="1:29">
      <c r="A19" s="89">
        <v>12150</v>
      </c>
      <c r="B19" s="90" t="s">
        <v>16</v>
      </c>
      <c r="C19" s="97">
        <v>4.3000000000000002E-5</v>
      </c>
      <c r="D19" s="97">
        <v>3.3699999999999999E-5</v>
      </c>
      <c r="E19" s="92">
        <v>43959.39</v>
      </c>
      <c r="F19" s="92">
        <f t="shared" si="0"/>
        <v>39510.591373299998</v>
      </c>
      <c r="G19" s="92">
        <v>158464</v>
      </c>
      <c r="H19" s="92"/>
      <c r="I19" s="93">
        <v>0</v>
      </c>
      <c r="J19" s="93">
        <v>110580</v>
      </c>
      <c r="K19" s="93">
        <v>0</v>
      </c>
      <c r="L19" s="92">
        <v>39777</v>
      </c>
      <c r="M19" s="92"/>
      <c r="N19" s="93">
        <v>18017</v>
      </c>
      <c r="O19" s="93">
        <v>127748</v>
      </c>
      <c r="P19" s="93">
        <v>0</v>
      </c>
      <c r="Q19" s="92">
        <v>0</v>
      </c>
      <c r="R19" s="92"/>
      <c r="S19" s="93">
        <v>15441</v>
      </c>
      <c r="T19" s="94">
        <v>11710</v>
      </c>
      <c r="U19" s="94">
        <v>27150</v>
      </c>
      <c r="X19" s="95">
        <v>3.3699999999999999E-5</v>
      </c>
      <c r="Y19" s="96">
        <f t="shared" si="1"/>
        <v>0</v>
      </c>
      <c r="Z19" s="88">
        <f t="shared" si="2"/>
        <v>1</v>
      </c>
      <c r="AB19" s="75">
        <f t="shared" si="3"/>
        <v>-17168</v>
      </c>
      <c r="AC19" s="75">
        <v>1</v>
      </c>
    </row>
    <row r="20" spans="1:29">
      <c r="A20" s="89">
        <v>12160</v>
      </c>
      <c r="B20" s="90" t="s">
        <v>17</v>
      </c>
      <c r="C20" s="97">
        <v>1.8278000000000001E-3</v>
      </c>
      <c r="D20" s="97">
        <v>1.8473000000000001E-3</v>
      </c>
      <c r="E20" s="92">
        <v>2677763.98</v>
      </c>
      <c r="F20" s="92">
        <f t="shared" si="0"/>
        <v>2165813.5146557</v>
      </c>
      <c r="G20" s="92">
        <v>6735805</v>
      </c>
      <c r="H20" s="92"/>
      <c r="I20" s="93">
        <v>0</v>
      </c>
      <c r="J20" s="93">
        <v>4700418</v>
      </c>
      <c r="K20" s="93">
        <v>0</v>
      </c>
      <c r="L20" s="92">
        <v>796022</v>
      </c>
      <c r="M20" s="92"/>
      <c r="N20" s="93">
        <v>765861</v>
      </c>
      <c r="O20" s="93">
        <v>5430185</v>
      </c>
      <c r="P20" s="93">
        <v>0</v>
      </c>
      <c r="Q20" s="92">
        <v>0</v>
      </c>
      <c r="R20" s="92"/>
      <c r="S20" s="93">
        <v>656336</v>
      </c>
      <c r="T20" s="94">
        <v>268436</v>
      </c>
      <c r="U20" s="94">
        <v>924771</v>
      </c>
      <c r="X20" s="95">
        <v>1.8473000000000001E-3</v>
      </c>
      <c r="Y20" s="96">
        <f t="shared" si="1"/>
        <v>0</v>
      </c>
      <c r="Z20" s="88">
        <f t="shared" si="2"/>
        <v>1</v>
      </c>
      <c r="AB20" s="75">
        <f t="shared" si="3"/>
        <v>-729767</v>
      </c>
      <c r="AC20" s="75">
        <v>1</v>
      </c>
    </row>
    <row r="21" spans="1:29">
      <c r="A21" s="89">
        <v>12220</v>
      </c>
      <c r="B21" s="90" t="s">
        <v>18</v>
      </c>
      <c r="C21" s="97">
        <v>4.9292900000000001E-2</v>
      </c>
      <c r="D21" s="97">
        <v>4.9215700000000001E-2</v>
      </c>
      <c r="E21" s="92">
        <v>67341096.019999996</v>
      </c>
      <c r="F21" s="92">
        <f t="shared" si="0"/>
        <v>57701525.574211299</v>
      </c>
      <c r="G21" s="92">
        <v>181654096</v>
      </c>
      <c r="H21" s="92"/>
      <c r="I21" s="93">
        <v>0</v>
      </c>
      <c r="J21" s="93">
        <v>126762903</v>
      </c>
      <c r="K21" s="93">
        <v>0</v>
      </c>
      <c r="L21" s="92">
        <v>5945813</v>
      </c>
      <c r="M21" s="92"/>
      <c r="N21" s="93">
        <v>20654070</v>
      </c>
      <c r="O21" s="93">
        <v>146443587</v>
      </c>
      <c r="P21" s="93">
        <v>0</v>
      </c>
      <c r="Q21" s="92">
        <v>0</v>
      </c>
      <c r="R21" s="92"/>
      <c r="S21" s="93">
        <v>17700341</v>
      </c>
      <c r="T21" s="94">
        <v>1778821</v>
      </c>
      <c r="U21" s="94">
        <v>19479162</v>
      </c>
      <c r="X21" s="95">
        <v>4.9215700000000001E-2</v>
      </c>
      <c r="Y21" s="96">
        <f t="shared" si="1"/>
        <v>0</v>
      </c>
      <c r="Z21" s="88">
        <f t="shared" si="2"/>
        <v>0</v>
      </c>
      <c r="AB21" s="75">
        <f t="shared" si="3"/>
        <v>-19680684</v>
      </c>
      <c r="AC21" s="75">
        <v>-1</v>
      </c>
    </row>
    <row r="22" spans="1:29">
      <c r="A22" s="89">
        <v>12510</v>
      </c>
      <c r="B22" s="90" t="s">
        <v>19</v>
      </c>
      <c r="C22" s="97">
        <v>5.705E-3</v>
      </c>
      <c r="D22" s="97">
        <v>6.3379999999999999E-3</v>
      </c>
      <c r="E22" s="92">
        <v>8802921.1600000001</v>
      </c>
      <c r="F22" s="92">
        <f t="shared" si="0"/>
        <v>7430804.9888420003</v>
      </c>
      <c r="G22" s="92">
        <v>21024055</v>
      </c>
      <c r="H22" s="92"/>
      <c r="I22" s="93">
        <v>0</v>
      </c>
      <c r="J22" s="93">
        <v>14671126</v>
      </c>
      <c r="K22" s="93">
        <v>0</v>
      </c>
      <c r="L22" s="92">
        <v>251511</v>
      </c>
      <c r="M22" s="92"/>
      <c r="N22" s="93">
        <v>2390435</v>
      </c>
      <c r="O22" s="93">
        <v>16948905</v>
      </c>
      <c r="P22" s="93">
        <v>0</v>
      </c>
      <c r="Q22" s="92">
        <v>1426966</v>
      </c>
      <c r="R22" s="92"/>
      <c r="S22" s="93">
        <v>2048580</v>
      </c>
      <c r="T22" s="94">
        <v>-305134</v>
      </c>
      <c r="U22" s="94">
        <v>1743446</v>
      </c>
      <c r="X22" s="95">
        <v>6.3379999999999999E-3</v>
      </c>
      <c r="Y22" s="96">
        <f t="shared" si="1"/>
        <v>0</v>
      </c>
      <c r="Z22" s="88">
        <f t="shared" si="2"/>
        <v>0</v>
      </c>
      <c r="AB22" s="75">
        <f t="shared" si="3"/>
        <v>-2277779</v>
      </c>
      <c r="AC22" s="75">
        <v>-1</v>
      </c>
    </row>
    <row r="23" spans="1:29">
      <c r="A23" s="89">
        <v>12600</v>
      </c>
      <c r="B23" s="90" t="s">
        <v>20</v>
      </c>
      <c r="C23" s="97">
        <v>1.5257000000000001E-3</v>
      </c>
      <c r="D23" s="97">
        <v>1.5721999999999999E-3</v>
      </c>
      <c r="E23" s="92">
        <v>2240938.91</v>
      </c>
      <c r="F23" s="92">
        <f t="shared" si="0"/>
        <v>1843280.4675697999</v>
      </c>
      <c r="G23" s="92">
        <v>5622507</v>
      </c>
      <c r="H23" s="92"/>
      <c r="I23" s="93">
        <v>0</v>
      </c>
      <c r="J23" s="93">
        <v>3923530</v>
      </c>
      <c r="K23" s="93">
        <v>0</v>
      </c>
      <c r="L23" s="92">
        <v>49577</v>
      </c>
      <c r="M23" s="92"/>
      <c r="N23" s="93">
        <v>639279</v>
      </c>
      <c r="O23" s="93">
        <v>4532681</v>
      </c>
      <c r="P23" s="93">
        <v>0</v>
      </c>
      <c r="Q23" s="92">
        <v>50254</v>
      </c>
      <c r="R23" s="92"/>
      <c r="S23" s="93">
        <v>547856</v>
      </c>
      <c r="T23" s="94">
        <v>-4279</v>
      </c>
      <c r="U23" s="94">
        <v>543577</v>
      </c>
      <c r="X23" s="95">
        <v>1.5721999999999999E-3</v>
      </c>
      <c r="Y23" s="96">
        <f t="shared" si="1"/>
        <v>0</v>
      </c>
      <c r="Z23" s="88">
        <f t="shared" si="2"/>
        <v>0</v>
      </c>
      <c r="AB23" s="75">
        <f t="shared" si="3"/>
        <v>-609151</v>
      </c>
      <c r="AC23" s="75">
        <v>-1</v>
      </c>
    </row>
    <row r="24" spans="1:29">
      <c r="A24" s="89">
        <v>12700</v>
      </c>
      <c r="B24" s="90" t="s">
        <v>21</v>
      </c>
      <c r="C24" s="97">
        <v>1.1758000000000001E-3</v>
      </c>
      <c r="D24" s="97">
        <v>1.2378999999999999E-3</v>
      </c>
      <c r="E24" s="92">
        <v>1751369.28</v>
      </c>
      <c r="F24" s="92">
        <f t="shared" si="0"/>
        <v>1451340.0908310998</v>
      </c>
      <c r="G24" s="92">
        <v>4333056</v>
      </c>
      <c r="H24" s="92"/>
      <c r="I24" s="93">
        <v>0</v>
      </c>
      <c r="J24" s="93">
        <v>3023718</v>
      </c>
      <c r="K24" s="93">
        <v>0</v>
      </c>
      <c r="L24" s="92">
        <v>0</v>
      </c>
      <c r="M24" s="92"/>
      <c r="N24" s="93">
        <v>492668</v>
      </c>
      <c r="O24" s="93">
        <v>3493168</v>
      </c>
      <c r="P24" s="93">
        <v>0</v>
      </c>
      <c r="Q24" s="92">
        <v>64630</v>
      </c>
      <c r="R24" s="92"/>
      <c r="S24" s="93">
        <v>422212</v>
      </c>
      <c r="T24" s="94">
        <v>-18775</v>
      </c>
      <c r="U24" s="94">
        <v>403437</v>
      </c>
      <c r="X24" s="95">
        <v>1.2378999999999999E-3</v>
      </c>
      <c r="Y24" s="96">
        <f t="shared" si="1"/>
        <v>0</v>
      </c>
      <c r="Z24" s="88">
        <f t="shared" si="2"/>
        <v>0</v>
      </c>
      <c r="AB24" s="75">
        <f t="shared" si="3"/>
        <v>-469450</v>
      </c>
      <c r="AC24" s="75">
        <v>0</v>
      </c>
    </row>
    <row r="25" spans="1:29">
      <c r="A25" s="89">
        <v>13500</v>
      </c>
      <c r="B25" s="90" t="s">
        <v>22</v>
      </c>
      <c r="C25" s="97">
        <v>4.2383999999999998E-3</v>
      </c>
      <c r="D25" s="97">
        <v>4.2439000000000001E-3</v>
      </c>
      <c r="E25" s="92">
        <v>5697612.0099999998</v>
      </c>
      <c r="F25" s="92">
        <f t="shared" si="0"/>
        <v>4975637.9444851</v>
      </c>
      <c r="G25" s="92">
        <v>15619343</v>
      </c>
      <c r="H25" s="92"/>
      <c r="I25" s="93">
        <v>0</v>
      </c>
      <c r="J25" s="93">
        <v>10899580</v>
      </c>
      <c r="K25" s="93">
        <v>0</v>
      </c>
      <c r="L25" s="92">
        <v>386867</v>
      </c>
      <c r="M25" s="92"/>
      <c r="N25" s="93">
        <v>1775919</v>
      </c>
      <c r="O25" s="93">
        <v>12591803</v>
      </c>
      <c r="P25" s="93">
        <v>0</v>
      </c>
      <c r="Q25" s="92">
        <v>0</v>
      </c>
      <c r="R25" s="92"/>
      <c r="S25" s="93">
        <v>1521946</v>
      </c>
      <c r="T25" s="94">
        <v>118461</v>
      </c>
      <c r="U25" s="94">
        <v>1640407</v>
      </c>
      <c r="X25" s="95">
        <v>4.2439000000000001E-3</v>
      </c>
      <c r="Y25" s="96">
        <f t="shared" si="1"/>
        <v>0</v>
      </c>
      <c r="Z25" s="88">
        <f t="shared" si="2"/>
        <v>0</v>
      </c>
      <c r="AB25" s="75">
        <f t="shared" si="3"/>
        <v>-1692223</v>
      </c>
      <c r="AC25" s="75">
        <v>1</v>
      </c>
    </row>
    <row r="26" spans="1:29">
      <c r="A26" s="89">
        <v>13700</v>
      </c>
      <c r="B26" s="90" t="s">
        <v>23</v>
      </c>
      <c r="C26" s="97">
        <v>5.3370000000000002E-4</v>
      </c>
      <c r="D26" s="97">
        <v>5.7600000000000001E-4</v>
      </c>
      <c r="E26" s="92">
        <v>771457.87</v>
      </c>
      <c r="F26" s="92">
        <f t="shared" si="0"/>
        <v>675314.55878399999</v>
      </c>
      <c r="G26" s="92">
        <v>1966790</v>
      </c>
      <c r="H26" s="92"/>
      <c r="I26" s="93">
        <v>0</v>
      </c>
      <c r="J26" s="93">
        <v>1372477</v>
      </c>
      <c r="K26" s="93">
        <v>0</v>
      </c>
      <c r="L26" s="92">
        <v>28274</v>
      </c>
      <c r="M26" s="92"/>
      <c r="N26" s="93">
        <v>223624</v>
      </c>
      <c r="O26" s="93">
        <v>1585562</v>
      </c>
      <c r="P26" s="93">
        <v>0</v>
      </c>
      <c r="Q26" s="92">
        <v>102626</v>
      </c>
      <c r="R26" s="92"/>
      <c r="S26" s="93">
        <v>191644</v>
      </c>
      <c r="T26" s="94">
        <v>-18294</v>
      </c>
      <c r="U26" s="94">
        <v>173350</v>
      </c>
      <c r="X26" s="95">
        <v>5.7600000000000001E-4</v>
      </c>
      <c r="Y26" s="96">
        <f t="shared" si="1"/>
        <v>0</v>
      </c>
      <c r="Z26" s="88">
        <f t="shared" si="2"/>
        <v>0</v>
      </c>
      <c r="AB26" s="75">
        <f t="shared" si="3"/>
        <v>-213085</v>
      </c>
      <c r="AC26" s="75">
        <v>1</v>
      </c>
    </row>
    <row r="27" spans="1:29">
      <c r="A27" s="89">
        <v>14200</v>
      </c>
      <c r="B27" s="90" t="s">
        <v>284</v>
      </c>
      <c r="C27" s="97">
        <v>0</v>
      </c>
      <c r="D27" s="97">
        <v>0</v>
      </c>
      <c r="E27" s="92"/>
      <c r="F27" s="92">
        <f t="shared" si="0"/>
        <v>0</v>
      </c>
      <c r="G27" s="92">
        <v>0</v>
      </c>
      <c r="H27" s="92"/>
      <c r="I27" s="93">
        <v>0</v>
      </c>
      <c r="J27" s="93">
        <v>0</v>
      </c>
      <c r="K27" s="93">
        <v>0</v>
      </c>
      <c r="L27" s="92">
        <v>0</v>
      </c>
      <c r="M27" s="92"/>
      <c r="N27" s="93">
        <v>0</v>
      </c>
      <c r="O27" s="93">
        <v>0</v>
      </c>
      <c r="P27" s="93">
        <v>0</v>
      </c>
      <c r="Q27" s="92">
        <v>7072</v>
      </c>
      <c r="R27" s="92"/>
      <c r="S27" s="93">
        <v>0</v>
      </c>
      <c r="T27" s="94">
        <v>-2535</v>
      </c>
      <c r="U27" s="94">
        <v>-2535</v>
      </c>
      <c r="X27" s="95">
        <v>0</v>
      </c>
      <c r="Y27" s="96">
        <f t="shared" si="1"/>
        <v>0</v>
      </c>
      <c r="Z27" s="88">
        <f t="shared" si="2"/>
        <v>0</v>
      </c>
      <c r="AB27" s="75">
        <f t="shared" si="3"/>
        <v>0</v>
      </c>
      <c r="AC27" s="75">
        <v>0</v>
      </c>
    </row>
    <row r="28" spans="1:29">
      <c r="A28" s="89">
        <v>14300</v>
      </c>
      <c r="B28" s="90" t="s">
        <v>24</v>
      </c>
      <c r="C28" s="97">
        <v>1.5661E-3</v>
      </c>
      <c r="D28" s="97">
        <v>1.5441999999999999E-3</v>
      </c>
      <c r="E28" s="92">
        <v>1984271.3</v>
      </c>
      <c r="F28" s="92">
        <f t="shared" si="0"/>
        <v>1810452.6765178</v>
      </c>
      <c r="G28" s="92">
        <v>5771389</v>
      </c>
      <c r="H28" s="92"/>
      <c r="I28" s="93">
        <v>0</v>
      </c>
      <c r="J28" s="93">
        <v>4027423</v>
      </c>
      <c r="K28" s="93">
        <v>0</v>
      </c>
      <c r="L28" s="92">
        <v>98252</v>
      </c>
      <c r="M28" s="92"/>
      <c r="N28" s="93">
        <v>656207</v>
      </c>
      <c r="O28" s="93">
        <v>4652705</v>
      </c>
      <c r="P28" s="93">
        <v>0</v>
      </c>
      <c r="Q28" s="92">
        <v>56141</v>
      </c>
      <c r="R28" s="92"/>
      <c r="S28" s="93">
        <v>562363</v>
      </c>
      <c r="T28" s="94">
        <v>7094</v>
      </c>
      <c r="U28" s="94">
        <v>569457</v>
      </c>
      <c r="X28" s="95">
        <v>1.5441999999999999E-3</v>
      </c>
      <c r="Y28" s="96">
        <f t="shared" si="1"/>
        <v>0</v>
      </c>
      <c r="Z28" s="88">
        <f t="shared" si="2"/>
        <v>0</v>
      </c>
      <c r="AB28" s="75">
        <f t="shared" si="3"/>
        <v>-625282</v>
      </c>
      <c r="AC28" s="75">
        <v>-1</v>
      </c>
    </row>
    <row r="29" spans="1:29">
      <c r="A29" s="89">
        <v>18400</v>
      </c>
      <c r="B29" s="90" t="s">
        <v>25</v>
      </c>
      <c r="C29" s="97">
        <v>5.7102999999999998E-3</v>
      </c>
      <c r="D29" s="97">
        <v>5.7371000000000002E-3</v>
      </c>
      <c r="E29" s="92">
        <v>7853311.9699999997</v>
      </c>
      <c r="F29" s="92">
        <f t="shared" si="0"/>
        <v>6726297.1444439003</v>
      </c>
      <c r="G29" s="92">
        <v>21043586</v>
      </c>
      <c r="H29" s="92"/>
      <c r="I29" s="93">
        <v>0</v>
      </c>
      <c r="J29" s="93">
        <v>14684756</v>
      </c>
      <c r="K29" s="93">
        <v>0</v>
      </c>
      <c r="L29" s="92">
        <v>995510</v>
      </c>
      <c r="M29" s="92"/>
      <c r="N29" s="93">
        <v>2392656</v>
      </c>
      <c r="O29" s="93">
        <v>16964650</v>
      </c>
      <c r="P29" s="93">
        <v>0</v>
      </c>
      <c r="Q29" s="92">
        <v>0</v>
      </c>
      <c r="R29" s="92"/>
      <c r="S29" s="93">
        <v>2050483</v>
      </c>
      <c r="T29" s="94">
        <v>324993</v>
      </c>
      <c r="U29" s="94">
        <v>2375476</v>
      </c>
      <c r="X29" s="95">
        <v>5.7371000000000002E-3</v>
      </c>
      <c r="Y29" s="96">
        <f t="shared" si="1"/>
        <v>0</v>
      </c>
      <c r="Z29" s="88">
        <f t="shared" si="2"/>
        <v>0</v>
      </c>
      <c r="AB29" s="75">
        <f t="shared" si="3"/>
        <v>-2279894</v>
      </c>
      <c r="AC29" s="75">
        <v>0</v>
      </c>
    </row>
    <row r="30" spans="1:29">
      <c r="A30" s="89">
        <v>18600</v>
      </c>
      <c r="B30" s="90" t="s">
        <v>26</v>
      </c>
      <c r="C30" s="97">
        <v>1.8600000000000001E-5</v>
      </c>
      <c r="D30" s="97">
        <v>2.44E-5</v>
      </c>
      <c r="E30" s="92">
        <v>35811.089999999997</v>
      </c>
      <c r="F30" s="92">
        <f t="shared" si="0"/>
        <v>28607.0750596</v>
      </c>
      <c r="G30" s="92">
        <v>68545</v>
      </c>
      <c r="H30" s="92"/>
      <c r="I30" s="93">
        <v>0</v>
      </c>
      <c r="J30" s="93">
        <v>47832</v>
      </c>
      <c r="K30" s="93">
        <v>0</v>
      </c>
      <c r="L30" s="92">
        <v>4466</v>
      </c>
      <c r="M30" s="92"/>
      <c r="N30" s="93">
        <v>7794</v>
      </c>
      <c r="O30" s="93">
        <v>55258</v>
      </c>
      <c r="P30" s="93">
        <v>0</v>
      </c>
      <c r="Q30" s="92">
        <v>14903</v>
      </c>
      <c r="R30" s="92"/>
      <c r="S30" s="93">
        <v>6679</v>
      </c>
      <c r="T30" s="94">
        <v>-2528</v>
      </c>
      <c r="U30" s="94">
        <v>4151</v>
      </c>
      <c r="X30" s="95">
        <v>2.44E-5</v>
      </c>
      <c r="Y30" s="96">
        <f t="shared" si="1"/>
        <v>0</v>
      </c>
      <c r="Z30" s="88">
        <f t="shared" si="2"/>
        <v>0</v>
      </c>
      <c r="AB30" s="75">
        <f t="shared" si="3"/>
        <v>-7426</v>
      </c>
      <c r="AC30" s="75">
        <v>-1</v>
      </c>
    </row>
    <row r="31" spans="1:29">
      <c r="A31" s="89">
        <v>18640</v>
      </c>
      <c r="B31" s="90" t="s">
        <v>27</v>
      </c>
      <c r="C31" s="97">
        <v>0</v>
      </c>
      <c r="D31" s="97">
        <v>1.7999999999999999E-6</v>
      </c>
      <c r="E31" s="92">
        <v>0</v>
      </c>
      <c r="F31" s="92">
        <f t="shared" si="0"/>
        <v>2110.3579961999999</v>
      </c>
      <c r="G31" s="92">
        <v>0</v>
      </c>
      <c r="H31" s="92"/>
      <c r="I31" s="93">
        <v>0</v>
      </c>
      <c r="J31" s="93">
        <v>0</v>
      </c>
      <c r="K31" s="93">
        <v>0</v>
      </c>
      <c r="L31" s="92">
        <v>0</v>
      </c>
      <c r="M31" s="92"/>
      <c r="N31" s="93">
        <v>0</v>
      </c>
      <c r="O31" s="93">
        <v>0</v>
      </c>
      <c r="P31" s="93">
        <v>0</v>
      </c>
      <c r="Q31" s="92">
        <v>15007</v>
      </c>
      <c r="R31" s="92"/>
      <c r="S31" s="93">
        <v>0</v>
      </c>
      <c r="T31" s="94">
        <v>-4758</v>
      </c>
      <c r="U31" s="94">
        <v>-4758</v>
      </c>
      <c r="X31" s="95">
        <v>1.7999999999999999E-6</v>
      </c>
      <c r="Y31" s="96">
        <f t="shared" si="1"/>
        <v>0</v>
      </c>
      <c r="Z31" s="88">
        <f t="shared" si="2"/>
        <v>0</v>
      </c>
      <c r="AB31" s="75">
        <f t="shared" si="3"/>
        <v>0</v>
      </c>
      <c r="AC31" s="75">
        <v>0</v>
      </c>
    </row>
    <row r="32" spans="1:29">
      <c r="A32" s="89">
        <v>18670</v>
      </c>
      <c r="B32" s="90" t="s">
        <v>285</v>
      </c>
      <c r="C32" s="97">
        <v>0</v>
      </c>
      <c r="D32" s="97">
        <v>3.4999999999999999E-6</v>
      </c>
      <c r="E32" s="92"/>
      <c r="F32" s="92">
        <f t="shared" si="0"/>
        <v>4103.4738815000001</v>
      </c>
      <c r="G32" s="92">
        <v>0</v>
      </c>
      <c r="H32" s="92"/>
      <c r="I32" s="93">
        <v>0</v>
      </c>
      <c r="J32" s="93">
        <v>0</v>
      </c>
      <c r="K32" s="93">
        <v>0</v>
      </c>
      <c r="L32" s="92">
        <v>0</v>
      </c>
      <c r="M32" s="92"/>
      <c r="N32" s="93">
        <v>0</v>
      </c>
      <c r="O32" s="93">
        <v>0</v>
      </c>
      <c r="P32" s="93">
        <v>0</v>
      </c>
      <c r="Q32" s="92">
        <v>18964</v>
      </c>
      <c r="R32" s="92"/>
      <c r="S32" s="93">
        <v>0</v>
      </c>
      <c r="T32" s="94">
        <v>-5591</v>
      </c>
      <c r="U32" s="94">
        <v>-5591</v>
      </c>
      <c r="X32" s="95">
        <v>3.4999999999999999E-6</v>
      </c>
      <c r="Y32" s="96">
        <f t="shared" si="1"/>
        <v>0</v>
      </c>
      <c r="Z32" s="88">
        <f t="shared" si="2"/>
        <v>0</v>
      </c>
      <c r="AB32" s="75">
        <f t="shared" si="3"/>
        <v>0</v>
      </c>
      <c r="AC32" s="75">
        <v>0</v>
      </c>
    </row>
    <row r="33" spans="1:29">
      <c r="A33" s="89">
        <v>18690</v>
      </c>
      <c r="B33" s="90" t="s">
        <v>28</v>
      </c>
      <c r="C33" s="97">
        <v>8.6999999999999997E-6</v>
      </c>
      <c r="D33" s="97">
        <v>1.2E-5</v>
      </c>
      <c r="E33" s="92">
        <v>25183.09</v>
      </c>
      <c r="F33" s="92">
        <f t="shared" si="0"/>
        <v>14069.053308</v>
      </c>
      <c r="G33" s="92">
        <v>32061</v>
      </c>
      <c r="H33" s="92"/>
      <c r="I33" s="93">
        <v>0</v>
      </c>
      <c r="J33" s="93">
        <v>22373</v>
      </c>
      <c r="K33" s="93">
        <v>0</v>
      </c>
      <c r="L33" s="92">
        <v>17368</v>
      </c>
      <c r="M33" s="92"/>
      <c r="N33" s="93">
        <v>3645</v>
      </c>
      <c r="O33" s="93">
        <v>25847</v>
      </c>
      <c r="P33" s="93">
        <v>0</v>
      </c>
      <c r="Q33" s="92">
        <v>2853</v>
      </c>
      <c r="R33" s="92"/>
      <c r="S33" s="93">
        <v>3124</v>
      </c>
      <c r="T33" s="94">
        <v>5435</v>
      </c>
      <c r="U33" s="94">
        <v>8559</v>
      </c>
      <c r="X33" s="95">
        <v>1.2E-5</v>
      </c>
      <c r="Y33" s="96">
        <f t="shared" si="1"/>
        <v>0</v>
      </c>
      <c r="Z33" s="88">
        <f t="shared" si="2"/>
        <v>0</v>
      </c>
      <c r="AB33" s="75">
        <f t="shared" si="3"/>
        <v>-3474</v>
      </c>
      <c r="AC33" s="75">
        <v>-1</v>
      </c>
    </row>
    <row r="34" spans="1:29">
      <c r="A34" s="89">
        <v>18740</v>
      </c>
      <c r="B34" s="90" t="s">
        <v>29</v>
      </c>
      <c r="C34" s="97">
        <v>6.2999999999999998E-6</v>
      </c>
      <c r="D34" s="97">
        <v>6.9E-6</v>
      </c>
      <c r="E34" s="92">
        <v>9550.41</v>
      </c>
      <c r="F34" s="92">
        <f t="shared" si="0"/>
        <v>8089.7056521000004</v>
      </c>
      <c r="G34" s="92">
        <v>23217</v>
      </c>
      <c r="H34" s="92"/>
      <c r="I34" s="93">
        <v>0</v>
      </c>
      <c r="J34" s="93">
        <v>16201</v>
      </c>
      <c r="K34" s="93">
        <v>0</v>
      </c>
      <c r="L34" s="92">
        <v>429</v>
      </c>
      <c r="M34" s="92"/>
      <c r="N34" s="93">
        <v>2640</v>
      </c>
      <c r="O34" s="93">
        <v>18717</v>
      </c>
      <c r="P34" s="93">
        <v>0</v>
      </c>
      <c r="Q34" s="92">
        <v>1290</v>
      </c>
      <c r="R34" s="92"/>
      <c r="S34" s="93">
        <v>2262</v>
      </c>
      <c r="T34" s="94">
        <v>-204</v>
      </c>
      <c r="U34" s="94">
        <v>2059</v>
      </c>
      <c r="X34" s="95">
        <v>6.9E-6</v>
      </c>
      <c r="Y34" s="96">
        <f t="shared" si="1"/>
        <v>0</v>
      </c>
      <c r="Z34" s="88">
        <f t="shared" si="2"/>
        <v>-1</v>
      </c>
      <c r="AB34" s="75">
        <f t="shared" si="3"/>
        <v>-2516</v>
      </c>
      <c r="AC34" s="75">
        <v>1</v>
      </c>
    </row>
    <row r="35" spans="1:29">
      <c r="A35" s="89">
        <v>18780</v>
      </c>
      <c r="B35" s="90" t="s">
        <v>30</v>
      </c>
      <c r="C35" s="97">
        <v>1.3200000000000001E-5</v>
      </c>
      <c r="D35" s="97">
        <v>1.26E-5</v>
      </c>
      <c r="E35" s="92">
        <v>19770.14</v>
      </c>
      <c r="F35" s="92">
        <f t="shared" si="0"/>
        <v>14772.505973399999</v>
      </c>
      <c r="G35" s="92">
        <v>48645</v>
      </c>
      <c r="H35" s="92"/>
      <c r="I35" s="93">
        <v>0</v>
      </c>
      <c r="J35" s="93">
        <v>33945</v>
      </c>
      <c r="K35" s="93">
        <v>0</v>
      </c>
      <c r="L35" s="92">
        <v>15638</v>
      </c>
      <c r="M35" s="92"/>
      <c r="N35" s="93">
        <v>5531</v>
      </c>
      <c r="O35" s="93">
        <v>39216</v>
      </c>
      <c r="P35" s="93">
        <v>0</v>
      </c>
      <c r="Q35" s="92">
        <v>0</v>
      </c>
      <c r="R35" s="92"/>
      <c r="S35" s="93">
        <v>4740</v>
      </c>
      <c r="T35" s="94">
        <v>5200</v>
      </c>
      <c r="U35" s="94">
        <v>9940</v>
      </c>
      <c r="X35" s="95">
        <v>1.26E-5</v>
      </c>
      <c r="Y35" s="96">
        <f t="shared" si="1"/>
        <v>0</v>
      </c>
      <c r="Z35" s="88">
        <f t="shared" si="2"/>
        <v>0</v>
      </c>
      <c r="AB35" s="75">
        <f t="shared" si="3"/>
        <v>-5271</v>
      </c>
      <c r="AC35" s="75">
        <v>1</v>
      </c>
    </row>
    <row r="36" spans="1:29">
      <c r="A36" s="89">
        <v>19005</v>
      </c>
      <c r="B36" s="90" t="s">
        <v>31</v>
      </c>
      <c r="C36" s="97">
        <v>8.0519999999999995E-4</v>
      </c>
      <c r="D36" s="97">
        <v>8.072E-4</v>
      </c>
      <c r="E36" s="92">
        <v>1204505.94</v>
      </c>
      <c r="F36" s="92">
        <f t="shared" si="0"/>
        <v>946378.31918480003</v>
      </c>
      <c r="G36" s="92">
        <v>2967321</v>
      </c>
      <c r="H36" s="92"/>
      <c r="I36" s="93">
        <v>0</v>
      </c>
      <c r="J36" s="93">
        <v>2070673</v>
      </c>
      <c r="K36" s="93">
        <v>0</v>
      </c>
      <c r="L36" s="92">
        <v>175903</v>
      </c>
      <c r="M36" s="92"/>
      <c r="N36" s="93">
        <v>337384</v>
      </c>
      <c r="O36" s="93">
        <v>2392157</v>
      </c>
      <c r="P36" s="93">
        <v>0</v>
      </c>
      <c r="Q36" s="92">
        <v>0</v>
      </c>
      <c r="R36" s="92"/>
      <c r="S36" s="93">
        <v>289135</v>
      </c>
      <c r="T36" s="94">
        <v>51756</v>
      </c>
      <c r="U36" s="94">
        <v>340891</v>
      </c>
      <c r="X36" s="95">
        <v>8.072E-4</v>
      </c>
      <c r="Y36" s="96">
        <f t="shared" si="1"/>
        <v>0</v>
      </c>
      <c r="Z36" s="88">
        <f t="shared" si="2"/>
        <v>0</v>
      </c>
      <c r="AB36" s="75">
        <f t="shared" si="3"/>
        <v>-321484</v>
      </c>
      <c r="AC36" s="75">
        <v>1</v>
      </c>
    </row>
    <row r="37" spans="1:29">
      <c r="A37" s="89">
        <v>19100</v>
      </c>
      <c r="B37" s="90" t="s">
        <v>32</v>
      </c>
      <c r="C37" s="97">
        <v>7.0273699999999995E-2</v>
      </c>
      <c r="D37" s="97">
        <v>6.9269800000000006E-2</v>
      </c>
      <c r="E37" s="92">
        <v>88492017.180000007</v>
      </c>
      <c r="F37" s="92">
        <f t="shared" si="0"/>
        <v>81213375.7362082</v>
      </c>
      <c r="G37" s="92">
        <v>258972499</v>
      </c>
      <c r="H37" s="92"/>
      <c r="I37" s="93">
        <v>0</v>
      </c>
      <c r="J37" s="93">
        <v>180717674</v>
      </c>
      <c r="K37" s="93">
        <v>0</v>
      </c>
      <c r="L37" s="92">
        <v>4071143</v>
      </c>
      <c r="M37" s="92"/>
      <c r="N37" s="93">
        <v>29445172</v>
      </c>
      <c r="O37" s="93">
        <v>208775151</v>
      </c>
      <c r="P37" s="93">
        <v>0</v>
      </c>
      <c r="Q37" s="92">
        <v>4337831</v>
      </c>
      <c r="R37" s="92"/>
      <c r="S37" s="93">
        <v>25234232</v>
      </c>
      <c r="T37" s="94">
        <v>-427038</v>
      </c>
      <c r="U37" s="94">
        <v>24807194</v>
      </c>
      <c r="X37" s="95">
        <v>6.9269800000000006E-2</v>
      </c>
      <c r="Y37" s="96">
        <f t="shared" si="1"/>
        <v>0</v>
      </c>
      <c r="Z37" s="88">
        <f t="shared" si="2"/>
        <v>0</v>
      </c>
      <c r="AB37" s="75">
        <f t="shared" si="3"/>
        <v>-28057477</v>
      </c>
      <c r="AC37" s="75">
        <v>0</v>
      </c>
    </row>
    <row r="38" spans="1:29">
      <c r="A38" s="89">
        <v>20100</v>
      </c>
      <c r="B38" s="90" t="s">
        <v>33</v>
      </c>
      <c r="C38" s="97">
        <v>5.7920999999999997E-3</v>
      </c>
      <c r="D38" s="97">
        <v>5.6360000000000004E-3</v>
      </c>
      <c r="E38" s="92">
        <v>7591521.3300000001</v>
      </c>
      <c r="F38" s="92">
        <f t="shared" si="0"/>
        <v>6607765.3703240007</v>
      </c>
      <c r="G38" s="92">
        <v>21345035</v>
      </c>
      <c r="H38" s="92"/>
      <c r="I38" s="93">
        <v>0</v>
      </c>
      <c r="J38" s="93">
        <v>14895115</v>
      </c>
      <c r="K38" s="93">
        <v>0</v>
      </c>
      <c r="L38" s="92">
        <v>1317075</v>
      </c>
      <c r="M38" s="92"/>
      <c r="N38" s="93">
        <v>2426930</v>
      </c>
      <c r="O38" s="93">
        <v>17207669</v>
      </c>
      <c r="P38" s="93">
        <v>0</v>
      </c>
      <c r="Q38" s="92">
        <v>0</v>
      </c>
      <c r="R38" s="92"/>
      <c r="S38" s="93">
        <v>2079856</v>
      </c>
      <c r="T38" s="94">
        <v>400476</v>
      </c>
      <c r="U38" s="94">
        <v>2480332</v>
      </c>
      <c r="X38" s="95">
        <v>5.6360000000000004E-3</v>
      </c>
      <c r="Y38" s="96">
        <f t="shared" si="1"/>
        <v>0</v>
      </c>
      <c r="Z38" s="88">
        <f t="shared" si="2"/>
        <v>0</v>
      </c>
      <c r="AB38" s="75">
        <f t="shared" si="3"/>
        <v>-2312554</v>
      </c>
      <c r="AC38" s="75">
        <v>0</v>
      </c>
    </row>
    <row r="39" spans="1:29">
      <c r="A39" s="89">
        <v>20200</v>
      </c>
      <c r="B39" s="90" t="s">
        <v>34</v>
      </c>
      <c r="C39" s="97">
        <v>8.0079999999999995E-4</v>
      </c>
      <c r="D39" s="97">
        <v>8.1280000000000002E-4</v>
      </c>
      <c r="E39" s="92">
        <v>1170762.3600000001</v>
      </c>
      <c r="F39" s="92">
        <f t="shared" si="0"/>
        <v>952943.87739520008</v>
      </c>
      <c r="G39" s="92">
        <v>2951107</v>
      </c>
      <c r="H39" s="92"/>
      <c r="I39" s="93">
        <v>0</v>
      </c>
      <c r="J39" s="93">
        <v>2059358</v>
      </c>
      <c r="K39" s="93">
        <v>0</v>
      </c>
      <c r="L39" s="92">
        <v>152058</v>
      </c>
      <c r="M39" s="92"/>
      <c r="N39" s="93">
        <v>335541</v>
      </c>
      <c r="O39" s="93">
        <v>2379086</v>
      </c>
      <c r="P39" s="93">
        <v>0</v>
      </c>
      <c r="Q39" s="92">
        <v>0</v>
      </c>
      <c r="R39" s="92"/>
      <c r="S39" s="93">
        <v>287555</v>
      </c>
      <c r="T39" s="94">
        <v>48453</v>
      </c>
      <c r="U39" s="94">
        <v>336008</v>
      </c>
      <c r="X39" s="95">
        <v>8.1280000000000002E-4</v>
      </c>
      <c r="Y39" s="96">
        <f t="shared" si="1"/>
        <v>0</v>
      </c>
      <c r="Z39" s="88">
        <f t="shared" si="2"/>
        <v>0</v>
      </c>
      <c r="AB39" s="75">
        <f t="shared" si="3"/>
        <v>-319728</v>
      </c>
      <c r="AC39" s="75">
        <v>0</v>
      </c>
    </row>
    <row r="40" spans="1:29">
      <c r="A40" s="89">
        <v>20300</v>
      </c>
      <c r="B40" s="90" t="s">
        <v>35</v>
      </c>
      <c r="C40" s="97">
        <v>1.34568E-2</v>
      </c>
      <c r="D40" s="97">
        <v>1.37251E-2</v>
      </c>
      <c r="E40" s="92">
        <v>17411076.079999998</v>
      </c>
      <c r="F40" s="92">
        <f t="shared" si="0"/>
        <v>16091596.9631359</v>
      </c>
      <c r="G40" s="92">
        <v>49590972</v>
      </c>
      <c r="H40" s="92"/>
      <c r="I40" s="93">
        <v>0</v>
      </c>
      <c r="J40" s="93">
        <v>34605857</v>
      </c>
      <c r="K40" s="93">
        <v>0</v>
      </c>
      <c r="L40" s="92">
        <v>2040187</v>
      </c>
      <c r="M40" s="92"/>
      <c r="N40" s="93">
        <v>5638493</v>
      </c>
      <c r="O40" s="93">
        <v>39978619</v>
      </c>
      <c r="P40" s="93">
        <v>0</v>
      </c>
      <c r="Q40" s="92">
        <v>805719</v>
      </c>
      <c r="R40" s="92"/>
      <c r="S40" s="93">
        <v>4832135</v>
      </c>
      <c r="T40" s="94">
        <v>508059</v>
      </c>
      <c r="U40" s="94">
        <v>5340194</v>
      </c>
      <c r="X40" s="95">
        <v>1.37251E-2</v>
      </c>
      <c r="Y40" s="96">
        <f t="shared" si="1"/>
        <v>0</v>
      </c>
      <c r="Z40" s="88">
        <f t="shared" si="2"/>
        <v>0</v>
      </c>
      <c r="AB40" s="75">
        <f t="shared" si="3"/>
        <v>-5372762</v>
      </c>
      <c r="AC40" s="75">
        <v>-1</v>
      </c>
    </row>
    <row r="41" spans="1:29">
      <c r="A41" s="89">
        <v>20400</v>
      </c>
      <c r="B41" s="90" t="s">
        <v>36</v>
      </c>
      <c r="C41" s="97">
        <v>1.1751999999999999E-3</v>
      </c>
      <c r="D41" s="97">
        <v>1.4748000000000001E-3</v>
      </c>
      <c r="E41" s="92">
        <v>1713197.66</v>
      </c>
      <c r="F41" s="92">
        <f t="shared" si="0"/>
        <v>1729086.6515532001</v>
      </c>
      <c r="G41" s="92">
        <v>4330845</v>
      </c>
      <c r="H41" s="92"/>
      <c r="I41" s="93">
        <v>0</v>
      </c>
      <c r="J41" s="93">
        <v>3022175</v>
      </c>
      <c r="K41" s="93">
        <v>0</v>
      </c>
      <c r="L41" s="92">
        <v>0</v>
      </c>
      <c r="M41" s="92"/>
      <c r="N41" s="93">
        <v>492417</v>
      </c>
      <c r="O41" s="93">
        <v>3491385</v>
      </c>
      <c r="P41" s="93">
        <v>0</v>
      </c>
      <c r="Q41" s="92">
        <v>1805825</v>
      </c>
      <c r="R41" s="92"/>
      <c r="S41" s="93">
        <v>421997</v>
      </c>
      <c r="T41" s="94">
        <v>-558605</v>
      </c>
      <c r="U41" s="94">
        <v>-136608</v>
      </c>
      <c r="X41" s="95">
        <v>1.4748000000000001E-3</v>
      </c>
      <c r="Y41" s="96">
        <f t="shared" si="1"/>
        <v>0</v>
      </c>
      <c r="Z41" s="88">
        <f t="shared" si="2"/>
        <v>0</v>
      </c>
      <c r="AB41" s="75">
        <f t="shared" si="3"/>
        <v>-469210</v>
      </c>
      <c r="AC41" s="75">
        <v>1</v>
      </c>
    </row>
    <row r="42" spans="1:29">
      <c r="A42" s="89">
        <v>20600</v>
      </c>
      <c r="B42" s="90" t="s">
        <v>37</v>
      </c>
      <c r="C42" s="97">
        <v>1.9930999999999998E-3</v>
      </c>
      <c r="D42" s="97">
        <v>2.1145999999999999E-3</v>
      </c>
      <c r="E42" s="92">
        <v>2791288.88</v>
      </c>
      <c r="F42" s="92">
        <f t="shared" si="0"/>
        <v>2479201.6770913997</v>
      </c>
      <c r="G42" s="92">
        <v>7344968</v>
      </c>
      <c r="H42" s="92"/>
      <c r="I42" s="93">
        <v>0</v>
      </c>
      <c r="J42" s="93">
        <v>5125508</v>
      </c>
      <c r="K42" s="93">
        <v>0</v>
      </c>
      <c r="L42" s="92">
        <v>8891</v>
      </c>
      <c r="M42" s="92"/>
      <c r="N42" s="93">
        <v>835123</v>
      </c>
      <c r="O42" s="93">
        <v>5921273</v>
      </c>
      <c r="P42" s="93">
        <v>0</v>
      </c>
      <c r="Q42" s="92">
        <v>299100</v>
      </c>
      <c r="R42" s="92"/>
      <c r="S42" s="93">
        <v>715692</v>
      </c>
      <c r="T42" s="94">
        <v>-79666</v>
      </c>
      <c r="U42" s="94">
        <v>636026</v>
      </c>
      <c r="X42" s="95">
        <v>2.1145999999999999E-3</v>
      </c>
      <c r="Y42" s="96">
        <f t="shared" si="1"/>
        <v>0</v>
      </c>
      <c r="Z42" s="88">
        <f t="shared" si="2"/>
        <v>0</v>
      </c>
      <c r="AB42" s="75">
        <f t="shared" si="3"/>
        <v>-795765</v>
      </c>
      <c r="AC42" s="75">
        <v>0</v>
      </c>
    </row>
    <row r="43" spans="1:29">
      <c r="A43" s="89">
        <v>20700</v>
      </c>
      <c r="B43" s="90" t="s">
        <v>38</v>
      </c>
      <c r="C43" s="97">
        <v>3.9925000000000004E-3</v>
      </c>
      <c r="D43" s="97">
        <v>4.1276000000000004E-3</v>
      </c>
      <c r="E43" s="92">
        <v>5835356.4699999997</v>
      </c>
      <c r="F43" s="92">
        <f t="shared" si="0"/>
        <v>4839285.3695084006</v>
      </c>
      <c r="G43" s="92">
        <v>14713153</v>
      </c>
      <c r="H43" s="92"/>
      <c r="I43" s="93">
        <v>0</v>
      </c>
      <c r="J43" s="93">
        <v>10267217</v>
      </c>
      <c r="K43" s="93">
        <v>0</v>
      </c>
      <c r="L43" s="92">
        <v>203579</v>
      </c>
      <c r="M43" s="92"/>
      <c r="N43" s="93">
        <v>1672885</v>
      </c>
      <c r="O43" s="93">
        <v>11861262</v>
      </c>
      <c r="P43" s="93">
        <v>0</v>
      </c>
      <c r="Q43" s="92">
        <v>0</v>
      </c>
      <c r="R43" s="92"/>
      <c r="S43" s="93">
        <v>1433647</v>
      </c>
      <c r="T43" s="94">
        <v>68867</v>
      </c>
      <c r="U43" s="94">
        <v>1502513</v>
      </c>
      <c r="X43" s="95">
        <v>4.1276000000000004E-3</v>
      </c>
      <c r="Y43" s="96">
        <f t="shared" si="1"/>
        <v>0</v>
      </c>
      <c r="Z43" s="88">
        <f t="shared" si="2"/>
        <v>1</v>
      </c>
      <c r="AB43" s="75">
        <f t="shared" si="3"/>
        <v>-1594045</v>
      </c>
      <c r="AC43" s="75">
        <v>2</v>
      </c>
    </row>
    <row r="44" spans="1:29">
      <c r="A44" s="89">
        <v>20800</v>
      </c>
      <c r="B44" s="90" t="s">
        <v>39</v>
      </c>
      <c r="C44" s="97">
        <v>3.6311E-3</v>
      </c>
      <c r="D44" s="97">
        <v>3.9148999999999998E-3</v>
      </c>
      <c r="E44" s="92">
        <v>5061837.0999999996</v>
      </c>
      <c r="F44" s="92">
        <f t="shared" si="0"/>
        <v>4589911.3996241</v>
      </c>
      <c r="G44" s="92">
        <v>13381322</v>
      </c>
      <c r="H44" s="92"/>
      <c r="I44" s="93">
        <v>0</v>
      </c>
      <c r="J44" s="93">
        <v>9337831</v>
      </c>
      <c r="K44" s="93">
        <v>0</v>
      </c>
      <c r="L44" s="92">
        <v>143218</v>
      </c>
      <c r="M44" s="92"/>
      <c r="N44" s="93">
        <v>1521456</v>
      </c>
      <c r="O44" s="93">
        <v>10787584</v>
      </c>
      <c r="P44" s="93">
        <v>0</v>
      </c>
      <c r="Q44" s="92">
        <v>827661</v>
      </c>
      <c r="R44" s="92"/>
      <c r="S44" s="93">
        <v>1303874</v>
      </c>
      <c r="T44" s="94">
        <v>-177937</v>
      </c>
      <c r="U44" s="94">
        <v>1125937</v>
      </c>
      <c r="X44" s="95">
        <v>3.9148999999999998E-3</v>
      </c>
      <c r="Y44" s="96">
        <f t="shared" si="1"/>
        <v>0</v>
      </c>
      <c r="Z44" s="88">
        <f t="shared" si="2"/>
        <v>0</v>
      </c>
      <c r="AB44" s="75">
        <f t="shared" si="3"/>
        <v>-1449753</v>
      </c>
      <c r="AC44" s="75">
        <v>0</v>
      </c>
    </row>
    <row r="45" spans="1:29">
      <c r="A45" s="89">
        <v>20900</v>
      </c>
      <c r="B45" s="90" t="s">
        <v>40</v>
      </c>
      <c r="C45" s="97">
        <v>4.9801000000000003E-3</v>
      </c>
      <c r="D45" s="97">
        <v>5.3026999999999996E-3</v>
      </c>
      <c r="E45" s="92">
        <v>6755909.0599999996</v>
      </c>
      <c r="F45" s="92">
        <f t="shared" si="0"/>
        <v>6216997.4146942999</v>
      </c>
      <c r="G45" s="92">
        <v>18352655</v>
      </c>
      <c r="H45" s="92"/>
      <c r="I45" s="93">
        <v>0</v>
      </c>
      <c r="J45" s="93">
        <v>12806955</v>
      </c>
      <c r="K45" s="93">
        <v>0</v>
      </c>
      <c r="L45" s="92">
        <v>0</v>
      </c>
      <c r="M45" s="92"/>
      <c r="N45" s="93">
        <v>2086697</v>
      </c>
      <c r="O45" s="93">
        <v>14795309</v>
      </c>
      <c r="P45" s="93">
        <v>0</v>
      </c>
      <c r="Q45" s="92">
        <v>1547769</v>
      </c>
      <c r="R45" s="92"/>
      <c r="S45" s="93">
        <v>1788279</v>
      </c>
      <c r="T45" s="94">
        <v>-473420</v>
      </c>
      <c r="U45" s="94">
        <v>1314859</v>
      </c>
      <c r="X45" s="95">
        <v>5.3026999999999996E-3</v>
      </c>
      <c r="Y45" s="96">
        <f t="shared" si="1"/>
        <v>0</v>
      </c>
      <c r="Z45" s="88">
        <f t="shared" si="2"/>
        <v>0</v>
      </c>
      <c r="AB45" s="75">
        <f t="shared" si="3"/>
        <v>-1988354</v>
      </c>
      <c r="AC45" s="75">
        <v>1</v>
      </c>
    </row>
    <row r="46" spans="1:29">
      <c r="A46" s="89">
        <v>21200</v>
      </c>
      <c r="B46" s="90" t="s">
        <v>41</v>
      </c>
      <c r="C46" s="97">
        <v>1.6559000000000001E-3</v>
      </c>
      <c r="D46" s="97">
        <v>1.6521000000000001E-3</v>
      </c>
      <c r="E46" s="92">
        <v>2217753</v>
      </c>
      <c r="F46" s="92">
        <f t="shared" si="0"/>
        <v>1936956.9141789002</v>
      </c>
      <c r="G46" s="92">
        <v>6102319</v>
      </c>
      <c r="H46" s="92"/>
      <c r="I46" s="93">
        <v>0</v>
      </c>
      <c r="J46" s="93">
        <v>4258355</v>
      </c>
      <c r="K46" s="93">
        <v>0</v>
      </c>
      <c r="L46" s="92">
        <v>115670</v>
      </c>
      <c r="M46" s="92"/>
      <c r="N46" s="93">
        <v>693834</v>
      </c>
      <c r="O46" s="93">
        <v>4919490</v>
      </c>
      <c r="P46" s="93">
        <v>0</v>
      </c>
      <c r="Q46" s="92">
        <v>129813</v>
      </c>
      <c r="R46" s="92"/>
      <c r="S46" s="93">
        <v>594609</v>
      </c>
      <c r="T46" s="94">
        <v>-14486</v>
      </c>
      <c r="U46" s="94">
        <v>580123</v>
      </c>
      <c r="X46" s="95">
        <v>1.6521000000000001E-3</v>
      </c>
      <c r="Y46" s="96">
        <f t="shared" si="1"/>
        <v>0</v>
      </c>
      <c r="Z46" s="88">
        <f t="shared" si="2"/>
        <v>0</v>
      </c>
      <c r="AB46" s="75">
        <f t="shared" si="3"/>
        <v>-661135</v>
      </c>
      <c r="AC46" s="75">
        <v>-1</v>
      </c>
    </row>
    <row r="47" spans="1:29">
      <c r="A47" s="89">
        <v>21300</v>
      </c>
      <c r="B47" s="90" t="s">
        <v>42</v>
      </c>
      <c r="C47" s="97">
        <v>2.1394E-2</v>
      </c>
      <c r="D47" s="97">
        <v>2.1459900000000001E-2</v>
      </c>
      <c r="E47" s="92">
        <v>28438844.890000001</v>
      </c>
      <c r="F47" s="92">
        <f t="shared" si="0"/>
        <v>25160039.757029101</v>
      </c>
      <c r="G47" s="92">
        <v>78841126</v>
      </c>
      <c r="H47" s="92"/>
      <c r="I47" s="93">
        <v>0</v>
      </c>
      <c r="J47" s="93">
        <v>55017367</v>
      </c>
      <c r="K47" s="93">
        <v>0</v>
      </c>
      <c r="L47" s="92">
        <v>2722767</v>
      </c>
      <c r="M47" s="92"/>
      <c r="N47" s="93">
        <v>8964236</v>
      </c>
      <c r="O47" s="93">
        <v>63559135</v>
      </c>
      <c r="P47" s="93">
        <v>0</v>
      </c>
      <c r="Q47" s="92">
        <v>0</v>
      </c>
      <c r="R47" s="92"/>
      <c r="S47" s="93">
        <v>7682264</v>
      </c>
      <c r="T47" s="94">
        <v>907530</v>
      </c>
      <c r="U47" s="94">
        <v>8589794</v>
      </c>
      <c r="X47" s="95">
        <v>2.1459900000000001E-2</v>
      </c>
      <c r="Y47" s="96">
        <f t="shared" si="1"/>
        <v>0</v>
      </c>
      <c r="Z47" s="88">
        <f t="shared" si="2"/>
        <v>0</v>
      </c>
      <c r="AB47" s="75">
        <f t="shared" si="3"/>
        <v>-8541768</v>
      </c>
      <c r="AC47" s="75">
        <v>-1</v>
      </c>
    </row>
    <row r="48" spans="1:29">
      <c r="A48" s="89">
        <v>21520</v>
      </c>
      <c r="B48" s="90" t="s">
        <v>43</v>
      </c>
      <c r="C48" s="97">
        <v>3.1222699999999999E-2</v>
      </c>
      <c r="D48" s="97">
        <v>3.2242199999999999E-2</v>
      </c>
      <c r="E48" s="92">
        <v>41342777.890000001</v>
      </c>
      <c r="F48" s="92">
        <f t="shared" si="0"/>
        <v>37801435.880599797</v>
      </c>
      <c r="G48" s="92">
        <v>115061832</v>
      </c>
      <c r="H48" s="92"/>
      <c r="I48" s="93">
        <v>0</v>
      </c>
      <c r="J48" s="93">
        <v>80293107</v>
      </c>
      <c r="K48" s="93">
        <v>0</v>
      </c>
      <c r="L48" s="92">
        <v>2044288</v>
      </c>
      <c r="M48" s="92"/>
      <c r="N48" s="93">
        <v>13082530</v>
      </c>
      <c r="O48" s="93">
        <v>92759082</v>
      </c>
      <c r="P48" s="93">
        <v>0</v>
      </c>
      <c r="Q48" s="92">
        <v>2810047</v>
      </c>
      <c r="R48" s="92"/>
      <c r="S48" s="93">
        <v>11211603</v>
      </c>
      <c r="T48" s="94">
        <v>-45687</v>
      </c>
      <c r="U48" s="94">
        <v>11165917</v>
      </c>
      <c r="X48" s="95">
        <v>3.2242199999999999E-2</v>
      </c>
      <c r="Y48" s="96">
        <f t="shared" si="1"/>
        <v>0</v>
      </c>
      <c r="Z48" s="88">
        <f t="shared" si="2"/>
        <v>-1</v>
      </c>
      <c r="AB48" s="75">
        <f t="shared" si="3"/>
        <v>-12465975</v>
      </c>
      <c r="AC48" s="75">
        <v>1</v>
      </c>
    </row>
    <row r="49" spans="1:29">
      <c r="A49" s="89">
        <v>21525</v>
      </c>
      <c r="B49" s="90" t="s">
        <v>44</v>
      </c>
      <c r="C49" s="97">
        <v>1.3163999999999999E-3</v>
      </c>
      <c r="D49" s="97">
        <v>1.3787999999999999E-3</v>
      </c>
      <c r="E49" s="92">
        <v>1954225.19</v>
      </c>
      <c r="F49" s="92">
        <f t="shared" si="0"/>
        <v>1616534.2250891998</v>
      </c>
      <c r="G49" s="92">
        <v>4851195</v>
      </c>
      <c r="H49" s="92"/>
      <c r="I49" s="93">
        <v>0</v>
      </c>
      <c r="J49" s="93">
        <v>3385288</v>
      </c>
      <c r="K49" s="93">
        <v>0</v>
      </c>
      <c r="L49" s="92">
        <v>136990</v>
      </c>
      <c r="M49" s="92"/>
      <c r="N49" s="93">
        <v>551581</v>
      </c>
      <c r="O49" s="93">
        <v>3910874</v>
      </c>
      <c r="P49" s="93">
        <v>0</v>
      </c>
      <c r="Q49" s="92">
        <v>35341</v>
      </c>
      <c r="R49" s="92"/>
      <c r="S49" s="93">
        <v>472699</v>
      </c>
      <c r="T49" s="94">
        <v>39311</v>
      </c>
      <c r="U49" s="94">
        <v>512010</v>
      </c>
      <c r="X49" s="95">
        <v>1.3787999999999999E-3</v>
      </c>
      <c r="Y49" s="96">
        <f t="shared" si="1"/>
        <v>0</v>
      </c>
      <c r="Z49" s="88">
        <f t="shared" si="2"/>
        <v>0</v>
      </c>
      <c r="AB49" s="75">
        <f t="shared" si="3"/>
        <v>-525586</v>
      </c>
      <c r="AC49" s="75">
        <v>0</v>
      </c>
    </row>
    <row r="50" spans="1:29">
      <c r="A50" s="89">
        <v>21550</v>
      </c>
      <c r="B50" s="90" t="s">
        <v>45</v>
      </c>
      <c r="C50" s="97">
        <v>3.5722400000000001E-2</v>
      </c>
      <c r="D50" s="97">
        <v>3.6556999999999999E-2</v>
      </c>
      <c r="E50" s="92">
        <v>42344203.469999999</v>
      </c>
      <c r="F50" s="92">
        <f t="shared" si="0"/>
        <v>42860198.481712997</v>
      </c>
      <c r="G50" s="92">
        <v>131644117</v>
      </c>
      <c r="H50" s="92"/>
      <c r="I50" s="93">
        <v>0</v>
      </c>
      <c r="J50" s="93">
        <v>91864653</v>
      </c>
      <c r="K50" s="93">
        <v>0</v>
      </c>
      <c r="L50" s="92">
        <v>7216850</v>
      </c>
      <c r="M50" s="92"/>
      <c r="N50" s="93">
        <v>14967936</v>
      </c>
      <c r="O50" s="93">
        <v>106127178</v>
      </c>
      <c r="P50" s="93">
        <v>0</v>
      </c>
      <c r="Q50" s="92">
        <v>5691585</v>
      </c>
      <c r="R50" s="92"/>
      <c r="S50" s="93">
        <v>12827378</v>
      </c>
      <c r="T50" s="94">
        <v>1010068</v>
      </c>
      <c r="U50" s="94">
        <v>13837446</v>
      </c>
      <c r="X50" s="95">
        <v>3.6556999999999999E-2</v>
      </c>
      <c r="Y50" s="96">
        <f t="shared" si="1"/>
        <v>0</v>
      </c>
      <c r="Z50" s="88">
        <f t="shared" si="2"/>
        <v>0</v>
      </c>
      <c r="AB50" s="75">
        <f t="shared" si="3"/>
        <v>-14262525</v>
      </c>
      <c r="AC50" s="75">
        <v>0</v>
      </c>
    </row>
    <row r="51" spans="1:29">
      <c r="A51" s="89">
        <v>21570</v>
      </c>
      <c r="B51" s="90" t="s">
        <v>46</v>
      </c>
      <c r="C51" s="97">
        <v>1.7019999999999999E-4</v>
      </c>
      <c r="D51" s="97">
        <v>1.8689999999999999E-4</v>
      </c>
      <c r="E51" s="92">
        <v>248377.23</v>
      </c>
      <c r="F51" s="92">
        <f t="shared" si="0"/>
        <v>219125.50527209998</v>
      </c>
      <c r="G51" s="92">
        <v>627221</v>
      </c>
      <c r="H51" s="92"/>
      <c r="I51" s="93">
        <v>0</v>
      </c>
      <c r="J51" s="93">
        <v>437691</v>
      </c>
      <c r="K51" s="93">
        <v>0</v>
      </c>
      <c r="L51" s="92">
        <v>0</v>
      </c>
      <c r="M51" s="92"/>
      <c r="N51" s="93">
        <v>71315</v>
      </c>
      <c r="O51" s="93">
        <v>505645</v>
      </c>
      <c r="P51" s="93">
        <v>0</v>
      </c>
      <c r="Q51" s="92">
        <v>103365</v>
      </c>
      <c r="R51" s="92"/>
      <c r="S51" s="93">
        <v>61116</v>
      </c>
      <c r="T51" s="94">
        <v>-33427</v>
      </c>
      <c r="U51" s="94">
        <v>27689</v>
      </c>
      <c r="X51" s="95">
        <v>1.8689999999999999E-4</v>
      </c>
      <c r="Y51" s="96">
        <f t="shared" si="1"/>
        <v>0</v>
      </c>
      <c r="Z51" s="88">
        <f t="shared" si="2"/>
        <v>0</v>
      </c>
      <c r="AB51" s="75">
        <f t="shared" si="3"/>
        <v>-67954</v>
      </c>
      <c r="AC51" s="75">
        <v>1</v>
      </c>
    </row>
    <row r="52" spans="1:29">
      <c r="A52" s="89">
        <v>21800</v>
      </c>
      <c r="B52" s="90" t="s">
        <v>47</v>
      </c>
      <c r="C52" s="97">
        <v>2.9962999999999999E-3</v>
      </c>
      <c r="D52" s="97">
        <v>2.9312000000000001E-3</v>
      </c>
      <c r="E52" s="92">
        <v>4057924.66</v>
      </c>
      <c r="F52" s="92">
        <f t="shared" si="0"/>
        <v>3436600.7547007999</v>
      </c>
      <c r="G52" s="92">
        <v>11041959</v>
      </c>
      <c r="H52" s="92"/>
      <c r="I52" s="93">
        <v>0</v>
      </c>
      <c r="J52" s="93">
        <v>7705363</v>
      </c>
      <c r="K52" s="93">
        <v>0</v>
      </c>
      <c r="L52" s="92">
        <v>1003057</v>
      </c>
      <c r="M52" s="92"/>
      <c r="N52" s="93">
        <v>1255471</v>
      </c>
      <c r="O52" s="93">
        <v>8901666</v>
      </c>
      <c r="P52" s="93">
        <v>0</v>
      </c>
      <c r="Q52" s="92">
        <v>0</v>
      </c>
      <c r="R52" s="92"/>
      <c r="S52" s="93">
        <v>1075926</v>
      </c>
      <c r="T52" s="94">
        <v>319541</v>
      </c>
      <c r="U52" s="94">
        <v>1395467</v>
      </c>
      <c r="X52" s="95">
        <v>2.9312000000000001E-3</v>
      </c>
      <c r="Y52" s="96">
        <f t="shared" si="1"/>
        <v>0</v>
      </c>
      <c r="Z52" s="88">
        <f t="shared" si="2"/>
        <v>0</v>
      </c>
      <c r="AB52" s="75">
        <f t="shared" si="3"/>
        <v>-1196303</v>
      </c>
      <c r="AC52" s="75">
        <v>1</v>
      </c>
    </row>
    <row r="53" spans="1:29">
      <c r="A53" s="89">
        <v>21900</v>
      </c>
      <c r="B53" s="90" t="s">
        <v>48</v>
      </c>
      <c r="C53" s="97">
        <v>2.3990999999999999E-3</v>
      </c>
      <c r="D53" s="97">
        <v>2.4667000000000001E-3</v>
      </c>
      <c r="E53" s="92">
        <v>3289641.51</v>
      </c>
      <c r="F53" s="92">
        <f t="shared" si="0"/>
        <v>2892011.1495703002</v>
      </c>
      <c r="G53" s="92">
        <v>8841159</v>
      </c>
      <c r="H53" s="92"/>
      <c r="I53" s="93">
        <v>0</v>
      </c>
      <c r="J53" s="93">
        <v>6169588</v>
      </c>
      <c r="K53" s="93">
        <v>0</v>
      </c>
      <c r="L53" s="92">
        <v>302624</v>
      </c>
      <c r="M53" s="92"/>
      <c r="N53" s="93">
        <v>1005240</v>
      </c>
      <c r="O53" s="93">
        <v>7127453</v>
      </c>
      <c r="P53" s="93">
        <v>0</v>
      </c>
      <c r="Q53" s="92">
        <v>82025</v>
      </c>
      <c r="R53" s="92"/>
      <c r="S53" s="93">
        <v>861481</v>
      </c>
      <c r="T53" s="94">
        <v>85746</v>
      </c>
      <c r="U53" s="94">
        <v>947227</v>
      </c>
      <c r="X53" s="95">
        <v>2.4667000000000001E-3</v>
      </c>
      <c r="Y53" s="96">
        <f t="shared" si="1"/>
        <v>0</v>
      </c>
      <c r="Z53" s="88">
        <f t="shared" si="2"/>
        <v>0</v>
      </c>
      <c r="AB53" s="75">
        <f t="shared" si="3"/>
        <v>-957865</v>
      </c>
      <c r="AC53" s="75">
        <v>0</v>
      </c>
    </row>
    <row r="54" spans="1:29">
      <c r="A54" s="89">
        <v>22000</v>
      </c>
      <c r="B54" s="90" t="s">
        <v>49</v>
      </c>
      <c r="C54" s="97">
        <v>4.1340999999999999E-3</v>
      </c>
      <c r="D54" s="97">
        <v>4.4561000000000002E-3</v>
      </c>
      <c r="E54" s="92">
        <v>6162690.3600000003</v>
      </c>
      <c r="F54" s="92">
        <f t="shared" si="0"/>
        <v>5224425.7038149005</v>
      </c>
      <c r="G54" s="92">
        <v>15234977</v>
      </c>
      <c r="H54" s="92"/>
      <c r="I54" s="93">
        <v>0</v>
      </c>
      <c r="J54" s="93">
        <v>10631359</v>
      </c>
      <c r="K54" s="93">
        <v>0</v>
      </c>
      <c r="L54" s="92">
        <v>818834</v>
      </c>
      <c r="M54" s="92"/>
      <c r="N54" s="93">
        <v>1732217</v>
      </c>
      <c r="O54" s="93">
        <v>12281940</v>
      </c>
      <c r="P54" s="93">
        <v>0</v>
      </c>
      <c r="Q54" s="92">
        <v>624633</v>
      </c>
      <c r="R54" s="92"/>
      <c r="S54" s="93">
        <v>1484493</v>
      </c>
      <c r="T54" s="94">
        <v>120460</v>
      </c>
      <c r="U54" s="94">
        <v>1604954</v>
      </c>
      <c r="X54" s="95">
        <v>4.4561000000000002E-3</v>
      </c>
      <c r="Y54" s="96">
        <f t="shared" si="1"/>
        <v>0</v>
      </c>
      <c r="Z54" s="88">
        <f t="shared" si="2"/>
        <v>-1</v>
      </c>
      <c r="AB54" s="75">
        <f t="shared" si="3"/>
        <v>-1650581</v>
      </c>
      <c r="AC54" s="75">
        <v>0</v>
      </c>
    </row>
    <row r="55" spans="1:29">
      <c r="A55" s="89">
        <v>23000</v>
      </c>
      <c r="B55" s="90" t="s">
        <v>50</v>
      </c>
      <c r="C55" s="97">
        <v>1.1814E-3</v>
      </c>
      <c r="D55" s="97">
        <v>1.1854000000000001E-3</v>
      </c>
      <c r="E55" s="92">
        <v>1684016.46</v>
      </c>
      <c r="F55" s="92">
        <f t="shared" si="0"/>
        <v>1389787.9826086001</v>
      </c>
      <c r="G55" s="92">
        <v>4353693</v>
      </c>
      <c r="H55" s="92"/>
      <c r="I55" s="93">
        <v>0</v>
      </c>
      <c r="J55" s="93">
        <v>3038119</v>
      </c>
      <c r="K55" s="93">
        <v>0</v>
      </c>
      <c r="L55" s="92">
        <v>521886</v>
      </c>
      <c r="M55" s="92"/>
      <c r="N55" s="93">
        <v>495015</v>
      </c>
      <c r="O55" s="93">
        <v>3509805</v>
      </c>
      <c r="P55" s="93">
        <v>0</v>
      </c>
      <c r="Q55" s="92">
        <v>0</v>
      </c>
      <c r="R55" s="92"/>
      <c r="S55" s="93">
        <v>424223</v>
      </c>
      <c r="T55" s="94">
        <v>176163</v>
      </c>
      <c r="U55" s="94">
        <v>600386</v>
      </c>
      <c r="X55" s="95">
        <v>1.1854000000000001E-3</v>
      </c>
      <c r="Y55" s="96">
        <f t="shared" si="1"/>
        <v>0</v>
      </c>
      <c r="Z55" s="88">
        <f t="shared" si="2"/>
        <v>0</v>
      </c>
      <c r="AB55" s="75">
        <f t="shared" si="3"/>
        <v>-471686</v>
      </c>
      <c r="AC55" s="75">
        <v>-1</v>
      </c>
    </row>
    <row r="56" spans="1:29">
      <c r="A56" s="89">
        <v>23100</v>
      </c>
      <c r="B56" s="90" t="s">
        <v>51</v>
      </c>
      <c r="C56" s="97">
        <v>6.7044000000000001E-3</v>
      </c>
      <c r="D56" s="97">
        <v>6.7809000000000003E-3</v>
      </c>
      <c r="E56" s="92">
        <v>8922813.9700000007</v>
      </c>
      <c r="F56" s="92">
        <f t="shared" si="0"/>
        <v>7950070.2980181007</v>
      </c>
      <c r="G56" s="92">
        <v>24707041</v>
      </c>
      <c r="H56" s="92"/>
      <c r="I56" s="93">
        <v>0</v>
      </c>
      <c r="J56" s="93">
        <v>17241209</v>
      </c>
      <c r="K56" s="93">
        <v>0</v>
      </c>
      <c r="L56" s="92">
        <v>906304</v>
      </c>
      <c r="M56" s="92"/>
      <c r="N56" s="93">
        <v>2809191</v>
      </c>
      <c r="O56" s="93">
        <v>19918008</v>
      </c>
      <c r="P56" s="93">
        <v>0</v>
      </c>
      <c r="Q56" s="92">
        <v>0</v>
      </c>
      <c r="R56" s="92"/>
      <c r="S56" s="93">
        <v>2407449</v>
      </c>
      <c r="T56" s="94">
        <v>321982</v>
      </c>
      <c r="U56" s="94">
        <v>2729432</v>
      </c>
      <c r="X56" s="95">
        <v>6.7809000000000003E-3</v>
      </c>
      <c r="Y56" s="96">
        <f t="shared" si="1"/>
        <v>0</v>
      </c>
      <c r="Z56" s="88">
        <f t="shared" si="2"/>
        <v>-1</v>
      </c>
      <c r="AB56" s="75">
        <f t="shared" si="3"/>
        <v>-2676799</v>
      </c>
      <c r="AC56" s="75">
        <v>0</v>
      </c>
    </row>
    <row r="57" spans="1:29">
      <c r="A57" s="89">
        <v>23200</v>
      </c>
      <c r="B57" s="90" t="s">
        <v>52</v>
      </c>
      <c r="C57" s="97">
        <v>3.5723E-3</v>
      </c>
      <c r="D57" s="97">
        <v>3.6424000000000001E-3</v>
      </c>
      <c r="E57" s="92">
        <v>4871725.95</v>
      </c>
      <c r="F57" s="92">
        <f t="shared" si="0"/>
        <v>4270426.6474216003</v>
      </c>
      <c r="G57" s="92">
        <v>13164633</v>
      </c>
      <c r="H57" s="92"/>
      <c r="I57" s="93">
        <v>0</v>
      </c>
      <c r="J57" s="93">
        <v>9186620</v>
      </c>
      <c r="K57" s="93">
        <v>0</v>
      </c>
      <c r="L57" s="92">
        <v>0</v>
      </c>
      <c r="M57" s="92"/>
      <c r="N57" s="93">
        <v>1496819</v>
      </c>
      <c r="O57" s="93">
        <v>10612896</v>
      </c>
      <c r="P57" s="93">
        <v>0</v>
      </c>
      <c r="Q57" s="92">
        <v>473358</v>
      </c>
      <c r="R57" s="92"/>
      <c r="S57" s="93">
        <v>1282759</v>
      </c>
      <c r="T57" s="94">
        <v>-168556</v>
      </c>
      <c r="U57" s="94">
        <v>1114203</v>
      </c>
      <c r="X57" s="95">
        <v>3.6424000000000001E-3</v>
      </c>
      <c r="Y57" s="96">
        <f t="shared" si="1"/>
        <v>0</v>
      </c>
      <c r="Z57" s="88">
        <f t="shared" si="2"/>
        <v>0</v>
      </c>
      <c r="AB57" s="75">
        <f t="shared" si="3"/>
        <v>-1426276</v>
      </c>
      <c r="AC57" s="75">
        <v>1</v>
      </c>
    </row>
    <row r="58" spans="1:29">
      <c r="A58" s="89">
        <v>30000</v>
      </c>
      <c r="B58" s="90" t="s">
        <v>53</v>
      </c>
      <c r="C58" s="97">
        <v>1.0149E-3</v>
      </c>
      <c r="D58" s="97">
        <v>1.0196000000000001E-3</v>
      </c>
      <c r="E58" s="92">
        <v>1238490</v>
      </c>
      <c r="F58" s="92">
        <f t="shared" si="0"/>
        <v>1195400.5627364002</v>
      </c>
      <c r="G58" s="92">
        <v>3740107</v>
      </c>
      <c r="H58" s="92"/>
      <c r="I58" s="93">
        <v>0</v>
      </c>
      <c r="J58" s="93">
        <v>2609943</v>
      </c>
      <c r="K58" s="93">
        <v>0</v>
      </c>
      <c r="L58" s="92">
        <v>0</v>
      </c>
      <c r="M58" s="92"/>
      <c r="N58" s="93">
        <v>425250</v>
      </c>
      <c r="O58" s="93">
        <v>3015152</v>
      </c>
      <c r="P58" s="93">
        <v>0</v>
      </c>
      <c r="Q58" s="92">
        <v>195195</v>
      </c>
      <c r="R58" s="92"/>
      <c r="S58" s="93">
        <v>364435</v>
      </c>
      <c r="T58" s="94">
        <v>-65612</v>
      </c>
      <c r="U58" s="94">
        <v>298824</v>
      </c>
      <c r="X58" s="95">
        <v>1.0196000000000001E-3</v>
      </c>
      <c r="Y58" s="96">
        <f t="shared" si="1"/>
        <v>0</v>
      </c>
      <c r="Z58" s="88">
        <f t="shared" si="2"/>
        <v>-1</v>
      </c>
      <c r="AB58" s="75">
        <f t="shared" si="3"/>
        <v>-405209</v>
      </c>
      <c r="AC58" s="75">
        <v>0</v>
      </c>
    </row>
    <row r="59" spans="1:29">
      <c r="A59" s="89">
        <v>30100</v>
      </c>
      <c r="B59" s="90" t="s">
        <v>54</v>
      </c>
      <c r="C59" s="97">
        <v>8.5774000000000006E-3</v>
      </c>
      <c r="D59" s="97">
        <v>8.4168999999999997E-3</v>
      </c>
      <c r="E59" s="92">
        <v>10188394.34</v>
      </c>
      <c r="F59" s="92">
        <f t="shared" si="0"/>
        <v>9868151.2323420998</v>
      </c>
      <c r="G59" s="92">
        <v>31609417</v>
      </c>
      <c r="H59" s="92"/>
      <c r="I59" s="93">
        <v>0</v>
      </c>
      <c r="J59" s="93">
        <v>22057865</v>
      </c>
      <c r="K59" s="93">
        <v>0</v>
      </c>
      <c r="L59" s="92">
        <v>177887</v>
      </c>
      <c r="M59" s="92"/>
      <c r="N59" s="93">
        <v>3593991</v>
      </c>
      <c r="O59" s="93">
        <v>25482478</v>
      </c>
      <c r="P59" s="93">
        <v>0</v>
      </c>
      <c r="Q59" s="92">
        <v>1025382</v>
      </c>
      <c r="R59" s="92"/>
      <c r="S59" s="93">
        <v>3080016</v>
      </c>
      <c r="T59" s="94">
        <v>-318244</v>
      </c>
      <c r="U59" s="94">
        <v>2761772</v>
      </c>
      <c r="X59" s="95">
        <v>8.4168999999999997E-3</v>
      </c>
      <c r="Y59" s="96">
        <f t="shared" si="1"/>
        <v>0</v>
      </c>
      <c r="Z59" s="88">
        <f t="shared" si="2"/>
        <v>0</v>
      </c>
      <c r="AB59" s="75">
        <f t="shared" si="3"/>
        <v>-3424613</v>
      </c>
      <c r="AC59" s="75">
        <v>-1</v>
      </c>
    </row>
    <row r="60" spans="1:29">
      <c r="A60" s="89">
        <v>30102</v>
      </c>
      <c r="B60" s="90" t="s">
        <v>55</v>
      </c>
      <c r="C60" s="97">
        <v>1.407E-4</v>
      </c>
      <c r="D60" s="97">
        <v>1.2229999999999999E-4</v>
      </c>
      <c r="E60" s="92">
        <v>152484.45000000001</v>
      </c>
      <c r="F60" s="92">
        <f t="shared" si="0"/>
        <v>143387.1016307</v>
      </c>
      <c r="G60" s="92">
        <v>518507</v>
      </c>
      <c r="H60" s="92"/>
      <c r="I60" s="93">
        <v>0</v>
      </c>
      <c r="J60" s="93">
        <v>361828</v>
      </c>
      <c r="K60" s="93">
        <v>0</v>
      </c>
      <c r="L60" s="92">
        <v>75442</v>
      </c>
      <c r="M60" s="92"/>
      <c r="N60" s="93">
        <v>58954</v>
      </c>
      <c r="O60" s="93">
        <v>418004</v>
      </c>
      <c r="P60" s="93">
        <v>0</v>
      </c>
      <c r="Q60" s="92">
        <v>0</v>
      </c>
      <c r="R60" s="92"/>
      <c r="S60" s="93">
        <v>50523</v>
      </c>
      <c r="T60" s="94">
        <v>22301</v>
      </c>
      <c r="U60" s="94">
        <v>72824</v>
      </c>
      <c r="X60" s="95">
        <v>1.2229999999999999E-4</v>
      </c>
      <c r="Y60" s="96">
        <f t="shared" si="1"/>
        <v>0</v>
      </c>
      <c r="Z60" s="88">
        <f t="shared" si="2"/>
        <v>0</v>
      </c>
      <c r="AB60" s="75">
        <f t="shared" si="3"/>
        <v>-56176</v>
      </c>
      <c r="AC60" s="75">
        <v>0</v>
      </c>
    </row>
    <row r="61" spans="1:29">
      <c r="A61" s="89">
        <v>30103</v>
      </c>
      <c r="B61" s="90" t="s">
        <v>56</v>
      </c>
      <c r="C61" s="97">
        <v>1.8760000000000001E-4</v>
      </c>
      <c r="D61" s="97">
        <v>1.7200000000000001E-4</v>
      </c>
      <c r="E61" s="92">
        <v>202642.75</v>
      </c>
      <c r="F61" s="92">
        <f t="shared" si="0"/>
        <v>201656.43074800001</v>
      </c>
      <c r="G61" s="92">
        <v>691343</v>
      </c>
      <c r="H61" s="92"/>
      <c r="I61" s="93">
        <v>0</v>
      </c>
      <c r="J61" s="93">
        <v>482437</v>
      </c>
      <c r="K61" s="93">
        <v>0</v>
      </c>
      <c r="L61" s="92">
        <v>88130</v>
      </c>
      <c r="M61" s="92"/>
      <c r="N61" s="93">
        <v>78606</v>
      </c>
      <c r="O61" s="93">
        <v>557338</v>
      </c>
      <c r="P61" s="93">
        <v>0</v>
      </c>
      <c r="Q61" s="92">
        <v>0</v>
      </c>
      <c r="R61" s="92"/>
      <c r="S61" s="93">
        <v>67364</v>
      </c>
      <c r="T61" s="94">
        <v>28391</v>
      </c>
      <c r="U61" s="94">
        <v>95755</v>
      </c>
      <c r="X61" s="95">
        <v>1.7200000000000001E-4</v>
      </c>
      <c r="Y61" s="96">
        <f t="shared" si="1"/>
        <v>0</v>
      </c>
      <c r="Z61" s="88">
        <f t="shared" si="2"/>
        <v>0</v>
      </c>
      <c r="AB61" s="75">
        <f t="shared" si="3"/>
        <v>-74901</v>
      </c>
      <c r="AC61" s="75">
        <v>0</v>
      </c>
    </row>
    <row r="62" spans="1:29">
      <c r="A62" s="89">
        <v>30104</v>
      </c>
      <c r="B62" s="90" t="s">
        <v>57</v>
      </c>
      <c r="C62" s="97">
        <v>8.6700000000000007E-5</v>
      </c>
      <c r="D62" s="97">
        <v>6.97E-5</v>
      </c>
      <c r="E62" s="92">
        <v>94980.85</v>
      </c>
      <c r="F62" s="92">
        <f t="shared" si="0"/>
        <v>81717.751297299998</v>
      </c>
      <c r="G62" s="92">
        <v>319507</v>
      </c>
      <c r="H62" s="92"/>
      <c r="I62" s="93">
        <v>0</v>
      </c>
      <c r="J62" s="93">
        <v>222960</v>
      </c>
      <c r="K62" s="93">
        <v>0</v>
      </c>
      <c r="L62" s="92">
        <v>113119</v>
      </c>
      <c r="M62" s="92"/>
      <c r="N62" s="93">
        <v>36328</v>
      </c>
      <c r="O62" s="93">
        <v>257576</v>
      </c>
      <c r="P62" s="93">
        <v>0</v>
      </c>
      <c r="Q62" s="92">
        <v>0</v>
      </c>
      <c r="R62" s="92"/>
      <c r="S62" s="93">
        <v>31133</v>
      </c>
      <c r="T62" s="94">
        <v>35607</v>
      </c>
      <c r="U62" s="94">
        <v>66740</v>
      </c>
      <c r="X62" s="95">
        <v>6.97E-5</v>
      </c>
      <c r="Y62" s="96">
        <f t="shared" si="1"/>
        <v>0</v>
      </c>
      <c r="Z62" s="88">
        <f t="shared" si="2"/>
        <v>0</v>
      </c>
      <c r="AB62" s="75">
        <f t="shared" si="3"/>
        <v>-34616</v>
      </c>
      <c r="AC62" s="75">
        <v>0</v>
      </c>
    </row>
    <row r="63" spans="1:29">
      <c r="A63" s="89">
        <v>30105</v>
      </c>
      <c r="B63" s="90" t="s">
        <v>58</v>
      </c>
      <c r="C63" s="97">
        <v>8.1840000000000005E-4</v>
      </c>
      <c r="D63" s="97">
        <v>8.2989999999999995E-4</v>
      </c>
      <c r="E63" s="92">
        <v>1134421.3799999999</v>
      </c>
      <c r="F63" s="92">
        <f t="shared" si="0"/>
        <v>972992.27835909999</v>
      </c>
      <c r="G63" s="92">
        <v>3015966</v>
      </c>
      <c r="H63" s="92"/>
      <c r="I63" s="93">
        <v>0</v>
      </c>
      <c r="J63" s="93">
        <v>2104619</v>
      </c>
      <c r="K63" s="93">
        <v>0</v>
      </c>
      <c r="L63" s="92">
        <v>148140</v>
      </c>
      <c r="M63" s="92"/>
      <c r="N63" s="93">
        <v>342915</v>
      </c>
      <c r="O63" s="93">
        <v>2431373</v>
      </c>
      <c r="P63" s="93">
        <v>0</v>
      </c>
      <c r="Q63" s="92">
        <v>0</v>
      </c>
      <c r="R63" s="92"/>
      <c r="S63" s="93">
        <v>293875</v>
      </c>
      <c r="T63" s="94">
        <v>50610</v>
      </c>
      <c r="U63" s="94">
        <v>344485</v>
      </c>
      <c r="X63" s="95">
        <v>8.2989999999999995E-4</v>
      </c>
      <c r="Y63" s="96">
        <f t="shared" si="1"/>
        <v>0</v>
      </c>
      <c r="Z63" s="88">
        <f t="shared" si="2"/>
        <v>0</v>
      </c>
      <c r="AB63" s="75">
        <f t="shared" si="3"/>
        <v>-326754</v>
      </c>
      <c r="AC63" s="75">
        <v>1</v>
      </c>
    </row>
    <row r="64" spans="1:29">
      <c r="A64" s="89">
        <v>30200</v>
      </c>
      <c r="B64" s="90" t="s">
        <v>59</v>
      </c>
      <c r="C64" s="97">
        <v>2.0178000000000001E-3</v>
      </c>
      <c r="D64" s="97">
        <v>2.0265999999999999E-3</v>
      </c>
      <c r="E64" s="92">
        <v>2461216.5299999998</v>
      </c>
      <c r="F64" s="92">
        <f t="shared" si="0"/>
        <v>2376028.6194993998</v>
      </c>
      <c r="G64" s="92">
        <v>7435993</v>
      </c>
      <c r="H64" s="92"/>
      <c r="I64" s="93">
        <v>0</v>
      </c>
      <c r="J64" s="93">
        <v>5189027</v>
      </c>
      <c r="K64" s="93">
        <v>0</v>
      </c>
      <c r="L64" s="92">
        <v>0</v>
      </c>
      <c r="M64" s="92"/>
      <c r="N64" s="93">
        <v>845472</v>
      </c>
      <c r="O64" s="93">
        <v>5994654</v>
      </c>
      <c r="P64" s="93">
        <v>0</v>
      </c>
      <c r="Q64" s="92">
        <v>346247</v>
      </c>
      <c r="R64" s="92"/>
      <c r="S64" s="93">
        <v>724562</v>
      </c>
      <c r="T64" s="94">
        <v>-115569</v>
      </c>
      <c r="U64" s="94">
        <v>608993</v>
      </c>
      <c r="X64" s="95">
        <v>2.0265999999999999E-3</v>
      </c>
      <c r="Y64" s="96">
        <f t="shared" si="1"/>
        <v>0</v>
      </c>
      <c r="Z64" s="88">
        <f t="shared" si="2"/>
        <v>0</v>
      </c>
      <c r="AB64" s="75">
        <f t="shared" si="3"/>
        <v>-805627</v>
      </c>
      <c r="AC64" s="75">
        <v>0</v>
      </c>
    </row>
    <row r="65" spans="1:29">
      <c r="A65" s="89">
        <v>30300</v>
      </c>
      <c r="B65" s="90" t="s">
        <v>60</v>
      </c>
      <c r="C65" s="97">
        <v>6.734E-4</v>
      </c>
      <c r="D65" s="97">
        <v>6.7290000000000004E-4</v>
      </c>
      <c r="E65" s="92">
        <v>842996.33</v>
      </c>
      <c r="F65" s="92">
        <f t="shared" si="0"/>
        <v>788922.1642461</v>
      </c>
      <c r="G65" s="92">
        <v>2481612</v>
      </c>
      <c r="H65" s="92"/>
      <c r="I65" s="93">
        <v>0</v>
      </c>
      <c r="J65" s="93">
        <v>1731733</v>
      </c>
      <c r="K65" s="93">
        <v>0</v>
      </c>
      <c r="L65" s="92">
        <v>0</v>
      </c>
      <c r="M65" s="92"/>
      <c r="N65" s="93">
        <v>282159</v>
      </c>
      <c r="O65" s="93">
        <v>2000595</v>
      </c>
      <c r="P65" s="93">
        <v>0</v>
      </c>
      <c r="Q65" s="92">
        <v>27771</v>
      </c>
      <c r="R65" s="92"/>
      <c r="S65" s="93">
        <v>241808</v>
      </c>
      <c r="T65" s="94">
        <v>-9669</v>
      </c>
      <c r="U65" s="94">
        <v>232139</v>
      </c>
      <c r="X65" s="95">
        <v>6.7290000000000004E-4</v>
      </c>
      <c r="Y65" s="96">
        <f t="shared" si="1"/>
        <v>0</v>
      </c>
      <c r="Z65" s="88">
        <f t="shared" si="2"/>
        <v>0</v>
      </c>
      <c r="AB65" s="75">
        <f t="shared" si="3"/>
        <v>-268862</v>
      </c>
      <c r="AC65" s="75">
        <v>0</v>
      </c>
    </row>
    <row r="66" spans="1:29">
      <c r="A66" s="89">
        <v>30400</v>
      </c>
      <c r="B66" s="90" t="s">
        <v>61</v>
      </c>
      <c r="C66" s="97">
        <v>1.3213000000000001E-3</v>
      </c>
      <c r="D66" s="97">
        <v>1.2754999999999999E-3</v>
      </c>
      <c r="E66" s="92">
        <v>1751333.75</v>
      </c>
      <c r="F66" s="92">
        <f t="shared" si="0"/>
        <v>1495423.1245295</v>
      </c>
      <c r="G66" s="92">
        <v>4869252</v>
      </c>
      <c r="H66" s="92"/>
      <c r="I66" s="93">
        <v>0</v>
      </c>
      <c r="J66" s="93">
        <v>3397889</v>
      </c>
      <c r="K66" s="93">
        <v>0</v>
      </c>
      <c r="L66" s="92">
        <v>259057</v>
      </c>
      <c r="M66" s="92"/>
      <c r="N66" s="93">
        <v>553634</v>
      </c>
      <c r="O66" s="93">
        <v>3925432</v>
      </c>
      <c r="P66" s="93">
        <v>0</v>
      </c>
      <c r="Q66" s="92">
        <v>217721</v>
      </c>
      <c r="R66" s="92"/>
      <c r="S66" s="93">
        <v>474459</v>
      </c>
      <c r="T66" s="94">
        <v>-6275</v>
      </c>
      <c r="U66" s="94">
        <v>468184</v>
      </c>
      <c r="X66" s="95">
        <v>1.2754999999999999E-3</v>
      </c>
      <c r="Y66" s="96">
        <f t="shared" si="1"/>
        <v>0</v>
      </c>
      <c r="Z66" s="88">
        <f t="shared" si="2"/>
        <v>0</v>
      </c>
      <c r="AB66" s="75">
        <f t="shared" si="3"/>
        <v>-527543</v>
      </c>
      <c r="AC66" s="75">
        <v>-1</v>
      </c>
    </row>
    <row r="67" spans="1:29">
      <c r="A67" s="89">
        <v>30405</v>
      </c>
      <c r="B67" s="90" t="s">
        <v>62</v>
      </c>
      <c r="C67" s="97">
        <v>8.0889999999999998E-4</v>
      </c>
      <c r="D67" s="97">
        <v>7.5199999999999996E-4</v>
      </c>
      <c r="E67" s="92">
        <v>1017109.97</v>
      </c>
      <c r="F67" s="92">
        <f t="shared" ref="F67:F130" si="4">D67*$F$298</f>
        <v>881660.67396799999</v>
      </c>
      <c r="G67" s="92">
        <v>2980957</v>
      </c>
      <c r="H67" s="92"/>
      <c r="I67" s="93">
        <v>0</v>
      </c>
      <c r="J67" s="93">
        <v>2080188</v>
      </c>
      <c r="K67" s="93">
        <v>0</v>
      </c>
      <c r="L67" s="92">
        <v>449397</v>
      </c>
      <c r="M67" s="92"/>
      <c r="N67" s="93">
        <v>338935</v>
      </c>
      <c r="O67" s="93">
        <v>2403150</v>
      </c>
      <c r="P67" s="93">
        <v>0</v>
      </c>
      <c r="Q67" s="92">
        <v>0</v>
      </c>
      <c r="R67" s="92"/>
      <c r="S67" s="93">
        <v>290464</v>
      </c>
      <c r="T67" s="94">
        <v>141724</v>
      </c>
      <c r="U67" s="94">
        <v>432187</v>
      </c>
      <c r="X67" s="95">
        <v>7.5199999999999996E-4</v>
      </c>
      <c r="Y67" s="96">
        <f t="shared" si="1"/>
        <v>0</v>
      </c>
      <c r="Z67" s="88">
        <f t="shared" si="2"/>
        <v>1</v>
      </c>
      <c r="AB67" s="75">
        <f t="shared" si="3"/>
        <v>-322962</v>
      </c>
      <c r="AC67" s="75">
        <v>-1</v>
      </c>
    </row>
    <row r="68" spans="1:29">
      <c r="A68" s="89">
        <v>30500</v>
      </c>
      <c r="B68" s="90" t="s">
        <v>63</v>
      </c>
      <c r="C68" s="97">
        <v>1.3231E-3</v>
      </c>
      <c r="D68" s="97">
        <v>1.3033999999999999E-3</v>
      </c>
      <c r="E68" s="92">
        <v>1632776.5</v>
      </c>
      <c r="F68" s="92">
        <f t="shared" si="4"/>
        <v>1528133.6734705998</v>
      </c>
      <c r="G68" s="92">
        <v>4875885</v>
      </c>
      <c r="H68" s="92"/>
      <c r="I68" s="93">
        <v>0</v>
      </c>
      <c r="J68" s="93">
        <v>3402518</v>
      </c>
      <c r="K68" s="93">
        <v>0</v>
      </c>
      <c r="L68" s="92">
        <v>53929</v>
      </c>
      <c r="M68" s="92"/>
      <c r="N68" s="93">
        <v>554388</v>
      </c>
      <c r="O68" s="93">
        <v>3930779</v>
      </c>
      <c r="P68" s="93">
        <v>0</v>
      </c>
      <c r="Q68" s="92">
        <v>138706</v>
      </c>
      <c r="R68" s="92"/>
      <c r="S68" s="93">
        <v>475105</v>
      </c>
      <c r="T68" s="94">
        <v>-34777</v>
      </c>
      <c r="U68" s="94">
        <v>440329</v>
      </c>
      <c r="X68" s="95">
        <v>1.3033999999999999E-3</v>
      </c>
      <c r="Y68" s="96">
        <f t="shared" ref="Y68:Y131" si="5">+X68-D68</f>
        <v>0</v>
      </c>
      <c r="Z68" s="88">
        <f t="shared" ref="Z68:Z131" si="6">+S68+T68-U68</f>
        <v>-1</v>
      </c>
      <c r="AB68" s="75">
        <f t="shared" si="3"/>
        <v>-528261</v>
      </c>
      <c r="AC68" s="75">
        <v>-1</v>
      </c>
    </row>
    <row r="69" spans="1:29">
      <c r="A69" s="89">
        <v>30600</v>
      </c>
      <c r="B69" s="90" t="s">
        <v>64</v>
      </c>
      <c r="C69" s="97">
        <v>1.0248E-3</v>
      </c>
      <c r="D69" s="97">
        <v>1.0137E-3</v>
      </c>
      <c r="E69" s="92">
        <v>1296659.8999999999</v>
      </c>
      <c r="F69" s="92">
        <f t="shared" si="4"/>
        <v>1188483.2781932999</v>
      </c>
      <c r="G69" s="92">
        <v>3776591</v>
      </c>
      <c r="H69" s="92"/>
      <c r="I69" s="93">
        <v>0</v>
      </c>
      <c r="J69" s="93">
        <v>2635402</v>
      </c>
      <c r="K69" s="93">
        <v>0</v>
      </c>
      <c r="L69" s="92">
        <v>60902</v>
      </c>
      <c r="M69" s="92"/>
      <c r="N69" s="93">
        <v>429398</v>
      </c>
      <c r="O69" s="93">
        <v>3044564</v>
      </c>
      <c r="P69" s="93">
        <v>0</v>
      </c>
      <c r="Q69" s="92">
        <v>0</v>
      </c>
      <c r="R69" s="92"/>
      <c r="S69" s="93">
        <v>367990</v>
      </c>
      <c r="T69" s="94">
        <v>17821</v>
      </c>
      <c r="U69" s="94">
        <v>385812</v>
      </c>
      <c r="X69" s="95">
        <v>1.0137E-3</v>
      </c>
      <c r="Y69" s="96">
        <f t="shared" si="5"/>
        <v>0</v>
      </c>
      <c r="Z69" s="88">
        <f t="shared" si="6"/>
        <v>-1</v>
      </c>
      <c r="AB69" s="75">
        <f t="shared" ref="AB69:AB132" si="7">+J69-O69</f>
        <v>-409162</v>
      </c>
      <c r="AC69" s="75">
        <v>-1</v>
      </c>
    </row>
    <row r="70" spans="1:29">
      <c r="A70" s="89">
        <v>30601</v>
      </c>
      <c r="B70" s="90" t="s">
        <v>65</v>
      </c>
      <c r="C70" s="97">
        <v>2.51E-5</v>
      </c>
      <c r="D70" s="97">
        <v>2.1100000000000001E-5</v>
      </c>
      <c r="E70" s="92">
        <v>27323.35</v>
      </c>
      <c r="F70" s="92">
        <f t="shared" si="4"/>
        <v>24738.085399900003</v>
      </c>
      <c r="G70" s="92">
        <v>92498</v>
      </c>
      <c r="H70" s="92"/>
      <c r="I70" s="93">
        <v>0</v>
      </c>
      <c r="J70" s="93">
        <v>64548</v>
      </c>
      <c r="K70" s="93">
        <v>0</v>
      </c>
      <c r="L70" s="92">
        <v>13517</v>
      </c>
      <c r="M70" s="92"/>
      <c r="N70" s="93">
        <v>10517</v>
      </c>
      <c r="O70" s="93">
        <v>74569</v>
      </c>
      <c r="P70" s="93">
        <v>0</v>
      </c>
      <c r="Q70" s="92">
        <v>925</v>
      </c>
      <c r="R70" s="92"/>
      <c r="S70" s="93">
        <v>9013</v>
      </c>
      <c r="T70" s="94">
        <v>3413</v>
      </c>
      <c r="U70" s="94">
        <v>12426</v>
      </c>
      <c r="X70" s="95">
        <v>2.1100000000000001E-5</v>
      </c>
      <c r="Y70" s="96">
        <f t="shared" si="5"/>
        <v>0</v>
      </c>
      <c r="Z70" s="88">
        <f t="shared" si="6"/>
        <v>0</v>
      </c>
      <c r="AB70" s="75">
        <f t="shared" si="7"/>
        <v>-10021</v>
      </c>
      <c r="AC70" s="75">
        <v>-1</v>
      </c>
    </row>
    <row r="71" spans="1:29">
      <c r="A71" s="89">
        <v>30700</v>
      </c>
      <c r="B71" s="90" t="s">
        <v>66</v>
      </c>
      <c r="C71" s="97">
        <v>2.6264000000000001E-3</v>
      </c>
      <c r="D71" s="97">
        <v>2.6034000000000001E-3</v>
      </c>
      <c r="E71" s="92">
        <v>3442087.65</v>
      </c>
      <c r="F71" s="92">
        <f t="shared" si="4"/>
        <v>3052281.1151705999</v>
      </c>
      <c r="G71" s="92">
        <v>9678804</v>
      </c>
      <c r="H71" s="92"/>
      <c r="I71" s="93">
        <v>0</v>
      </c>
      <c r="J71" s="93">
        <v>6754119</v>
      </c>
      <c r="K71" s="93">
        <v>0</v>
      </c>
      <c r="L71" s="92">
        <v>241653</v>
      </c>
      <c r="M71" s="92"/>
      <c r="N71" s="93">
        <v>1100480</v>
      </c>
      <c r="O71" s="93">
        <v>7802735</v>
      </c>
      <c r="P71" s="93">
        <v>0</v>
      </c>
      <c r="Q71" s="92">
        <v>0</v>
      </c>
      <c r="R71" s="92"/>
      <c r="S71" s="93">
        <v>943101</v>
      </c>
      <c r="T71" s="94">
        <v>70638</v>
      </c>
      <c r="U71" s="94">
        <v>1013739</v>
      </c>
      <c r="X71" s="95">
        <v>2.6034000000000001E-3</v>
      </c>
      <c r="Y71" s="96">
        <f t="shared" si="5"/>
        <v>0</v>
      </c>
      <c r="Z71" s="88">
        <f t="shared" si="6"/>
        <v>0</v>
      </c>
      <c r="AB71" s="75">
        <f t="shared" si="7"/>
        <v>-1048616</v>
      </c>
      <c r="AC71" s="75">
        <v>-1</v>
      </c>
    </row>
    <row r="72" spans="1:29">
      <c r="A72" s="89">
        <v>30705</v>
      </c>
      <c r="B72" s="90" t="s">
        <v>67</v>
      </c>
      <c r="C72" s="97">
        <v>4.9689999999999999E-4</v>
      </c>
      <c r="D72" s="97">
        <v>5.1190000000000003E-4</v>
      </c>
      <c r="E72" s="92">
        <v>699103.73</v>
      </c>
      <c r="F72" s="92">
        <f t="shared" si="4"/>
        <v>600162.36569710006</v>
      </c>
      <c r="G72" s="92">
        <v>1831175</v>
      </c>
      <c r="H72" s="92"/>
      <c r="I72" s="93">
        <v>0</v>
      </c>
      <c r="J72" s="93">
        <v>1277841</v>
      </c>
      <c r="K72" s="93">
        <v>0</v>
      </c>
      <c r="L72" s="92">
        <v>108008</v>
      </c>
      <c r="M72" s="92"/>
      <c r="N72" s="93">
        <v>208205</v>
      </c>
      <c r="O72" s="93">
        <v>1476233</v>
      </c>
      <c r="P72" s="93">
        <v>0</v>
      </c>
      <c r="Q72" s="92">
        <v>7314</v>
      </c>
      <c r="R72" s="92"/>
      <c r="S72" s="93">
        <v>178429</v>
      </c>
      <c r="T72" s="94">
        <v>36686</v>
      </c>
      <c r="U72" s="94">
        <v>215116</v>
      </c>
      <c r="X72" s="95">
        <v>5.1190000000000003E-4</v>
      </c>
      <c r="Y72" s="96">
        <f t="shared" si="5"/>
        <v>0</v>
      </c>
      <c r="Z72" s="88">
        <f t="shared" si="6"/>
        <v>-1</v>
      </c>
      <c r="AB72" s="75">
        <f t="shared" si="7"/>
        <v>-198392</v>
      </c>
      <c r="AC72" s="75">
        <v>2</v>
      </c>
    </row>
    <row r="73" spans="1:29">
      <c r="A73" s="89">
        <v>30800</v>
      </c>
      <c r="B73" s="90" t="s">
        <v>68</v>
      </c>
      <c r="C73" s="97">
        <v>1.1248E-3</v>
      </c>
      <c r="D73" s="97">
        <v>1.145E-3</v>
      </c>
      <c r="E73" s="92">
        <v>1430857.84</v>
      </c>
      <c r="F73" s="92">
        <f t="shared" si="4"/>
        <v>1342422.1698050001</v>
      </c>
      <c r="G73" s="92">
        <v>4145111</v>
      </c>
      <c r="H73" s="92"/>
      <c r="I73" s="93">
        <v>0</v>
      </c>
      <c r="J73" s="93">
        <v>2892565</v>
      </c>
      <c r="K73" s="93">
        <v>0</v>
      </c>
      <c r="L73" s="92">
        <v>201640</v>
      </c>
      <c r="M73" s="92"/>
      <c r="N73" s="93">
        <v>471299</v>
      </c>
      <c r="O73" s="93">
        <v>3341653</v>
      </c>
      <c r="P73" s="93">
        <v>0</v>
      </c>
      <c r="Q73" s="92">
        <v>77079</v>
      </c>
      <c r="R73" s="92"/>
      <c r="S73" s="93">
        <v>403899</v>
      </c>
      <c r="T73" s="94">
        <v>50921</v>
      </c>
      <c r="U73" s="94">
        <v>454820</v>
      </c>
      <c r="X73" s="95">
        <v>1.145E-3</v>
      </c>
      <c r="Y73" s="96">
        <f t="shared" si="5"/>
        <v>0</v>
      </c>
      <c r="Z73" s="88">
        <f t="shared" si="6"/>
        <v>0</v>
      </c>
      <c r="AB73" s="75">
        <f t="shared" si="7"/>
        <v>-449088</v>
      </c>
      <c r="AC73" s="75">
        <v>-1</v>
      </c>
    </row>
    <row r="74" spans="1:29">
      <c r="A74" s="89">
        <v>30900</v>
      </c>
      <c r="B74" s="90" t="s">
        <v>69</v>
      </c>
      <c r="C74" s="97">
        <v>1.7661E-3</v>
      </c>
      <c r="D74" s="97">
        <v>1.8423999999999999E-3</v>
      </c>
      <c r="E74" s="92">
        <v>2356426.09</v>
      </c>
      <c r="F74" s="92">
        <f t="shared" si="4"/>
        <v>2160068.6512215999</v>
      </c>
      <c r="G74" s="92">
        <v>6508428</v>
      </c>
      <c r="H74" s="92"/>
      <c r="I74" s="93">
        <v>0</v>
      </c>
      <c r="J74" s="93">
        <v>4541749</v>
      </c>
      <c r="K74" s="93">
        <v>0</v>
      </c>
      <c r="L74" s="92">
        <v>0</v>
      </c>
      <c r="M74" s="92"/>
      <c r="N74" s="93">
        <v>740008</v>
      </c>
      <c r="O74" s="93">
        <v>5246882</v>
      </c>
      <c r="P74" s="93">
        <v>0</v>
      </c>
      <c r="Q74" s="92">
        <v>323295</v>
      </c>
      <c r="R74" s="92"/>
      <c r="S74" s="93">
        <v>634180</v>
      </c>
      <c r="T74" s="94">
        <v>-97653</v>
      </c>
      <c r="U74" s="94">
        <v>536527</v>
      </c>
      <c r="X74" s="95">
        <v>1.8423999999999999E-3</v>
      </c>
      <c r="Y74" s="96">
        <f t="shared" si="5"/>
        <v>0</v>
      </c>
      <c r="Z74" s="88">
        <f t="shared" si="6"/>
        <v>0</v>
      </c>
      <c r="AB74" s="75">
        <f t="shared" si="7"/>
        <v>-705133</v>
      </c>
      <c r="AC74" s="75">
        <v>0</v>
      </c>
    </row>
    <row r="75" spans="1:29">
      <c r="A75" s="89">
        <v>30905</v>
      </c>
      <c r="B75" s="90" t="s">
        <v>70</v>
      </c>
      <c r="C75" s="97">
        <v>3.7520000000000001E-4</v>
      </c>
      <c r="D75" s="97">
        <v>4.0640000000000001E-4</v>
      </c>
      <c r="E75" s="92">
        <v>534750.43000000005</v>
      </c>
      <c r="F75" s="92">
        <f t="shared" si="4"/>
        <v>476471.93869760004</v>
      </c>
      <c r="G75" s="92">
        <v>1382686</v>
      </c>
      <c r="H75" s="92"/>
      <c r="I75" s="93">
        <v>0</v>
      </c>
      <c r="J75" s="93">
        <v>964874</v>
      </c>
      <c r="K75" s="93">
        <v>0</v>
      </c>
      <c r="L75" s="92">
        <v>1358</v>
      </c>
      <c r="M75" s="92"/>
      <c r="N75" s="93">
        <v>157211</v>
      </c>
      <c r="O75" s="93">
        <v>1114676</v>
      </c>
      <c r="P75" s="93">
        <v>0</v>
      </c>
      <c r="Q75" s="92">
        <v>84289</v>
      </c>
      <c r="R75" s="92"/>
      <c r="S75" s="93">
        <v>134729</v>
      </c>
      <c r="T75" s="94">
        <v>-22862</v>
      </c>
      <c r="U75" s="94">
        <v>111867</v>
      </c>
      <c r="X75" s="95">
        <v>4.0640000000000001E-4</v>
      </c>
      <c r="Y75" s="96">
        <f t="shared" si="5"/>
        <v>0</v>
      </c>
      <c r="Z75" s="88">
        <f t="shared" si="6"/>
        <v>0</v>
      </c>
      <c r="AB75" s="75">
        <f t="shared" si="7"/>
        <v>-149802</v>
      </c>
      <c r="AC75" s="75">
        <v>0</v>
      </c>
    </row>
    <row r="76" spans="1:29">
      <c r="A76" s="89">
        <v>31000</v>
      </c>
      <c r="B76" s="90" t="s">
        <v>71</v>
      </c>
      <c r="C76" s="97">
        <v>4.8412000000000004E-3</v>
      </c>
      <c r="D76" s="97">
        <v>4.7923000000000002E-3</v>
      </c>
      <c r="E76" s="92">
        <v>6182736.3899999997</v>
      </c>
      <c r="F76" s="92">
        <f t="shared" si="4"/>
        <v>5618593.6806607004</v>
      </c>
      <c r="G76" s="92">
        <v>17840781</v>
      </c>
      <c r="H76" s="92"/>
      <c r="I76" s="93">
        <v>0</v>
      </c>
      <c r="J76" s="93">
        <v>12449756</v>
      </c>
      <c r="K76" s="93">
        <v>0</v>
      </c>
      <c r="L76" s="92">
        <v>771831</v>
      </c>
      <c r="M76" s="92"/>
      <c r="N76" s="93">
        <v>2028497</v>
      </c>
      <c r="O76" s="93">
        <v>14382653</v>
      </c>
      <c r="P76" s="93">
        <v>0</v>
      </c>
      <c r="Q76" s="92">
        <v>0</v>
      </c>
      <c r="R76" s="92"/>
      <c r="S76" s="93">
        <v>1738402</v>
      </c>
      <c r="T76" s="94">
        <v>255279</v>
      </c>
      <c r="U76" s="94">
        <v>1993681</v>
      </c>
      <c r="X76" s="95">
        <v>4.7923000000000002E-3</v>
      </c>
      <c r="Y76" s="96">
        <f t="shared" si="5"/>
        <v>0</v>
      </c>
      <c r="Z76" s="88">
        <f t="shared" si="6"/>
        <v>0</v>
      </c>
      <c r="AB76" s="75">
        <f t="shared" si="7"/>
        <v>-1932897</v>
      </c>
      <c r="AC76" s="75">
        <v>1</v>
      </c>
    </row>
    <row r="77" spans="1:29">
      <c r="A77" s="89">
        <v>31005</v>
      </c>
      <c r="B77" s="90" t="s">
        <v>72</v>
      </c>
      <c r="C77" s="97">
        <v>4.6559999999999999E-4</v>
      </c>
      <c r="D77" s="97">
        <v>4.7909999999999999E-4</v>
      </c>
      <c r="E77" s="92">
        <v>684195.32</v>
      </c>
      <c r="F77" s="92">
        <f t="shared" si="4"/>
        <v>561706.95332189999</v>
      </c>
      <c r="G77" s="92">
        <v>1715828</v>
      </c>
      <c r="H77" s="92"/>
      <c r="I77" s="93">
        <v>0</v>
      </c>
      <c r="J77" s="93">
        <v>1197349</v>
      </c>
      <c r="K77" s="93">
        <v>0</v>
      </c>
      <c r="L77" s="92">
        <v>18307</v>
      </c>
      <c r="M77" s="92"/>
      <c r="N77" s="93">
        <v>195090</v>
      </c>
      <c r="O77" s="93">
        <v>1383245</v>
      </c>
      <c r="P77" s="93">
        <v>0</v>
      </c>
      <c r="Q77" s="92">
        <v>27359</v>
      </c>
      <c r="R77" s="92"/>
      <c r="S77" s="93">
        <v>167190</v>
      </c>
      <c r="T77" s="94">
        <v>-4735</v>
      </c>
      <c r="U77" s="94">
        <v>162455</v>
      </c>
      <c r="X77" s="95">
        <v>4.7909999999999999E-4</v>
      </c>
      <c r="Y77" s="96">
        <f t="shared" si="5"/>
        <v>0</v>
      </c>
      <c r="Z77" s="88">
        <f t="shared" si="6"/>
        <v>0</v>
      </c>
      <c r="AB77" s="75">
        <f t="shared" si="7"/>
        <v>-185896</v>
      </c>
      <c r="AC77" s="75">
        <v>-2</v>
      </c>
    </row>
    <row r="78" spans="1:29">
      <c r="A78" s="89">
        <v>31100</v>
      </c>
      <c r="B78" s="90" t="s">
        <v>73</v>
      </c>
      <c r="C78" s="97">
        <v>9.9407000000000002E-3</v>
      </c>
      <c r="D78" s="97">
        <v>9.9406000000000008E-3</v>
      </c>
      <c r="E78" s="92">
        <v>12202677.859999999</v>
      </c>
      <c r="F78" s="92">
        <f t="shared" si="4"/>
        <v>11654569.276125401</v>
      </c>
      <c r="G78" s="92">
        <v>36633448</v>
      </c>
      <c r="H78" s="92"/>
      <c r="I78" s="93">
        <v>0</v>
      </c>
      <c r="J78" s="93">
        <v>25563763</v>
      </c>
      <c r="K78" s="93">
        <v>0</v>
      </c>
      <c r="L78" s="92">
        <v>0</v>
      </c>
      <c r="M78" s="92"/>
      <c r="N78" s="93">
        <v>4165223</v>
      </c>
      <c r="O78" s="93">
        <v>29532686</v>
      </c>
      <c r="P78" s="93">
        <v>0</v>
      </c>
      <c r="Q78" s="92">
        <v>594150</v>
      </c>
      <c r="R78" s="92"/>
      <c r="S78" s="93">
        <v>3569556</v>
      </c>
      <c r="T78" s="94">
        <v>-190835</v>
      </c>
      <c r="U78" s="94">
        <v>3378722</v>
      </c>
      <c r="X78" s="95">
        <v>9.9406000000000008E-3</v>
      </c>
      <c r="Y78" s="96">
        <f t="shared" si="5"/>
        <v>0</v>
      </c>
      <c r="Z78" s="88">
        <f t="shared" si="6"/>
        <v>-1</v>
      </c>
      <c r="AB78" s="75">
        <f t="shared" si="7"/>
        <v>-3968923</v>
      </c>
      <c r="AC78" s="75">
        <v>1</v>
      </c>
    </row>
    <row r="79" spans="1:29">
      <c r="A79" s="89">
        <v>31101</v>
      </c>
      <c r="B79" s="90" t="s">
        <v>74</v>
      </c>
      <c r="C79" s="97">
        <v>6.86E-5</v>
      </c>
      <c r="D79" s="97">
        <v>7.64E-5</v>
      </c>
      <c r="E79" s="92">
        <v>67918.63</v>
      </c>
      <c r="F79" s="92">
        <f t="shared" si="4"/>
        <v>89572.972727600005</v>
      </c>
      <c r="G79" s="92">
        <v>252805</v>
      </c>
      <c r="H79" s="92"/>
      <c r="I79" s="93">
        <v>0</v>
      </c>
      <c r="J79" s="93">
        <v>176414</v>
      </c>
      <c r="K79" s="93">
        <v>0</v>
      </c>
      <c r="L79" s="92">
        <v>0</v>
      </c>
      <c r="M79" s="92"/>
      <c r="N79" s="93">
        <v>28744</v>
      </c>
      <c r="O79" s="93">
        <v>203803</v>
      </c>
      <c r="P79" s="93">
        <v>0</v>
      </c>
      <c r="Q79" s="92">
        <v>53133</v>
      </c>
      <c r="R79" s="92"/>
      <c r="S79" s="93">
        <v>24633</v>
      </c>
      <c r="T79" s="94">
        <v>-15164</v>
      </c>
      <c r="U79" s="94">
        <v>9469</v>
      </c>
      <c r="X79" s="95">
        <v>7.64E-5</v>
      </c>
      <c r="Y79" s="96">
        <f t="shared" si="5"/>
        <v>0</v>
      </c>
      <c r="Z79" s="88">
        <f t="shared" si="6"/>
        <v>0</v>
      </c>
      <c r="AB79" s="75">
        <f t="shared" si="7"/>
        <v>-27389</v>
      </c>
      <c r="AC79" s="75">
        <v>1</v>
      </c>
    </row>
    <row r="80" spans="1:29">
      <c r="A80" s="89">
        <v>31102</v>
      </c>
      <c r="B80" s="90" t="s">
        <v>75</v>
      </c>
      <c r="C80" s="97">
        <v>1.5589999999999999E-4</v>
      </c>
      <c r="D80" s="97">
        <v>1.5669999999999999E-4</v>
      </c>
      <c r="E80" s="92">
        <v>166569.43</v>
      </c>
      <c r="F80" s="92">
        <f t="shared" si="4"/>
        <v>183718.38778029999</v>
      </c>
      <c r="G80" s="92">
        <v>574522</v>
      </c>
      <c r="H80" s="92"/>
      <c r="I80" s="93">
        <v>0</v>
      </c>
      <c r="J80" s="93">
        <v>400916</v>
      </c>
      <c r="K80" s="93">
        <v>0</v>
      </c>
      <c r="L80" s="92">
        <v>0</v>
      </c>
      <c r="M80" s="92"/>
      <c r="N80" s="93">
        <v>65323</v>
      </c>
      <c r="O80" s="93">
        <v>463161</v>
      </c>
      <c r="P80" s="93">
        <v>0</v>
      </c>
      <c r="Q80" s="92">
        <v>123237</v>
      </c>
      <c r="R80" s="92"/>
      <c r="S80" s="93">
        <v>55981</v>
      </c>
      <c r="T80" s="94">
        <v>-41966</v>
      </c>
      <c r="U80" s="94">
        <v>14015</v>
      </c>
      <c r="X80" s="95">
        <v>1.5669999999999999E-4</v>
      </c>
      <c r="Y80" s="96">
        <f t="shared" si="5"/>
        <v>0</v>
      </c>
      <c r="Z80" s="88">
        <f t="shared" si="6"/>
        <v>0</v>
      </c>
      <c r="AB80" s="75">
        <f t="shared" si="7"/>
        <v>-62245</v>
      </c>
      <c r="AC80" s="75">
        <v>0</v>
      </c>
    </row>
    <row r="81" spans="1:29">
      <c r="A81" s="89">
        <v>31105</v>
      </c>
      <c r="B81" s="90" t="s">
        <v>76</v>
      </c>
      <c r="C81" s="97">
        <v>1.6336E-3</v>
      </c>
      <c r="D81" s="97">
        <v>1.5651E-3</v>
      </c>
      <c r="E81" s="92">
        <v>2134413.73</v>
      </c>
      <c r="F81" s="92">
        <f t="shared" si="4"/>
        <v>1834956.2776959001</v>
      </c>
      <c r="G81" s="92">
        <v>6020139</v>
      </c>
      <c r="H81" s="92"/>
      <c r="I81" s="93">
        <v>0</v>
      </c>
      <c r="J81" s="93">
        <v>4201008</v>
      </c>
      <c r="K81" s="93">
        <v>0</v>
      </c>
      <c r="L81" s="92">
        <v>421351</v>
      </c>
      <c r="M81" s="92"/>
      <c r="N81" s="93">
        <v>684490</v>
      </c>
      <c r="O81" s="93">
        <v>4853239</v>
      </c>
      <c r="P81" s="93">
        <v>0</v>
      </c>
      <c r="Q81" s="92">
        <v>0</v>
      </c>
      <c r="R81" s="92"/>
      <c r="S81" s="93">
        <v>586601</v>
      </c>
      <c r="T81" s="94">
        <v>122820</v>
      </c>
      <c r="U81" s="94">
        <v>709421</v>
      </c>
      <c r="X81" s="95">
        <v>1.5651E-3</v>
      </c>
      <c r="Y81" s="96">
        <f t="shared" si="5"/>
        <v>0</v>
      </c>
      <c r="Z81" s="88">
        <f t="shared" si="6"/>
        <v>0</v>
      </c>
      <c r="AB81" s="75">
        <f t="shared" si="7"/>
        <v>-652231</v>
      </c>
      <c r="AC81" s="75">
        <v>0</v>
      </c>
    </row>
    <row r="82" spans="1:29">
      <c r="A82" s="89">
        <v>31110</v>
      </c>
      <c r="B82" s="90" t="s">
        <v>77</v>
      </c>
      <c r="C82" s="97">
        <v>2.3462000000000001E-3</v>
      </c>
      <c r="D82" s="97">
        <v>2.2455999999999999E-3</v>
      </c>
      <c r="E82" s="92">
        <v>2730341.04</v>
      </c>
      <c r="F82" s="92">
        <f t="shared" si="4"/>
        <v>2632788.8423703997</v>
      </c>
      <c r="G82" s="92">
        <v>8646212</v>
      </c>
      <c r="H82" s="92"/>
      <c r="I82" s="93">
        <v>0</v>
      </c>
      <c r="J82" s="93">
        <v>6033549</v>
      </c>
      <c r="K82" s="93">
        <v>0</v>
      </c>
      <c r="L82" s="92">
        <v>282407</v>
      </c>
      <c r="M82" s="92"/>
      <c r="N82" s="93">
        <v>983074</v>
      </c>
      <c r="O82" s="93">
        <v>6970293</v>
      </c>
      <c r="P82" s="93">
        <v>0</v>
      </c>
      <c r="Q82" s="92">
        <v>0</v>
      </c>
      <c r="R82" s="92"/>
      <c r="S82" s="93">
        <v>842485</v>
      </c>
      <c r="T82" s="94">
        <v>81318</v>
      </c>
      <c r="U82" s="94">
        <v>923804</v>
      </c>
      <c r="X82" s="95">
        <v>2.2455999999999999E-3</v>
      </c>
      <c r="Y82" s="96">
        <f t="shared" si="5"/>
        <v>0</v>
      </c>
      <c r="Z82" s="88">
        <f t="shared" si="6"/>
        <v>-1</v>
      </c>
      <c r="AB82" s="75">
        <f t="shared" si="7"/>
        <v>-936744</v>
      </c>
      <c r="AC82" s="75">
        <v>-1</v>
      </c>
    </row>
    <row r="83" spans="1:29">
      <c r="A83" s="89">
        <v>31200</v>
      </c>
      <c r="B83" s="90" t="s">
        <v>78</v>
      </c>
      <c r="C83" s="97">
        <v>4.8599000000000003E-3</v>
      </c>
      <c r="D83" s="97">
        <v>5.0726E-3</v>
      </c>
      <c r="E83" s="92">
        <v>5956487.6399999997</v>
      </c>
      <c r="F83" s="92">
        <f t="shared" si="4"/>
        <v>5947223.3175133998</v>
      </c>
      <c r="G83" s="92">
        <v>17909694</v>
      </c>
      <c r="H83" s="92"/>
      <c r="I83" s="93">
        <v>0</v>
      </c>
      <c r="J83" s="93">
        <v>12497845</v>
      </c>
      <c r="K83" s="93">
        <v>0</v>
      </c>
      <c r="L83" s="92">
        <v>0</v>
      </c>
      <c r="M83" s="92"/>
      <c r="N83" s="93">
        <v>2036332</v>
      </c>
      <c r="O83" s="93">
        <v>14438209</v>
      </c>
      <c r="P83" s="93">
        <v>0</v>
      </c>
      <c r="Q83" s="92">
        <v>1452030</v>
      </c>
      <c r="R83" s="92"/>
      <c r="S83" s="93">
        <v>1745117</v>
      </c>
      <c r="T83" s="94">
        <v>-435697</v>
      </c>
      <c r="U83" s="94">
        <v>1309420</v>
      </c>
      <c r="X83" s="95">
        <v>5.0726E-3</v>
      </c>
      <c r="Y83" s="96">
        <f t="shared" si="5"/>
        <v>0</v>
      </c>
      <c r="Z83" s="88">
        <f t="shared" si="6"/>
        <v>0</v>
      </c>
      <c r="AB83" s="75">
        <f t="shared" si="7"/>
        <v>-1940364</v>
      </c>
      <c r="AC83" s="75">
        <v>0</v>
      </c>
    </row>
    <row r="84" spans="1:29">
      <c r="A84" s="89">
        <v>31205</v>
      </c>
      <c r="B84" s="90" t="s">
        <v>79</v>
      </c>
      <c r="C84" s="97">
        <v>6.2350000000000003E-4</v>
      </c>
      <c r="D84" s="97">
        <v>6.8550000000000002E-4</v>
      </c>
      <c r="E84" s="92">
        <v>841577.79</v>
      </c>
      <c r="F84" s="92">
        <f t="shared" si="4"/>
        <v>803694.67021949997</v>
      </c>
      <c r="G84" s="92">
        <v>2297721</v>
      </c>
      <c r="H84" s="92"/>
      <c r="I84" s="93">
        <v>0</v>
      </c>
      <c r="J84" s="93">
        <v>1603409</v>
      </c>
      <c r="K84" s="93">
        <v>0</v>
      </c>
      <c r="L84" s="92">
        <v>0</v>
      </c>
      <c r="M84" s="92"/>
      <c r="N84" s="93">
        <v>261251</v>
      </c>
      <c r="O84" s="93">
        <v>1852347</v>
      </c>
      <c r="P84" s="93">
        <v>0</v>
      </c>
      <c r="Q84" s="92">
        <v>351397</v>
      </c>
      <c r="R84" s="92"/>
      <c r="S84" s="93">
        <v>223889</v>
      </c>
      <c r="T84" s="94">
        <v>-108045</v>
      </c>
      <c r="U84" s="94">
        <v>115845</v>
      </c>
      <c r="X84" s="95">
        <v>6.8550000000000002E-4</v>
      </c>
      <c r="Y84" s="96">
        <f t="shared" si="5"/>
        <v>0</v>
      </c>
      <c r="Z84" s="88">
        <f t="shared" si="6"/>
        <v>-1</v>
      </c>
      <c r="AB84" s="75">
        <f t="shared" si="7"/>
        <v>-248938</v>
      </c>
      <c r="AC84" s="75">
        <v>1</v>
      </c>
    </row>
    <row r="85" spans="1:29">
      <c r="A85" s="89">
        <v>31300</v>
      </c>
      <c r="B85" s="90" t="s">
        <v>80</v>
      </c>
      <c r="C85" s="97">
        <v>1.12263E-2</v>
      </c>
      <c r="D85" s="97">
        <v>1.06528E-2</v>
      </c>
      <c r="E85" s="92">
        <v>13084029.380000001</v>
      </c>
      <c r="F85" s="92">
        <f t="shared" si="4"/>
        <v>12489567.589955201</v>
      </c>
      <c r="G85" s="92">
        <v>41371138</v>
      </c>
      <c r="H85" s="92"/>
      <c r="I85" s="93">
        <v>0</v>
      </c>
      <c r="J85" s="93">
        <v>28869845</v>
      </c>
      <c r="K85" s="93">
        <v>0</v>
      </c>
      <c r="L85" s="92">
        <v>1575233</v>
      </c>
      <c r="M85" s="92"/>
      <c r="N85" s="93">
        <v>4703898</v>
      </c>
      <c r="O85" s="93">
        <v>33352058</v>
      </c>
      <c r="P85" s="93">
        <v>0</v>
      </c>
      <c r="Q85" s="92">
        <v>1307231</v>
      </c>
      <c r="R85" s="92"/>
      <c r="S85" s="93">
        <v>4031196</v>
      </c>
      <c r="T85" s="94">
        <v>-32189</v>
      </c>
      <c r="U85" s="94">
        <v>3999007</v>
      </c>
      <c r="X85" s="95">
        <v>1.06528E-2</v>
      </c>
      <c r="Y85" s="96">
        <f t="shared" si="5"/>
        <v>0</v>
      </c>
      <c r="Z85" s="88">
        <f t="shared" si="6"/>
        <v>0</v>
      </c>
      <c r="AB85" s="75">
        <f t="shared" si="7"/>
        <v>-4482213</v>
      </c>
      <c r="AC85" s="75">
        <v>0</v>
      </c>
    </row>
    <row r="86" spans="1:29">
      <c r="A86" s="89">
        <v>31301</v>
      </c>
      <c r="B86" s="90" t="s">
        <v>81</v>
      </c>
      <c r="C86" s="97">
        <v>1.9369999999999999E-4</v>
      </c>
      <c r="D86" s="97">
        <v>1.795E-4</v>
      </c>
      <c r="E86" s="92">
        <v>206906.9</v>
      </c>
      <c r="F86" s="92">
        <f t="shared" si="4"/>
        <v>210449.58906550001</v>
      </c>
      <c r="G86" s="92">
        <v>713823</v>
      </c>
      <c r="H86" s="92"/>
      <c r="I86" s="93">
        <v>0</v>
      </c>
      <c r="J86" s="93">
        <v>498124</v>
      </c>
      <c r="K86" s="93">
        <v>0</v>
      </c>
      <c r="L86" s="92">
        <v>66701</v>
      </c>
      <c r="M86" s="92"/>
      <c r="N86" s="93">
        <v>81162</v>
      </c>
      <c r="O86" s="93">
        <v>575461</v>
      </c>
      <c r="P86" s="93">
        <v>0</v>
      </c>
      <c r="Q86" s="92">
        <v>0</v>
      </c>
      <c r="R86" s="92"/>
      <c r="S86" s="93">
        <v>69555</v>
      </c>
      <c r="T86" s="94">
        <v>21412</v>
      </c>
      <c r="U86" s="94">
        <v>90967</v>
      </c>
      <c r="X86" s="95">
        <v>1.795E-4</v>
      </c>
      <c r="Y86" s="96">
        <f t="shared" si="5"/>
        <v>0</v>
      </c>
      <c r="Z86" s="88">
        <f t="shared" si="6"/>
        <v>0</v>
      </c>
      <c r="AB86" s="75">
        <f t="shared" si="7"/>
        <v>-77337</v>
      </c>
      <c r="AC86" s="75">
        <v>-1</v>
      </c>
    </row>
    <row r="87" spans="1:29">
      <c r="A87" s="89">
        <v>31320</v>
      </c>
      <c r="B87" s="90" t="s">
        <v>82</v>
      </c>
      <c r="C87" s="97">
        <v>2.2095000000000001E-3</v>
      </c>
      <c r="D87" s="97">
        <v>2.2027000000000001E-3</v>
      </c>
      <c r="E87" s="92">
        <v>2559454.2200000002</v>
      </c>
      <c r="F87" s="92">
        <f t="shared" si="4"/>
        <v>2582491.9767943001</v>
      </c>
      <c r="G87" s="92">
        <v>8142445</v>
      </c>
      <c r="H87" s="92"/>
      <c r="I87" s="93">
        <v>0</v>
      </c>
      <c r="J87" s="93">
        <v>5682008</v>
      </c>
      <c r="K87" s="93">
        <v>0</v>
      </c>
      <c r="L87" s="92">
        <v>0</v>
      </c>
      <c r="M87" s="92"/>
      <c r="N87" s="93">
        <v>925796</v>
      </c>
      <c r="O87" s="93">
        <v>6564173</v>
      </c>
      <c r="P87" s="93">
        <v>0</v>
      </c>
      <c r="Q87" s="92">
        <v>532819</v>
      </c>
      <c r="R87" s="92"/>
      <c r="S87" s="93">
        <v>793398</v>
      </c>
      <c r="T87" s="94">
        <v>-178651</v>
      </c>
      <c r="U87" s="94">
        <v>614747</v>
      </c>
      <c r="X87" s="95">
        <v>2.2027000000000001E-3</v>
      </c>
      <c r="Y87" s="96">
        <f t="shared" si="5"/>
        <v>0</v>
      </c>
      <c r="Z87" s="88">
        <f t="shared" si="6"/>
        <v>0</v>
      </c>
      <c r="AB87" s="75">
        <f t="shared" si="7"/>
        <v>-882165</v>
      </c>
      <c r="AC87" s="75">
        <v>0</v>
      </c>
    </row>
    <row r="88" spans="1:29">
      <c r="A88" s="89">
        <v>31400</v>
      </c>
      <c r="B88" s="90" t="s">
        <v>83</v>
      </c>
      <c r="C88" s="97">
        <v>4.7343000000000003E-3</v>
      </c>
      <c r="D88" s="97">
        <v>4.7391000000000004E-3</v>
      </c>
      <c r="E88" s="92">
        <v>5891291.0300000003</v>
      </c>
      <c r="F88" s="92">
        <f t="shared" si="4"/>
        <v>5556220.8776619006</v>
      </c>
      <c r="G88" s="92">
        <v>17446833</v>
      </c>
      <c r="H88" s="92"/>
      <c r="I88" s="93">
        <v>0</v>
      </c>
      <c r="J88" s="93">
        <v>12174849</v>
      </c>
      <c r="K88" s="93">
        <v>0</v>
      </c>
      <c r="L88" s="92">
        <v>0</v>
      </c>
      <c r="M88" s="92"/>
      <c r="N88" s="93">
        <v>1983705</v>
      </c>
      <c r="O88" s="93">
        <v>14065066</v>
      </c>
      <c r="P88" s="93">
        <v>0</v>
      </c>
      <c r="Q88" s="92">
        <v>459137</v>
      </c>
      <c r="R88" s="92"/>
      <c r="S88" s="93">
        <v>1700016</v>
      </c>
      <c r="T88" s="94">
        <v>-157441</v>
      </c>
      <c r="U88" s="94">
        <v>1542576</v>
      </c>
      <c r="X88" s="95">
        <v>4.7391000000000004E-3</v>
      </c>
      <c r="Y88" s="96">
        <f t="shared" si="5"/>
        <v>0</v>
      </c>
      <c r="Z88" s="88">
        <f t="shared" si="6"/>
        <v>-1</v>
      </c>
      <c r="AB88" s="75">
        <f t="shared" si="7"/>
        <v>-1890217</v>
      </c>
      <c r="AC88" s="75">
        <v>0</v>
      </c>
    </row>
    <row r="89" spans="1:29">
      <c r="A89" s="89">
        <v>31405</v>
      </c>
      <c r="B89" s="90" t="s">
        <v>84</v>
      </c>
      <c r="C89" s="97">
        <v>9.8060000000000009E-4</v>
      </c>
      <c r="D89" s="97">
        <v>1.0556999999999999E-3</v>
      </c>
      <c r="E89" s="92">
        <v>1365585.45</v>
      </c>
      <c r="F89" s="92">
        <f t="shared" si="4"/>
        <v>1237724.9647712999</v>
      </c>
      <c r="G89" s="92">
        <v>3613705</v>
      </c>
      <c r="H89" s="92"/>
      <c r="I89" s="93">
        <v>0</v>
      </c>
      <c r="J89" s="93">
        <v>2521736</v>
      </c>
      <c r="K89" s="93">
        <v>0</v>
      </c>
      <c r="L89" s="92">
        <v>0</v>
      </c>
      <c r="M89" s="92"/>
      <c r="N89" s="93">
        <v>410878</v>
      </c>
      <c r="O89" s="93">
        <v>2913251</v>
      </c>
      <c r="P89" s="93">
        <v>0</v>
      </c>
      <c r="Q89" s="92">
        <v>305959</v>
      </c>
      <c r="R89" s="92"/>
      <c r="S89" s="93">
        <v>352119</v>
      </c>
      <c r="T89" s="94">
        <v>-91908</v>
      </c>
      <c r="U89" s="94">
        <v>260211</v>
      </c>
      <c r="X89" s="95">
        <v>1.0556999999999999E-3</v>
      </c>
      <c r="Y89" s="96">
        <f t="shared" si="5"/>
        <v>0</v>
      </c>
      <c r="Z89" s="88">
        <f t="shared" si="6"/>
        <v>0</v>
      </c>
      <c r="AB89" s="75">
        <f t="shared" si="7"/>
        <v>-391515</v>
      </c>
      <c r="AC89" s="75">
        <v>0</v>
      </c>
    </row>
    <row r="90" spans="1:29">
      <c r="A90" s="89">
        <v>31500</v>
      </c>
      <c r="B90" s="90" t="s">
        <v>85</v>
      </c>
      <c r="C90" s="97">
        <v>7.4350000000000002E-4</v>
      </c>
      <c r="D90" s="97">
        <v>7.6009999999999999E-4</v>
      </c>
      <c r="E90" s="92">
        <v>878230.13</v>
      </c>
      <c r="F90" s="92">
        <f t="shared" si="4"/>
        <v>891157.28495090001</v>
      </c>
      <c r="G90" s="92">
        <v>2739945</v>
      </c>
      <c r="H90" s="92"/>
      <c r="I90" s="93">
        <v>0</v>
      </c>
      <c r="J90" s="93">
        <v>1912004</v>
      </c>
      <c r="K90" s="93">
        <v>0</v>
      </c>
      <c r="L90" s="92">
        <v>0</v>
      </c>
      <c r="M90" s="92"/>
      <c r="N90" s="93">
        <v>311532</v>
      </c>
      <c r="O90" s="93">
        <v>2208854</v>
      </c>
      <c r="P90" s="93">
        <v>0</v>
      </c>
      <c r="Q90" s="92">
        <v>135200</v>
      </c>
      <c r="R90" s="92"/>
      <c r="S90" s="93">
        <v>266980</v>
      </c>
      <c r="T90" s="94">
        <v>-38883</v>
      </c>
      <c r="U90" s="94">
        <v>228097</v>
      </c>
      <c r="X90" s="95">
        <v>7.6009999999999999E-4</v>
      </c>
      <c r="Y90" s="96">
        <f t="shared" si="5"/>
        <v>0</v>
      </c>
      <c r="Z90" s="88">
        <f t="shared" si="6"/>
        <v>0</v>
      </c>
      <c r="AB90" s="75">
        <f t="shared" si="7"/>
        <v>-296850</v>
      </c>
      <c r="AC90" s="75">
        <v>0</v>
      </c>
    </row>
    <row r="91" spans="1:29">
      <c r="A91" s="89">
        <v>31600</v>
      </c>
      <c r="B91" s="90" t="s">
        <v>86</v>
      </c>
      <c r="C91" s="97">
        <v>3.2607000000000001E-3</v>
      </c>
      <c r="D91" s="97">
        <v>3.2526E-3</v>
      </c>
      <c r="E91" s="92">
        <v>4265657.17</v>
      </c>
      <c r="F91" s="92">
        <f t="shared" si="4"/>
        <v>3813416.8991334001</v>
      </c>
      <c r="G91" s="92">
        <v>12016325</v>
      </c>
      <c r="H91" s="92"/>
      <c r="I91" s="93">
        <v>0</v>
      </c>
      <c r="J91" s="93">
        <v>8385301</v>
      </c>
      <c r="K91" s="93">
        <v>0</v>
      </c>
      <c r="L91" s="92">
        <v>466453</v>
      </c>
      <c r="M91" s="92"/>
      <c r="N91" s="93">
        <v>1366256</v>
      </c>
      <c r="O91" s="93">
        <v>9687168</v>
      </c>
      <c r="P91" s="93">
        <v>0</v>
      </c>
      <c r="Q91" s="92">
        <v>0</v>
      </c>
      <c r="R91" s="92"/>
      <c r="S91" s="93">
        <v>1170868</v>
      </c>
      <c r="T91" s="94">
        <v>154896</v>
      </c>
      <c r="U91" s="94">
        <v>1325765</v>
      </c>
      <c r="X91" s="95">
        <v>3.2526E-3</v>
      </c>
      <c r="Y91" s="96">
        <f t="shared" si="5"/>
        <v>0</v>
      </c>
      <c r="Z91" s="88">
        <f t="shared" si="6"/>
        <v>-1</v>
      </c>
      <c r="AB91" s="75">
        <f t="shared" si="7"/>
        <v>-1301867</v>
      </c>
      <c r="AC91" s="75">
        <v>0</v>
      </c>
    </row>
    <row r="92" spans="1:29">
      <c r="A92" s="89">
        <v>31601</v>
      </c>
      <c r="B92" s="90" t="s">
        <v>286</v>
      </c>
      <c r="C92" s="97">
        <v>0</v>
      </c>
      <c r="D92" s="97">
        <v>9.0000000000000002E-6</v>
      </c>
      <c r="E92" s="92"/>
      <c r="F92" s="92">
        <f t="shared" si="4"/>
        <v>10551.789981</v>
      </c>
      <c r="G92" s="92">
        <v>0</v>
      </c>
      <c r="H92" s="92"/>
      <c r="I92" s="93">
        <v>0</v>
      </c>
      <c r="J92" s="93">
        <v>0</v>
      </c>
      <c r="K92" s="93">
        <v>0</v>
      </c>
      <c r="L92" s="92">
        <v>0</v>
      </c>
      <c r="M92" s="92"/>
      <c r="N92" s="93">
        <v>0</v>
      </c>
      <c r="O92" s="93">
        <v>0</v>
      </c>
      <c r="P92" s="93">
        <v>0</v>
      </c>
      <c r="Q92" s="92">
        <v>44219</v>
      </c>
      <c r="R92" s="92"/>
      <c r="S92" s="93">
        <v>0</v>
      </c>
      <c r="T92" s="94">
        <v>-12747</v>
      </c>
      <c r="U92" s="94">
        <v>-12747</v>
      </c>
      <c r="X92" s="95">
        <v>9.0000000000000002E-6</v>
      </c>
      <c r="Y92" s="96">
        <f t="shared" si="5"/>
        <v>0</v>
      </c>
      <c r="Z92" s="88">
        <f t="shared" si="6"/>
        <v>0</v>
      </c>
      <c r="AB92" s="75">
        <f t="shared" si="7"/>
        <v>0</v>
      </c>
      <c r="AC92" s="75">
        <v>0</v>
      </c>
    </row>
    <row r="93" spans="1:29">
      <c r="A93" s="89">
        <v>31605</v>
      </c>
      <c r="B93" s="90" t="s">
        <v>87</v>
      </c>
      <c r="C93" s="97">
        <v>4.7429999999999998E-4</v>
      </c>
      <c r="D93" s="97">
        <v>4.7750000000000001E-4</v>
      </c>
      <c r="E93" s="92">
        <v>657660.51</v>
      </c>
      <c r="F93" s="92">
        <f t="shared" si="4"/>
        <v>559831.0795475</v>
      </c>
      <c r="G93" s="92">
        <v>1747889</v>
      </c>
      <c r="H93" s="92"/>
      <c r="I93" s="93">
        <v>0</v>
      </c>
      <c r="J93" s="93">
        <v>1219722</v>
      </c>
      <c r="K93" s="93">
        <v>0</v>
      </c>
      <c r="L93" s="92">
        <v>32538</v>
      </c>
      <c r="M93" s="92"/>
      <c r="N93" s="93">
        <v>198735</v>
      </c>
      <c r="O93" s="93">
        <v>1409091</v>
      </c>
      <c r="P93" s="93">
        <v>0</v>
      </c>
      <c r="Q93" s="92">
        <v>14054</v>
      </c>
      <c r="R93" s="92"/>
      <c r="S93" s="93">
        <v>170314</v>
      </c>
      <c r="T93" s="94">
        <v>3976</v>
      </c>
      <c r="U93" s="94">
        <v>174290</v>
      </c>
      <c r="X93" s="95">
        <v>4.7750000000000001E-4</v>
      </c>
      <c r="Y93" s="96">
        <f t="shared" si="5"/>
        <v>0</v>
      </c>
      <c r="Z93" s="88">
        <f t="shared" si="6"/>
        <v>0</v>
      </c>
      <c r="AB93" s="75">
        <f t="shared" si="7"/>
        <v>-189369</v>
      </c>
      <c r="AC93" s="75">
        <v>1</v>
      </c>
    </row>
    <row r="94" spans="1:29">
      <c r="A94" s="89">
        <v>31700</v>
      </c>
      <c r="B94" s="90" t="s">
        <v>88</v>
      </c>
      <c r="C94" s="97">
        <v>9.8630000000000007E-4</v>
      </c>
      <c r="D94" s="97">
        <v>9.5640000000000005E-4</v>
      </c>
      <c r="E94" s="92">
        <v>1348968.35</v>
      </c>
      <c r="F94" s="92">
        <f t="shared" si="4"/>
        <v>1121303.5486476</v>
      </c>
      <c r="G94" s="92">
        <v>3634711</v>
      </c>
      <c r="H94" s="92"/>
      <c r="I94" s="93">
        <v>0</v>
      </c>
      <c r="J94" s="93">
        <v>2536395</v>
      </c>
      <c r="K94" s="93">
        <v>0</v>
      </c>
      <c r="L94" s="92">
        <v>207847</v>
      </c>
      <c r="M94" s="92"/>
      <c r="N94" s="93">
        <v>413267</v>
      </c>
      <c r="O94" s="93">
        <v>2930185</v>
      </c>
      <c r="P94" s="93">
        <v>0</v>
      </c>
      <c r="Q94" s="92">
        <v>67062</v>
      </c>
      <c r="R94" s="92"/>
      <c r="S94" s="93">
        <v>354166</v>
      </c>
      <c r="T94" s="94">
        <v>33539</v>
      </c>
      <c r="U94" s="94">
        <v>387704</v>
      </c>
      <c r="X94" s="95">
        <v>9.5640000000000005E-4</v>
      </c>
      <c r="Y94" s="96">
        <f t="shared" si="5"/>
        <v>0</v>
      </c>
      <c r="Z94" s="88">
        <f t="shared" si="6"/>
        <v>1</v>
      </c>
      <c r="AB94" s="75">
        <f t="shared" si="7"/>
        <v>-393790</v>
      </c>
      <c r="AC94" s="75">
        <v>1</v>
      </c>
    </row>
    <row r="95" spans="1:29">
      <c r="A95" s="89">
        <v>31800</v>
      </c>
      <c r="B95" s="90" t="s">
        <v>89</v>
      </c>
      <c r="C95" s="97">
        <v>6.2585999999999996E-3</v>
      </c>
      <c r="D95" s="97">
        <v>6.2275000000000004E-3</v>
      </c>
      <c r="E95" s="92">
        <v>7806407.2599999998</v>
      </c>
      <c r="F95" s="92">
        <f t="shared" si="4"/>
        <v>7301252.4562975001</v>
      </c>
      <c r="G95" s="92">
        <v>23064180</v>
      </c>
      <c r="H95" s="92"/>
      <c r="I95" s="93">
        <v>0</v>
      </c>
      <c r="J95" s="93">
        <v>16094778</v>
      </c>
      <c r="K95" s="93">
        <v>0</v>
      </c>
      <c r="L95" s="92">
        <v>57187</v>
      </c>
      <c r="M95" s="92"/>
      <c r="N95" s="93">
        <v>2622397</v>
      </c>
      <c r="O95" s="93">
        <v>18593587</v>
      </c>
      <c r="P95" s="93">
        <v>0</v>
      </c>
      <c r="Q95" s="92">
        <v>121303</v>
      </c>
      <c r="R95" s="92"/>
      <c r="S95" s="93">
        <v>2247369</v>
      </c>
      <c r="T95" s="94">
        <v>-27636</v>
      </c>
      <c r="U95" s="94">
        <v>2219733</v>
      </c>
      <c r="X95" s="95">
        <v>6.2275000000000004E-3</v>
      </c>
      <c r="Y95" s="96">
        <f t="shared" si="5"/>
        <v>0</v>
      </c>
      <c r="Z95" s="88">
        <f t="shared" si="6"/>
        <v>0</v>
      </c>
      <c r="AB95" s="75">
        <f t="shared" si="7"/>
        <v>-2498809</v>
      </c>
      <c r="AC95" s="75">
        <v>0</v>
      </c>
    </row>
    <row r="96" spans="1:29">
      <c r="A96" s="89">
        <v>31805</v>
      </c>
      <c r="B96" s="90" t="s">
        <v>90</v>
      </c>
      <c r="C96" s="97">
        <v>1.1642E-3</v>
      </c>
      <c r="D96" s="97">
        <v>1.2336999999999999E-3</v>
      </c>
      <c r="E96" s="92">
        <v>1616334.57</v>
      </c>
      <c r="F96" s="92">
        <f t="shared" si="4"/>
        <v>1446415.9221732998</v>
      </c>
      <c r="G96" s="92">
        <v>4290308</v>
      </c>
      <c r="H96" s="92"/>
      <c r="I96" s="93">
        <v>0</v>
      </c>
      <c r="J96" s="93">
        <v>2993887</v>
      </c>
      <c r="K96" s="93">
        <v>0</v>
      </c>
      <c r="L96" s="92">
        <v>36992</v>
      </c>
      <c r="M96" s="92"/>
      <c r="N96" s="93">
        <v>487808</v>
      </c>
      <c r="O96" s="93">
        <v>3458705</v>
      </c>
      <c r="P96" s="93">
        <v>0</v>
      </c>
      <c r="Q96" s="92">
        <v>179526</v>
      </c>
      <c r="R96" s="92"/>
      <c r="S96" s="93">
        <v>418047</v>
      </c>
      <c r="T96" s="94">
        <v>-36471</v>
      </c>
      <c r="U96" s="94">
        <v>381575</v>
      </c>
      <c r="X96" s="95">
        <v>1.2336999999999999E-3</v>
      </c>
      <c r="Y96" s="96">
        <f t="shared" si="5"/>
        <v>0</v>
      </c>
      <c r="Z96" s="88">
        <f t="shared" si="6"/>
        <v>1</v>
      </c>
      <c r="AB96" s="75">
        <f t="shared" si="7"/>
        <v>-464818</v>
      </c>
      <c r="AC96" s="75">
        <v>0</v>
      </c>
    </row>
    <row r="97" spans="1:29">
      <c r="A97" s="89">
        <v>31810</v>
      </c>
      <c r="B97" s="90" t="s">
        <v>91</v>
      </c>
      <c r="C97" s="97">
        <v>1.4873E-3</v>
      </c>
      <c r="D97" s="97">
        <v>1.5008000000000001E-3</v>
      </c>
      <c r="E97" s="92">
        <v>1891630.35</v>
      </c>
      <c r="F97" s="92">
        <f t="shared" si="4"/>
        <v>1759569.6003872</v>
      </c>
      <c r="G97" s="92">
        <v>5480995</v>
      </c>
      <c r="H97" s="92"/>
      <c r="I97" s="93">
        <v>0</v>
      </c>
      <c r="J97" s="93">
        <v>3824779</v>
      </c>
      <c r="K97" s="93">
        <v>0</v>
      </c>
      <c r="L97" s="92">
        <v>0</v>
      </c>
      <c r="M97" s="92"/>
      <c r="N97" s="93">
        <v>623189</v>
      </c>
      <c r="O97" s="93">
        <v>4418599</v>
      </c>
      <c r="P97" s="93">
        <v>0</v>
      </c>
      <c r="Q97" s="92">
        <v>382950</v>
      </c>
      <c r="R97" s="92"/>
      <c r="S97" s="93">
        <v>534067</v>
      </c>
      <c r="T97" s="94">
        <v>-133491</v>
      </c>
      <c r="U97" s="94">
        <v>400576</v>
      </c>
      <c r="X97" s="95">
        <v>1.5008000000000001E-3</v>
      </c>
      <c r="Y97" s="96">
        <f t="shared" si="5"/>
        <v>0</v>
      </c>
      <c r="Z97" s="88">
        <f t="shared" si="6"/>
        <v>0</v>
      </c>
      <c r="AB97" s="75">
        <f t="shared" si="7"/>
        <v>-593820</v>
      </c>
      <c r="AC97" s="75">
        <v>0</v>
      </c>
    </row>
    <row r="98" spans="1:29">
      <c r="A98" s="89">
        <v>31820</v>
      </c>
      <c r="B98" s="90" t="s">
        <v>92</v>
      </c>
      <c r="C98" s="97">
        <v>1.2941999999999999E-3</v>
      </c>
      <c r="D98" s="97">
        <v>1.2648E-3</v>
      </c>
      <c r="E98" s="92">
        <v>1572198.75</v>
      </c>
      <c r="F98" s="92">
        <f t="shared" si="4"/>
        <v>1482878.2186632</v>
      </c>
      <c r="G98" s="92">
        <v>4769383</v>
      </c>
      <c r="H98" s="92"/>
      <c r="I98" s="93">
        <v>0</v>
      </c>
      <c r="J98" s="93">
        <v>3328198</v>
      </c>
      <c r="K98" s="93">
        <v>0</v>
      </c>
      <c r="L98" s="92">
        <v>76134</v>
      </c>
      <c r="M98" s="92"/>
      <c r="N98" s="93">
        <v>542279</v>
      </c>
      <c r="O98" s="93">
        <v>3844921</v>
      </c>
      <c r="P98" s="93">
        <v>0</v>
      </c>
      <c r="Q98" s="92">
        <v>34916</v>
      </c>
      <c r="R98" s="92"/>
      <c r="S98" s="93">
        <v>464728</v>
      </c>
      <c r="T98" s="94">
        <v>8575</v>
      </c>
      <c r="U98" s="94">
        <v>473303</v>
      </c>
      <c r="X98" s="95">
        <v>1.2648E-3</v>
      </c>
      <c r="Y98" s="96">
        <f t="shared" si="5"/>
        <v>0</v>
      </c>
      <c r="Z98" s="88">
        <f t="shared" si="6"/>
        <v>0</v>
      </c>
      <c r="AB98" s="75">
        <f t="shared" si="7"/>
        <v>-516723</v>
      </c>
      <c r="AC98" s="75">
        <v>-1</v>
      </c>
    </row>
    <row r="99" spans="1:29">
      <c r="A99" s="89">
        <v>31900</v>
      </c>
      <c r="B99" s="90" t="s">
        <v>93</v>
      </c>
      <c r="C99" s="97">
        <v>3.5747999999999999E-3</v>
      </c>
      <c r="D99" s="97">
        <v>3.4716999999999999E-3</v>
      </c>
      <c r="E99" s="92">
        <v>4322903.46</v>
      </c>
      <c r="F99" s="92">
        <f t="shared" si="4"/>
        <v>4070294.3641152997</v>
      </c>
      <c r="G99" s="92">
        <v>13173846</v>
      </c>
      <c r="H99" s="92"/>
      <c r="I99" s="93">
        <v>0</v>
      </c>
      <c r="J99" s="93">
        <v>9193049</v>
      </c>
      <c r="K99" s="93">
        <v>0</v>
      </c>
      <c r="L99" s="92">
        <v>287500</v>
      </c>
      <c r="M99" s="92"/>
      <c r="N99" s="93">
        <v>1497866</v>
      </c>
      <c r="O99" s="93">
        <v>10620323</v>
      </c>
      <c r="P99" s="93">
        <v>0</v>
      </c>
      <c r="Q99" s="92">
        <v>81811</v>
      </c>
      <c r="R99" s="92"/>
      <c r="S99" s="93">
        <v>1283657</v>
      </c>
      <c r="T99" s="94">
        <v>50317</v>
      </c>
      <c r="U99" s="94">
        <v>1333974</v>
      </c>
      <c r="X99" s="95">
        <v>3.4716999999999999E-3</v>
      </c>
      <c r="Y99" s="96">
        <f t="shared" si="5"/>
        <v>0</v>
      </c>
      <c r="Z99" s="88">
        <f t="shared" si="6"/>
        <v>0</v>
      </c>
      <c r="AB99" s="75">
        <f t="shared" si="7"/>
        <v>-1427274</v>
      </c>
      <c r="AC99" s="75">
        <v>0</v>
      </c>
    </row>
    <row r="100" spans="1:29">
      <c r="A100" s="89">
        <v>32000</v>
      </c>
      <c r="B100" s="90" t="s">
        <v>94</v>
      </c>
      <c r="C100" s="97">
        <v>1.3655E-3</v>
      </c>
      <c r="D100" s="97">
        <v>1.3477999999999999E-3</v>
      </c>
      <c r="E100" s="92">
        <v>1736635.47</v>
      </c>
      <c r="F100" s="92">
        <f t="shared" si="4"/>
        <v>1580189.1707102</v>
      </c>
      <c r="G100" s="92">
        <v>5032138</v>
      </c>
      <c r="H100" s="92"/>
      <c r="I100" s="93">
        <v>0</v>
      </c>
      <c r="J100" s="93">
        <v>3511555</v>
      </c>
      <c r="K100" s="93">
        <v>0</v>
      </c>
      <c r="L100" s="92">
        <v>84872</v>
      </c>
      <c r="M100" s="92"/>
      <c r="N100" s="93">
        <v>572154</v>
      </c>
      <c r="O100" s="93">
        <v>4056745</v>
      </c>
      <c r="P100" s="93">
        <v>0</v>
      </c>
      <c r="Q100" s="92">
        <v>54573</v>
      </c>
      <c r="R100" s="92"/>
      <c r="S100" s="93">
        <v>490331</v>
      </c>
      <c r="T100" s="94">
        <v>3950</v>
      </c>
      <c r="U100" s="94">
        <v>494281</v>
      </c>
      <c r="X100" s="95">
        <v>1.3477999999999999E-3</v>
      </c>
      <c r="Y100" s="96">
        <f t="shared" si="5"/>
        <v>0</v>
      </c>
      <c r="Z100" s="88">
        <f t="shared" si="6"/>
        <v>0</v>
      </c>
      <c r="AB100" s="75">
        <f t="shared" si="7"/>
        <v>-545190</v>
      </c>
      <c r="AC100" s="75">
        <v>0</v>
      </c>
    </row>
    <row r="101" spans="1:29">
      <c r="A101" s="89">
        <v>32005</v>
      </c>
      <c r="B101" s="90" t="s">
        <v>95</v>
      </c>
      <c r="C101" s="97">
        <v>3.4200000000000002E-4</v>
      </c>
      <c r="D101" s="97">
        <v>3.2000000000000003E-4</v>
      </c>
      <c r="E101" s="92">
        <v>438706.42</v>
      </c>
      <c r="F101" s="92">
        <f t="shared" si="4"/>
        <v>375174.75488000002</v>
      </c>
      <c r="G101" s="92">
        <v>1260338</v>
      </c>
      <c r="H101" s="92"/>
      <c r="I101" s="93">
        <v>0</v>
      </c>
      <c r="J101" s="93">
        <v>879496</v>
      </c>
      <c r="K101" s="93">
        <v>0</v>
      </c>
      <c r="L101" s="92">
        <v>168963</v>
      </c>
      <c r="M101" s="92"/>
      <c r="N101" s="93">
        <v>143300</v>
      </c>
      <c r="O101" s="93">
        <v>1016043</v>
      </c>
      <c r="P101" s="93">
        <v>0</v>
      </c>
      <c r="Q101" s="92">
        <v>0</v>
      </c>
      <c r="R101" s="92"/>
      <c r="S101" s="93">
        <v>122807.07</v>
      </c>
      <c r="T101" s="94">
        <v>52535</v>
      </c>
      <c r="U101" s="94">
        <v>175342</v>
      </c>
      <c r="X101" s="95">
        <v>3.2000000000000003E-4</v>
      </c>
      <c r="Y101" s="96">
        <f t="shared" si="5"/>
        <v>0</v>
      </c>
      <c r="Z101" s="88">
        <f t="shared" si="6"/>
        <v>7.0000000006984919E-2</v>
      </c>
      <c r="AB101" s="75">
        <f t="shared" si="7"/>
        <v>-136547</v>
      </c>
      <c r="AC101" s="75">
        <v>-0.51000000000931323</v>
      </c>
    </row>
    <row r="102" spans="1:29">
      <c r="A102" s="89">
        <v>32100</v>
      </c>
      <c r="B102" s="90" t="s">
        <v>96</v>
      </c>
      <c r="C102" s="97">
        <v>9.3099999999999997E-4</v>
      </c>
      <c r="D102" s="97">
        <v>9.6069999999999999E-4</v>
      </c>
      <c r="E102" s="92">
        <v>1165841.2</v>
      </c>
      <c r="F102" s="92">
        <f t="shared" si="4"/>
        <v>1126344.9594163001</v>
      </c>
      <c r="G102" s="92">
        <v>3430919</v>
      </c>
      <c r="H102" s="92"/>
      <c r="I102" s="93">
        <v>0</v>
      </c>
      <c r="J102" s="93">
        <v>2394184</v>
      </c>
      <c r="K102" s="93">
        <v>0</v>
      </c>
      <c r="L102" s="92">
        <v>0</v>
      </c>
      <c r="M102" s="92"/>
      <c r="N102" s="93">
        <v>390096</v>
      </c>
      <c r="O102" s="93">
        <v>2765895</v>
      </c>
      <c r="P102" s="93">
        <v>0</v>
      </c>
      <c r="Q102" s="92">
        <v>177870</v>
      </c>
      <c r="R102" s="92"/>
      <c r="S102" s="93">
        <v>334308</v>
      </c>
      <c r="T102" s="94">
        <v>-52905</v>
      </c>
      <c r="U102" s="94">
        <v>281403</v>
      </c>
      <c r="X102" s="95">
        <v>9.6069999999999999E-4</v>
      </c>
      <c r="Y102" s="96">
        <f t="shared" si="5"/>
        <v>0</v>
      </c>
      <c r="Z102" s="88">
        <f t="shared" si="6"/>
        <v>0</v>
      </c>
      <c r="AB102" s="75">
        <f t="shared" si="7"/>
        <v>-371711</v>
      </c>
      <c r="AC102" s="75">
        <v>-1</v>
      </c>
    </row>
    <row r="103" spans="1:29">
      <c r="A103" s="89">
        <v>32200</v>
      </c>
      <c r="B103" s="90" t="s">
        <v>97</v>
      </c>
      <c r="C103" s="97">
        <v>5.4440000000000001E-4</v>
      </c>
      <c r="D103" s="97">
        <v>5.3689999999999999E-4</v>
      </c>
      <c r="E103" s="92">
        <v>701510.23</v>
      </c>
      <c r="F103" s="92">
        <f t="shared" si="4"/>
        <v>629472.89342209999</v>
      </c>
      <c r="G103" s="92">
        <v>2006222</v>
      </c>
      <c r="H103" s="92"/>
      <c r="I103" s="93">
        <v>0</v>
      </c>
      <c r="J103" s="93">
        <v>1399993</v>
      </c>
      <c r="K103" s="93">
        <v>0</v>
      </c>
      <c r="L103" s="92">
        <v>98537</v>
      </c>
      <c r="M103" s="92"/>
      <c r="N103" s="93">
        <v>228107</v>
      </c>
      <c r="O103" s="93">
        <v>1617350</v>
      </c>
      <c r="P103" s="93">
        <v>0</v>
      </c>
      <c r="Q103" s="92">
        <v>0</v>
      </c>
      <c r="R103" s="92"/>
      <c r="S103" s="93">
        <v>195486</v>
      </c>
      <c r="T103" s="94">
        <v>31827</v>
      </c>
      <c r="U103" s="94">
        <v>227313</v>
      </c>
      <c r="X103" s="95">
        <v>5.3689999999999999E-4</v>
      </c>
      <c r="Y103" s="96">
        <f t="shared" si="5"/>
        <v>0</v>
      </c>
      <c r="Z103" s="88">
        <f t="shared" si="6"/>
        <v>0</v>
      </c>
      <c r="AB103" s="75">
        <f t="shared" si="7"/>
        <v>-217357</v>
      </c>
      <c r="AC103" s="75">
        <v>1</v>
      </c>
    </row>
    <row r="104" spans="1:29">
      <c r="A104" s="89">
        <v>32300</v>
      </c>
      <c r="B104" s="90" t="s">
        <v>98</v>
      </c>
      <c r="C104" s="97">
        <v>6.3115999999999997E-3</v>
      </c>
      <c r="D104" s="97">
        <v>6.3192999999999999E-3</v>
      </c>
      <c r="E104" s="92">
        <v>7632464.1100000003</v>
      </c>
      <c r="F104" s="92">
        <f t="shared" si="4"/>
        <v>7408880.7141036997</v>
      </c>
      <c r="G104" s="92">
        <v>23259496</v>
      </c>
      <c r="H104" s="92"/>
      <c r="I104" s="93">
        <v>0</v>
      </c>
      <c r="J104" s="93">
        <v>16231075</v>
      </c>
      <c r="K104" s="93">
        <v>0</v>
      </c>
      <c r="L104" s="92">
        <v>0</v>
      </c>
      <c r="M104" s="92"/>
      <c r="N104" s="93">
        <v>2644605</v>
      </c>
      <c r="O104" s="93">
        <v>18751044</v>
      </c>
      <c r="P104" s="93">
        <v>0</v>
      </c>
      <c r="Q104" s="92">
        <v>893547</v>
      </c>
      <c r="R104" s="92"/>
      <c r="S104" s="93">
        <v>2266401</v>
      </c>
      <c r="T104" s="94">
        <v>-296193</v>
      </c>
      <c r="U104" s="94">
        <v>1970208</v>
      </c>
      <c r="X104" s="95">
        <v>6.3192999999999999E-3</v>
      </c>
      <c r="Y104" s="96">
        <f t="shared" si="5"/>
        <v>0</v>
      </c>
      <c r="Z104" s="88">
        <f t="shared" si="6"/>
        <v>0</v>
      </c>
      <c r="AB104" s="75">
        <f t="shared" si="7"/>
        <v>-2519969</v>
      </c>
      <c r="AC104" s="75">
        <v>0</v>
      </c>
    </row>
    <row r="105" spans="1:29">
      <c r="A105" s="89">
        <v>32305</v>
      </c>
      <c r="B105" s="90" t="s">
        <v>99</v>
      </c>
      <c r="C105" s="97">
        <v>6.3920000000000003E-4</v>
      </c>
      <c r="D105" s="97">
        <v>6.0700000000000001E-4</v>
      </c>
      <c r="E105" s="92">
        <v>900555.57</v>
      </c>
      <c r="F105" s="92">
        <f t="shared" si="4"/>
        <v>711659.61316299997</v>
      </c>
      <c r="G105" s="92">
        <v>2355579</v>
      </c>
      <c r="H105" s="92"/>
      <c r="I105" s="93">
        <v>0</v>
      </c>
      <c r="J105" s="93">
        <v>1643783</v>
      </c>
      <c r="K105" s="93">
        <v>0</v>
      </c>
      <c r="L105" s="92">
        <v>344274</v>
      </c>
      <c r="M105" s="92"/>
      <c r="N105" s="93">
        <v>267829</v>
      </c>
      <c r="O105" s="93">
        <v>1898990</v>
      </c>
      <c r="P105" s="93">
        <v>0</v>
      </c>
      <c r="Q105" s="92">
        <v>0</v>
      </c>
      <c r="R105" s="92"/>
      <c r="S105" s="93">
        <v>229527</v>
      </c>
      <c r="T105" s="94">
        <v>106331</v>
      </c>
      <c r="U105" s="94">
        <v>335858</v>
      </c>
      <c r="X105" s="95">
        <v>6.0700000000000001E-4</v>
      </c>
      <c r="Y105" s="96">
        <f t="shared" si="5"/>
        <v>0</v>
      </c>
      <c r="Z105" s="88">
        <f t="shared" si="6"/>
        <v>0</v>
      </c>
      <c r="AB105" s="75">
        <f t="shared" si="7"/>
        <v>-255207</v>
      </c>
      <c r="AC105" s="75">
        <v>0</v>
      </c>
    </row>
    <row r="106" spans="1:29">
      <c r="A106" s="89">
        <v>32400</v>
      </c>
      <c r="B106" s="90" t="s">
        <v>100</v>
      </c>
      <c r="C106" s="97">
        <v>2.2606000000000002E-3</v>
      </c>
      <c r="D106" s="97">
        <v>2.2020999999999998E-3</v>
      </c>
      <c r="E106" s="92">
        <v>2979773.83</v>
      </c>
      <c r="F106" s="92">
        <f t="shared" si="4"/>
        <v>2581788.5241288999</v>
      </c>
      <c r="G106" s="92">
        <v>8330759</v>
      </c>
      <c r="H106" s="92"/>
      <c r="I106" s="93">
        <v>0</v>
      </c>
      <c r="J106" s="93">
        <v>5813418</v>
      </c>
      <c r="K106" s="93">
        <v>0</v>
      </c>
      <c r="L106" s="92">
        <v>346162</v>
      </c>
      <c r="M106" s="92"/>
      <c r="N106" s="93">
        <v>947207</v>
      </c>
      <c r="O106" s="93">
        <v>6715985</v>
      </c>
      <c r="P106" s="93">
        <v>0</v>
      </c>
      <c r="Q106" s="92">
        <v>330729</v>
      </c>
      <c r="R106" s="92"/>
      <c r="S106" s="93">
        <v>811748</v>
      </c>
      <c r="T106" s="94">
        <v>-22651</v>
      </c>
      <c r="U106" s="94">
        <v>789096</v>
      </c>
      <c r="X106" s="95">
        <v>2.2020999999999998E-3</v>
      </c>
      <c r="Y106" s="96">
        <f t="shared" si="5"/>
        <v>0</v>
      </c>
      <c r="Z106" s="88">
        <f t="shared" si="6"/>
        <v>1</v>
      </c>
      <c r="AB106" s="75">
        <f t="shared" si="7"/>
        <v>-902567</v>
      </c>
      <c r="AC106" s="75">
        <v>1</v>
      </c>
    </row>
    <row r="107" spans="1:29">
      <c r="A107" s="89">
        <v>32405</v>
      </c>
      <c r="B107" s="90" t="s">
        <v>101</v>
      </c>
      <c r="C107" s="97">
        <v>5.7660000000000003E-4</v>
      </c>
      <c r="D107" s="97">
        <v>6.2040000000000001E-4</v>
      </c>
      <c r="E107" s="92">
        <v>825953.43</v>
      </c>
      <c r="F107" s="92">
        <f t="shared" si="4"/>
        <v>727370.05602360005</v>
      </c>
      <c r="G107" s="92">
        <v>2124885</v>
      </c>
      <c r="H107" s="92"/>
      <c r="I107" s="93">
        <v>0</v>
      </c>
      <c r="J107" s="93">
        <v>1482800</v>
      </c>
      <c r="K107" s="93">
        <v>0</v>
      </c>
      <c r="L107" s="92">
        <v>0</v>
      </c>
      <c r="M107" s="92"/>
      <c r="N107" s="93">
        <v>241599</v>
      </c>
      <c r="O107" s="93">
        <v>1713013</v>
      </c>
      <c r="P107" s="93">
        <v>0</v>
      </c>
      <c r="Q107" s="92">
        <v>151148</v>
      </c>
      <c r="R107" s="92"/>
      <c r="S107" s="93">
        <v>207048</v>
      </c>
      <c r="T107" s="94">
        <v>-45324</v>
      </c>
      <c r="U107" s="94">
        <v>161725</v>
      </c>
      <c r="X107" s="95">
        <v>6.2040000000000001E-4</v>
      </c>
      <c r="Y107" s="96">
        <f t="shared" si="5"/>
        <v>0</v>
      </c>
      <c r="Z107" s="88">
        <f t="shared" si="6"/>
        <v>-1</v>
      </c>
      <c r="AB107" s="75">
        <f t="shared" si="7"/>
        <v>-230213</v>
      </c>
      <c r="AC107" s="75">
        <v>-1</v>
      </c>
    </row>
    <row r="108" spans="1:29">
      <c r="A108" s="89">
        <v>32410</v>
      </c>
      <c r="B108" s="90" t="s">
        <v>102</v>
      </c>
      <c r="C108" s="97">
        <v>8.9840000000000004E-4</v>
      </c>
      <c r="D108" s="97">
        <v>8.6209999999999998E-4</v>
      </c>
      <c r="E108" s="92">
        <v>1179739.27</v>
      </c>
      <c r="F108" s="92">
        <f t="shared" si="4"/>
        <v>1010744.2380689</v>
      </c>
      <c r="G108" s="92">
        <v>3310782</v>
      </c>
      <c r="H108" s="92"/>
      <c r="I108" s="93">
        <v>0</v>
      </c>
      <c r="J108" s="93">
        <v>2310349</v>
      </c>
      <c r="K108" s="93">
        <v>0</v>
      </c>
      <c r="L108" s="92">
        <v>295051</v>
      </c>
      <c r="M108" s="92"/>
      <c r="N108" s="93">
        <v>376436</v>
      </c>
      <c r="O108" s="93">
        <v>2669044</v>
      </c>
      <c r="P108" s="93">
        <v>0</v>
      </c>
      <c r="Q108" s="92">
        <v>0</v>
      </c>
      <c r="R108" s="92"/>
      <c r="S108" s="93">
        <v>322602</v>
      </c>
      <c r="T108" s="94">
        <v>90339</v>
      </c>
      <c r="U108" s="94">
        <v>412941</v>
      </c>
      <c r="X108" s="95">
        <v>8.6209999999999998E-4</v>
      </c>
      <c r="Y108" s="96">
        <f t="shared" si="5"/>
        <v>0</v>
      </c>
      <c r="Z108" s="88">
        <f t="shared" si="6"/>
        <v>0</v>
      </c>
      <c r="AB108" s="75">
        <f t="shared" si="7"/>
        <v>-358695</v>
      </c>
      <c r="AC108" s="75">
        <v>-1</v>
      </c>
    </row>
    <row r="109" spans="1:29">
      <c r="A109" s="89">
        <v>32420</v>
      </c>
      <c r="B109" s="90" t="s">
        <v>103</v>
      </c>
      <c r="C109" s="97">
        <v>2.69E-5</v>
      </c>
      <c r="D109" s="97">
        <v>2.2099999999999998E-5</v>
      </c>
      <c r="E109" s="92"/>
      <c r="F109" s="92">
        <f t="shared" si="4"/>
        <v>25910.506508899998</v>
      </c>
      <c r="G109" s="92">
        <v>99132</v>
      </c>
      <c r="H109" s="92"/>
      <c r="I109" s="93">
        <v>0</v>
      </c>
      <c r="J109" s="93">
        <v>69177</v>
      </c>
      <c r="K109" s="93">
        <v>0</v>
      </c>
      <c r="L109" s="92">
        <v>71736</v>
      </c>
      <c r="M109" s="92"/>
      <c r="N109" s="93">
        <v>11271</v>
      </c>
      <c r="O109" s="93">
        <v>79917</v>
      </c>
      <c r="P109" s="93">
        <v>0</v>
      </c>
      <c r="Q109" s="92">
        <v>6271</v>
      </c>
      <c r="R109" s="92"/>
      <c r="S109" s="93">
        <v>9659</v>
      </c>
      <c r="T109" s="94">
        <v>23974</v>
      </c>
      <c r="U109" s="94">
        <v>33634</v>
      </c>
      <c r="X109" s="95">
        <v>2.2099999999999998E-5</v>
      </c>
      <c r="Y109" s="96">
        <f t="shared" si="5"/>
        <v>0</v>
      </c>
      <c r="Z109" s="88">
        <f t="shared" si="6"/>
        <v>-1</v>
      </c>
      <c r="AB109" s="75">
        <f t="shared" si="7"/>
        <v>-10740</v>
      </c>
      <c r="AC109" s="75">
        <v>1</v>
      </c>
    </row>
    <row r="110" spans="1:29">
      <c r="A110" s="89">
        <v>32500</v>
      </c>
      <c r="B110" s="90" t="s">
        <v>104</v>
      </c>
      <c r="C110" s="97">
        <v>5.0863999999999996E-3</v>
      </c>
      <c r="D110" s="97">
        <v>5.0993000000000002E-3</v>
      </c>
      <c r="E110" s="92">
        <v>6419290.75</v>
      </c>
      <c r="F110" s="92">
        <f t="shared" si="4"/>
        <v>5978526.9611237003</v>
      </c>
      <c r="G110" s="92">
        <v>18744391</v>
      </c>
      <c r="H110" s="92"/>
      <c r="I110" s="93">
        <v>0</v>
      </c>
      <c r="J110" s="93">
        <v>13080318</v>
      </c>
      <c r="K110" s="93">
        <v>0</v>
      </c>
      <c r="L110" s="92">
        <v>0</v>
      </c>
      <c r="M110" s="92"/>
      <c r="N110" s="93">
        <v>2131237</v>
      </c>
      <c r="O110" s="93">
        <v>15111115</v>
      </c>
      <c r="P110" s="93">
        <v>0</v>
      </c>
      <c r="Q110" s="92">
        <v>218014</v>
      </c>
      <c r="R110" s="92"/>
      <c r="S110" s="93">
        <v>1826450</v>
      </c>
      <c r="T110" s="94">
        <v>-73546</v>
      </c>
      <c r="U110" s="94">
        <v>1752904</v>
      </c>
      <c r="X110" s="95">
        <v>5.0993000000000002E-3</v>
      </c>
      <c r="Y110" s="96">
        <f t="shared" si="5"/>
        <v>0</v>
      </c>
      <c r="Z110" s="88">
        <f t="shared" si="6"/>
        <v>0</v>
      </c>
      <c r="AB110" s="75">
        <f t="shared" si="7"/>
        <v>-2030797</v>
      </c>
      <c r="AC110" s="75">
        <v>-2</v>
      </c>
    </row>
    <row r="111" spans="1:29">
      <c r="A111" s="89">
        <v>32505</v>
      </c>
      <c r="B111" s="90" t="s">
        <v>105</v>
      </c>
      <c r="C111" s="97">
        <v>7.4890000000000004E-4</v>
      </c>
      <c r="D111" s="97">
        <v>7.2389999999999998E-4</v>
      </c>
      <c r="E111" s="92">
        <v>973387.64</v>
      </c>
      <c r="F111" s="92">
        <f t="shared" si="4"/>
        <v>848715.64080509997</v>
      </c>
      <c r="G111" s="92">
        <v>2759845</v>
      </c>
      <c r="H111" s="92"/>
      <c r="I111" s="93">
        <v>0</v>
      </c>
      <c r="J111" s="93">
        <v>1925891</v>
      </c>
      <c r="K111" s="93">
        <v>0</v>
      </c>
      <c r="L111" s="92">
        <v>127695</v>
      </c>
      <c r="M111" s="92"/>
      <c r="N111" s="93">
        <v>313794</v>
      </c>
      <c r="O111" s="93">
        <v>2224897</v>
      </c>
      <c r="P111" s="93">
        <v>0</v>
      </c>
      <c r="Q111" s="92">
        <v>86301</v>
      </c>
      <c r="R111" s="92"/>
      <c r="S111" s="93">
        <v>268919</v>
      </c>
      <c r="T111" s="94">
        <v>4440</v>
      </c>
      <c r="U111" s="94">
        <v>273359</v>
      </c>
      <c r="X111" s="95">
        <v>7.2389999999999998E-4</v>
      </c>
      <c r="Y111" s="96">
        <f t="shared" si="5"/>
        <v>0</v>
      </c>
      <c r="Z111" s="88">
        <f t="shared" si="6"/>
        <v>0</v>
      </c>
      <c r="AB111" s="75">
        <f t="shared" si="7"/>
        <v>-299006</v>
      </c>
      <c r="AC111" s="75">
        <v>0</v>
      </c>
    </row>
    <row r="112" spans="1:29">
      <c r="A112" s="89">
        <v>32600</v>
      </c>
      <c r="B112" s="90" t="s">
        <v>106</v>
      </c>
      <c r="C112" s="97">
        <v>1.8608900000000001E-2</v>
      </c>
      <c r="D112" s="97">
        <v>1.8847699999999998E-2</v>
      </c>
      <c r="E112" s="92">
        <v>23076207.75</v>
      </c>
      <c r="F112" s="92">
        <f t="shared" si="4"/>
        <v>22097441.336099297</v>
      </c>
      <c r="G112" s="92">
        <v>68577481</v>
      </c>
      <c r="H112" s="92"/>
      <c r="I112" s="93">
        <v>0</v>
      </c>
      <c r="J112" s="93">
        <v>47855131</v>
      </c>
      <c r="K112" s="93">
        <v>0</v>
      </c>
      <c r="L112" s="92">
        <v>0</v>
      </c>
      <c r="M112" s="92"/>
      <c r="N112" s="93">
        <v>7797259</v>
      </c>
      <c r="O112" s="93">
        <v>55284920</v>
      </c>
      <c r="P112" s="93">
        <v>0</v>
      </c>
      <c r="Q112" s="92">
        <v>3711299</v>
      </c>
      <c r="R112" s="92"/>
      <c r="S112" s="93">
        <v>6682177</v>
      </c>
      <c r="T112" s="94">
        <v>-1221269</v>
      </c>
      <c r="U112" s="94">
        <v>5460908</v>
      </c>
      <c r="X112" s="95">
        <v>1.8847699999999998E-2</v>
      </c>
      <c r="Y112" s="96">
        <f t="shared" si="5"/>
        <v>0</v>
      </c>
      <c r="Z112" s="88">
        <f t="shared" si="6"/>
        <v>0</v>
      </c>
      <c r="AB112" s="75">
        <f t="shared" si="7"/>
        <v>-7429789</v>
      </c>
      <c r="AC112" s="75">
        <v>0</v>
      </c>
    </row>
    <row r="113" spans="1:29">
      <c r="A113" s="89">
        <v>32605</v>
      </c>
      <c r="B113" s="90" t="s">
        <v>107</v>
      </c>
      <c r="C113" s="97">
        <v>2.5182E-3</v>
      </c>
      <c r="D113" s="97">
        <v>2.5192999999999999E-3</v>
      </c>
      <c r="E113" s="92">
        <v>3493914.53</v>
      </c>
      <c r="F113" s="92">
        <f t="shared" si="4"/>
        <v>2953680.4999036998</v>
      </c>
      <c r="G113" s="92">
        <v>9280066</v>
      </c>
      <c r="H113" s="92"/>
      <c r="I113" s="93">
        <v>0</v>
      </c>
      <c r="J113" s="93">
        <v>6475869</v>
      </c>
      <c r="K113" s="93">
        <v>0</v>
      </c>
      <c r="L113" s="92">
        <v>410591</v>
      </c>
      <c r="M113" s="92"/>
      <c r="N113" s="93">
        <v>1055143</v>
      </c>
      <c r="O113" s="93">
        <v>7481285</v>
      </c>
      <c r="P113" s="93">
        <v>0</v>
      </c>
      <c r="Q113" s="92">
        <v>0</v>
      </c>
      <c r="R113" s="92"/>
      <c r="S113" s="93">
        <v>904248</v>
      </c>
      <c r="T113" s="94">
        <v>127483</v>
      </c>
      <c r="U113" s="94">
        <v>1031731</v>
      </c>
      <c r="X113" s="95">
        <v>2.5192999999999999E-3</v>
      </c>
      <c r="Y113" s="96">
        <f t="shared" si="5"/>
        <v>0</v>
      </c>
      <c r="Z113" s="88">
        <f t="shared" si="6"/>
        <v>0</v>
      </c>
      <c r="AB113" s="75">
        <f t="shared" si="7"/>
        <v>-1005416</v>
      </c>
      <c r="AC113" s="75">
        <v>1</v>
      </c>
    </row>
    <row r="114" spans="1:29">
      <c r="A114" s="89">
        <v>32700</v>
      </c>
      <c r="B114" s="90" t="s">
        <v>108</v>
      </c>
      <c r="C114" s="97">
        <v>1.5299000000000001E-3</v>
      </c>
      <c r="D114" s="97">
        <v>1.4691000000000001E-3</v>
      </c>
      <c r="E114" s="92">
        <v>1954786.69</v>
      </c>
      <c r="F114" s="92">
        <f t="shared" si="4"/>
        <v>1722403.8512319</v>
      </c>
      <c r="G114" s="92">
        <v>5637984</v>
      </c>
      <c r="H114" s="92"/>
      <c r="I114" s="93">
        <v>0</v>
      </c>
      <c r="J114" s="93">
        <v>3934331</v>
      </c>
      <c r="K114" s="93">
        <v>0</v>
      </c>
      <c r="L114" s="92">
        <v>332483</v>
      </c>
      <c r="M114" s="92"/>
      <c r="N114" s="93">
        <v>641039</v>
      </c>
      <c r="O114" s="93">
        <v>4545158</v>
      </c>
      <c r="P114" s="93">
        <v>0</v>
      </c>
      <c r="Q114" s="92">
        <v>0</v>
      </c>
      <c r="R114" s="92"/>
      <c r="S114" s="93">
        <v>549364</v>
      </c>
      <c r="T114" s="94">
        <v>96727</v>
      </c>
      <c r="U114" s="94">
        <v>646091</v>
      </c>
      <c r="X114" s="95">
        <v>1.4691000000000001E-3</v>
      </c>
      <c r="Y114" s="96">
        <f t="shared" si="5"/>
        <v>0</v>
      </c>
      <c r="Z114" s="88">
        <f t="shared" si="6"/>
        <v>0</v>
      </c>
      <c r="AB114" s="75">
        <f t="shared" si="7"/>
        <v>-610827</v>
      </c>
      <c r="AC114" s="75">
        <v>0</v>
      </c>
    </row>
    <row r="115" spans="1:29">
      <c r="A115" s="89">
        <v>32800</v>
      </c>
      <c r="B115" s="90" t="s">
        <v>109</v>
      </c>
      <c r="C115" s="97">
        <v>2.1009000000000002E-3</v>
      </c>
      <c r="D115" s="97">
        <v>2.1205999999999998E-3</v>
      </c>
      <c r="E115" s="92">
        <v>2972943.62</v>
      </c>
      <c r="F115" s="92">
        <f t="shared" si="4"/>
        <v>2486236.2037453996</v>
      </c>
      <c r="G115" s="92">
        <v>7742232</v>
      </c>
      <c r="H115" s="92"/>
      <c r="I115" s="93">
        <v>0</v>
      </c>
      <c r="J115" s="93">
        <v>5402729</v>
      </c>
      <c r="K115" s="93">
        <v>0</v>
      </c>
      <c r="L115" s="92">
        <v>248783</v>
      </c>
      <c r="M115" s="92"/>
      <c r="N115" s="93">
        <v>880292</v>
      </c>
      <c r="O115" s="93">
        <v>6241534</v>
      </c>
      <c r="P115" s="93">
        <v>0</v>
      </c>
      <c r="Q115" s="92">
        <v>0</v>
      </c>
      <c r="R115" s="92"/>
      <c r="S115" s="93">
        <v>754402</v>
      </c>
      <c r="T115" s="94">
        <v>75525</v>
      </c>
      <c r="U115" s="94">
        <v>829926</v>
      </c>
      <c r="X115" s="95">
        <v>2.1205999999999998E-3</v>
      </c>
      <c r="Y115" s="96">
        <f t="shared" si="5"/>
        <v>0</v>
      </c>
      <c r="Z115" s="88">
        <f t="shared" si="6"/>
        <v>1</v>
      </c>
      <c r="AB115" s="75">
        <f t="shared" si="7"/>
        <v>-838805</v>
      </c>
      <c r="AC115" s="75">
        <v>1</v>
      </c>
    </row>
    <row r="116" spans="1:29">
      <c r="A116" s="89">
        <v>32900</v>
      </c>
      <c r="B116" s="90" t="s">
        <v>110</v>
      </c>
      <c r="C116" s="97">
        <v>6.5848E-3</v>
      </c>
      <c r="D116" s="97">
        <v>6.5382000000000001E-3</v>
      </c>
      <c r="E116" s="92">
        <v>8118508.4000000004</v>
      </c>
      <c r="F116" s="92">
        <f t="shared" si="4"/>
        <v>7665523.6948638</v>
      </c>
      <c r="G116" s="92">
        <v>24266292</v>
      </c>
      <c r="H116" s="92"/>
      <c r="I116" s="93">
        <v>0</v>
      </c>
      <c r="J116" s="93">
        <v>16933643</v>
      </c>
      <c r="K116" s="93">
        <v>0</v>
      </c>
      <c r="L116" s="92">
        <v>44719</v>
      </c>
      <c r="M116" s="92"/>
      <c r="N116" s="93">
        <v>2759077</v>
      </c>
      <c r="O116" s="93">
        <v>19562690</v>
      </c>
      <c r="P116" s="93">
        <v>0</v>
      </c>
      <c r="Q116" s="92">
        <v>453654</v>
      </c>
      <c r="R116" s="92"/>
      <c r="S116" s="93">
        <v>2364503</v>
      </c>
      <c r="T116" s="94">
        <v>-150212</v>
      </c>
      <c r="U116" s="94">
        <v>2214290</v>
      </c>
      <c r="X116" s="95">
        <v>6.5382000000000001E-3</v>
      </c>
      <c r="Y116" s="96">
        <f t="shared" si="5"/>
        <v>0</v>
      </c>
      <c r="Z116" s="88">
        <f t="shared" si="6"/>
        <v>1</v>
      </c>
      <c r="AB116" s="75">
        <f t="shared" si="7"/>
        <v>-2629047</v>
      </c>
      <c r="AC116" s="75">
        <v>0</v>
      </c>
    </row>
    <row r="117" spans="1:29">
      <c r="A117" s="89">
        <v>32901</v>
      </c>
      <c r="B117" s="90" t="s">
        <v>287</v>
      </c>
      <c r="C117" s="97">
        <v>1.707E-4</v>
      </c>
      <c r="D117" s="97">
        <v>1.8300000000000001E-5</v>
      </c>
      <c r="E117" s="92">
        <v>177902.92</v>
      </c>
      <c r="F117" s="92">
        <f t="shared" si="4"/>
        <v>21455.3062947</v>
      </c>
      <c r="G117" s="92">
        <v>629063</v>
      </c>
      <c r="H117" s="92"/>
      <c r="I117" s="93">
        <v>0</v>
      </c>
      <c r="J117" s="93">
        <v>438977</v>
      </c>
      <c r="K117" s="93">
        <v>0</v>
      </c>
      <c r="L117" s="92">
        <v>680868</v>
      </c>
      <c r="M117" s="92"/>
      <c r="N117" s="93">
        <v>71524</v>
      </c>
      <c r="O117" s="93">
        <v>507130</v>
      </c>
      <c r="P117" s="93">
        <v>0</v>
      </c>
      <c r="Q117" s="92">
        <v>0</v>
      </c>
      <c r="R117" s="92"/>
      <c r="S117" s="93">
        <v>61296</v>
      </c>
      <c r="T117" s="94">
        <v>193902</v>
      </c>
      <c r="U117" s="94">
        <v>255198</v>
      </c>
      <c r="X117" s="95">
        <v>1.8300000000000001E-5</v>
      </c>
      <c r="Y117" s="96">
        <f t="shared" si="5"/>
        <v>0</v>
      </c>
      <c r="Z117" s="88">
        <f t="shared" si="6"/>
        <v>0</v>
      </c>
      <c r="AB117" s="75">
        <f t="shared" si="7"/>
        <v>-68153</v>
      </c>
      <c r="AC117" s="75">
        <v>0</v>
      </c>
    </row>
    <row r="118" spans="1:29">
      <c r="A118" s="89">
        <v>32905</v>
      </c>
      <c r="B118" s="90" t="s">
        <v>111</v>
      </c>
      <c r="C118" s="97">
        <v>9.433E-4</v>
      </c>
      <c r="D118" s="97">
        <v>1.0241E-3</v>
      </c>
      <c r="E118" s="92">
        <v>1247984.42</v>
      </c>
      <c r="F118" s="92">
        <f t="shared" si="4"/>
        <v>1200676.4577269</v>
      </c>
      <c r="G118" s="92">
        <v>3476247</v>
      </c>
      <c r="H118" s="92"/>
      <c r="I118" s="93">
        <v>0</v>
      </c>
      <c r="J118" s="93">
        <v>2425815</v>
      </c>
      <c r="K118" s="93">
        <v>0</v>
      </c>
      <c r="L118" s="92">
        <v>0</v>
      </c>
      <c r="M118" s="92"/>
      <c r="N118" s="93">
        <v>395249</v>
      </c>
      <c r="O118" s="93">
        <v>2802437</v>
      </c>
      <c r="P118" s="93">
        <v>0</v>
      </c>
      <c r="Q118" s="92">
        <v>358561</v>
      </c>
      <c r="R118" s="92"/>
      <c r="S118" s="93">
        <v>338725</v>
      </c>
      <c r="T118" s="94">
        <v>-104302</v>
      </c>
      <c r="U118" s="94">
        <v>234423</v>
      </c>
      <c r="X118" s="95">
        <v>1.0241E-3</v>
      </c>
      <c r="Y118" s="96">
        <f t="shared" si="5"/>
        <v>0</v>
      </c>
      <c r="Z118" s="88">
        <f t="shared" si="6"/>
        <v>0</v>
      </c>
      <c r="AB118" s="75">
        <f t="shared" si="7"/>
        <v>-376622</v>
      </c>
      <c r="AC118" s="75">
        <v>0</v>
      </c>
    </row>
    <row r="119" spans="1:29">
      <c r="A119" s="89">
        <v>32910</v>
      </c>
      <c r="B119" s="90" t="s">
        <v>112</v>
      </c>
      <c r="C119" s="97">
        <v>1.2444999999999999E-3</v>
      </c>
      <c r="D119" s="97">
        <v>1.2997E-3</v>
      </c>
      <c r="E119" s="92">
        <v>1586545.07</v>
      </c>
      <c r="F119" s="92">
        <f t="shared" si="4"/>
        <v>1523795.7153673</v>
      </c>
      <c r="G119" s="92">
        <v>4586229</v>
      </c>
      <c r="H119" s="92"/>
      <c r="I119" s="93">
        <v>0</v>
      </c>
      <c r="J119" s="93">
        <v>3200389</v>
      </c>
      <c r="K119" s="93">
        <v>0</v>
      </c>
      <c r="L119" s="92">
        <v>0</v>
      </c>
      <c r="M119" s="92"/>
      <c r="N119" s="93">
        <v>521454</v>
      </c>
      <c r="O119" s="93">
        <v>3697268</v>
      </c>
      <c r="P119" s="93">
        <v>0</v>
      </c>
      <c r="Q119" s="92">
        <v>274723</v>
      </c>
      <c r="R119" s="92"/>
      <c r="S119" s="93">
        <v>446881</v>
      </c>
      <c r="T119" s="94">
        <v>-80418</v>
      </c>
      <c r="U119" s="94">
        <v>366464</v>
      </c>
      <c r="X119" s="95">
        <v>1.2997E-3</v>
      </c>
      <c r="Y119" s="96">
        <f t="shared" si="5"/>
        <v>0</v>
      </c>
      <c r="Z119" s="88">
        <f t="shared" si="6"/>
        <v>-1</v>
      </c>
      <c r="AB119" s="75">
        <f t="shared" si="7"/>
        <v>-496879</v>
      </c>
      <c r="AC119" s="75">
        <v>1</v>
      </c>
    </row>
    <row r="120" spans="1:29">
      <c r="A120" s="89">
        <v>32920</v>
      </c>
      <c r="B120" s="90" t="s">
        <v>113</v>
      </c>
      <c r="C120" s="97">
        <v>1.0342000000000001E-3</v>
      </c>
      <c r="D120" s="97">
        <v>1.0089000000000001E-3</v>
      </c>
      <c r="E120" s="92">
        <v>1268550.19</v>
      </c>
      <c r="F120" s="92">
        <f t="shared" si="4"/>
        <v>1182855.6568701002</v>
      </c>
      <c r="G120" s="92">
        <v>3811232</v>
      </c>
      <c r="H120" s="92"/>
      <c r="I120" s="93">
        <v>0</v>
      </c>
      <c r="J120" s="93">
        <v>2659576</v>
      </c>
      <c r="K120" s="93">
        <v>0</v>
      </c>
      <c r="L120" s="92">
        <v>78041</v>
      </c>
      <c r="M120" s="92"/>
      <c r="N120" s="93">
        <v>433337</v>
      </c>
      <c r="O120" s="93">
        <v>3072490</v>
      </c>
      <c r="P120" s="93">
        <v>0</v>
      </c>
      <c r="Q120" s="92">
        <v>203200</v>
      </c>
      <c r="R120" s="92"/>
      <c r="S120" s="93">
        <v>371366</v>
      </c>
      <c r="T120" s="94">
        <v>-51214</v>
      </c>
      <c r="U120" s="94">
        <v>320152</v>
      </c>
      <c r="X120" s="95">
        <v>1.0089000000000001E-3</v>
      </c>
      <c r="Y120" s="96">
        <f t="shared" si="5"/>
        <v>0</v>
      </c>
      <c r="Z120" s="88">
        <f t="shared" si="6"/>
        <v>0</v>
      </c>
      <c r="AB120" s="75">
        <f t="shared" si="7"/>
        <v>-412914</v>
      </c>
      <c r="AC120" s="75">
        <v>2</v>
      </c>
    </row>
    <row r="121" spans="1:29">
      <c r="A121" s="89">
        <v>33000</v>
      </c>
      <c r="B121" s="90" t="s">
        <v>114</v>
      </c>
      <c r="C121" s="97">
        <v>2.5566999999999999E-3</v>
      </c>
      <c r="D121" s="97">
        <v>2.5617000000000001E-3</v>
      </c>
      <c r="E121" s="92">
        <v>3073347.31</v>
      </c>
      <c r="F121" s="92">
        <f t="shared" si="4"/>
        <v>3003391.1549253003</v>
      </c>
      <c r="G121" s="92">
        <v>9421946</v>
      </c>
      <c r="H121" s="92"/>
      <c r="I121" s="93">
        <v>0</v>
      </c>
      <c r="J121" s="93">
        <v>6574876</v>
      </c>
      <c r="K121" s="93">
        <v>0</v>
      </c>
      <c r="L121" s="92">
        <v>0</v>
      </c>
      <c r="M121" s="92"/>
      <c r="N121" s="93">
        <v>1071275</v>
      </c>
      <c r="O121" s="93">
        <v>7595664</v>
      </c>
      <c r="P121" s="93">
        <v>0</v>
      </c>
      <c r="Q121" s="92">
        <v>294449</v>
      </c>
      <c r="R121" s="92"/>
      <c r="S121" s="93">
        <v>918073</v>
      </c>
      <c r="T121" s="94">
        <v>-93963</v>
      </c>
      <c r="U121" s="94">
        <v>824110</v>
      </c>
      <c r="X121" s="95">
        <v>2.5617000000000001E-3</v>
      </c>
      <c r="Y121" s="96">
        <f t="shared" si="5"/>
        <v>0</v>
      </c>
      <c r="Z121" s="88">
        <f t="shared" si="6"/>
        <v>0</v>
      </c>
      <c r="AB121" s="75">
        <f t="shared" si="7"/>
        <v>-1020788</v>
      </c>
      <c r="AC121" s="75">
        <v>-1</v>
      </c>
    </row>
    <row r="122" spans="1:29">
      <c r="A122" s="89">
        <v>33001</v>
      </c>
      <c r="B122" s="90" t="s">
        <v>115</v>
      </c>
      <c r="C122" s="97">
        <v>6.0399999999999998E-5</v>
      </c>
      <c r="D122" s="97">
        <v>4.32E-5</v>
      </c>
      <c r="E122" s="92">
        <v>62216.63</v>
      </c>
      <c r="F122" s="92">
        <f t="shared" si="4"/>
        <v>50648.591908800001</v>
      </c>
      <c r="G122" s="92">
        <v>222586</v>
      </c>
      <c r="H122" s="92"/>
      <c r="I122" s="93">
        <v>0</v>
      </c>
      <c r="J122" s="93">
        <v>155326</v>
      </c>
      <c r="K122" s="93">
        <v>0</v>
      </c>
      <c r="L122" s="92">
        <v>141109</v>
      </c>
      <c r="M122" s="92"/>
      <c r="N122" s="93">
        <v>25308</v>
      </c>
      <c r="O122" s="93">
        <v>179442</v>
      </c>
      <c r="P122" s="93">
        <v>0</v>
      </c>
      <c r="Q122" s="92">
        <v>0</v>
      </c>
      <c r="R122" s="92"/>
      <c r="S122" s="93">
        <v>21689</v>
      </c>
      <c r="T122" s="94">
        <v>45543</v>
      </c>
      <c r="U122" s="94">
        <v>67231</v>
      </c>
      <c r="X122" s="95">
        <v>4.32E-5</v>
      </c>
      <c r="Y122" s="96">
        <f t="shared" si="5"/>
        <v>0</v>
      </c>
      <c r="Z122" s="88">
        <f t="shared" si="6"/>
        <v>1</v>
      </c>
      <c r="AB122" s="75">
        <f t="shared" si="7"/>
        <v>-24116</v>
      </c>
      <c r="AC122" s="75">
        <v>-1</v>
      </c>
    </row>
    <row r="123" spans="1:29">
      <c r="A123" s="89">
        <v>33027</v>
      </c>
      <c r="B123" s="90" t="s">
        <v>116</v>
      </c>
      <c r="C123" s="97">
        <v>1.9379999999999999E-4</v>
      </c>
      <c r="D123" s="97">
        <v>1.393E-4</v>
      </c>
      <c r="E123" s="92">
        <v>194016.74</v>
      </c>
      <c r="F123" s="92">
        <f t="shared" si="4"/>
        <v>163318.2604837</v>
      </c>
      <c r="G123" s="92">
        <v>714191</v>
      </c>
      <c r="H123" s="92"/>
      <c r="I123" s="93">
        <v>0</v>
      </c>
      <c r="J123" s="93">
        <v>498381</v>
      </c>
      <c r="K123" s="93">
        <v>0</v>
      </c>
      <c r="L123" s="92">
        <v>301901</v>
      </c>
      <c r="M123" s="92"/>
      <c r="N123" s="93">
        <v>81204</v>
      </c>
      <c r="O123" s="93">
        <v>575758</v>
      </c>
      <c r="P123" s="93">
        <v>0</v>
      </c>
      <c r="Q123" s="92">
        <v>0</v>
      </c>
      <c r="R123" s="92"/>
      <c r="S123" s="93">
        <v>69591</v>
      </c>
      <c r="T123" s="94">
        <v>92651</v>
      </c>
      <c r="U123" s="94">
        <v>162242</v>
      </c>
      <c r="X123" s="95">
        <v>1.393E-4</v>
      </c>
      <c r="Y123" s="96">
        <f t="shared" si="5"/>
        <v>0</v>
      </c>
      <c r="Z123" s="88">
        <f t="shared" si="6"/>
        <v>0</v>
      </c>
      <c r="AB123" s="75">
        <f t="shared" si="7"/>
        <v>-77377</v>
      </c>
      <c r="AC123" s="75">
        <v>0</v>
      </c>
    </row>
    <row r="124" spans="1:29">
      <c r="A124" s="89">
        <v>33100</v>
      </c>
      <c r="B124" s="90" t="s">
        <v>117</v>
      </c>
      <c r="C124" s="97">
        <v>3.6050000000000001E-3</v>
      </c>
      <c r="D124" s="97">
        <v>3.4431000000000002E-3</v>
      </c>
      <c r="E124" s="92">
        <v>4501597.08</v>
      </c>
      <c r="F124" s="92">
        <f t="shared" si="4"/>
        <v>4036763.1203979002</v>
      </c>
      <c r="G124" s="92">
        <v>13285139</v>
      </c>
      <c r="H124" s="92"/>
      <c r="I124" s="93">
        <v>0</v>
      </c>
      <c r="J124" s="93">
        <v>9270712</v>
      </c>
      <c r="K124" s="93">
        <v>0</v>
      </c>
      <c r="L124" s="92">
        <v>1168797</v>
      </c>
      <c r="M124" s="92"/>
      <c r="N124" s="93">
        <v>1510520</v>
      </c>
      <c r="O124" s="93">
        <v>10710044</v>
      </c>
      <c r="P124" s="93">
        <v>0</v>
      </c>
      <c r="Q124" s="92">
        <v>0</v>
      </c>
      <c r="R124" s="92"/>
      <c r="S124" s="93">
        <v>1294501</v>
      </c>
      <c r="T124" s="94">
        <v>366286</v>
      </c>
      <c r="U124" s="94">
        <v>1660788</v>
      </c>
      <c r="X124" s="95">
        <v>3.4431000000000002E-3</v>
      </c>
      <c r="Y124" s="96">
        <f t="shared" si="5"/>
        <v>0</v>
      </c>
      <c r="Z124" s="88">
        <f t="shared" si="6"/>
        <v>-1</v>
      </c>
      <c r="AB124" s="75">
        <f t="shared" si="7"/>
        <v>-1439332</v>
      </c>
      <c r="AC124" s="75">
        <v>-1</v>
      </c>
    </row>
    <row r="125" spans="1:29">
      <c r="A125" s="89">
        <v>33105</v>
      </c>
      <c r="B125" s="90" t="s">
        <v>118</v>
      </c>
      <c r="C125" s="97">
        <v>4.281E-4</v>
      </c>
      <c r="D125" s="97">
        <v>4.616E-4</v>
      </c>
      <c r="E125" s="92">
        <v>584918.04</v>
      </c>
      <c r="F125" s="92">
        <f t="shared" si="4"/>
        <v>541189.58391439996</v>
      </c>
      <c r="G125" s="92">
        <v>1577633</v>
      </c>
      <c r="H125" s="92"/>
      <c r="I125" s="93">
        <v>0</v>
      </c>
      <c r="J125" s="93">
        <v>1100913</v>
      </c>
      <c r="K125" s="93">
        <v>0</v>
      </c>
      <c r="L125" s="92">
        <v>0</v>
      </c>
      <c r="M125" s="92"/>
      <c r="N125" s="93">
        <v>179377</v>
      </c>
      <c r="O125" s="93">
        <v>1271836</v>
      </c>
      <c r="P125" s="93">
        <v>0</v>
      </c>
      <c r="Q125" s="92">
        <v>131062</v>
      </c>
      <c r="R125" s="92"/>
      <c r="S125" s="93">
        <v>153724</v>
      </c>
      <c r="T125" s="94">
        <v>-38261</v>
      </c>
      <c r="U125" s="94">
        <v>115463</v>
      </c>
      <c r="X125" s="95">
        <v>4.616E-4</v>
      </c>
      <c r="Y125" s="96">
        <f t="shared" si="5"/>
        <v>0</v>
      </c>
      <c r="Z125" s="88">
        <f t="shared" si="6"/>
        <v>0</v>
      </c>
      <c r="AB125" s="75">
        <f t="shared" si="7"/>
        <v>-170923</v>
      </c>
      <c r="AC125" s="75">
        <v>-1</v>
      </c>
    </row>
    <row r="126" spans="1:29">
      <c r="A126" s="89">
        <v>33200</v>
      </c>
      <c r="B126" s="90" t="s">
        <v>119</v>
      </c>
      <c r="C126" s="97">
        <v>1.54092E-2</v>
      </c>
      <c r="D126" s="97">
        <v>1.48632E-2</v>
      </c>
      <c r="E126" s="92">
        <v>18774005.129999999</v>
      </c>
      <c r="F126" s="92">
        <f t="shared" si="4"/>
        <v>17425929.4272888</v>
      </c>
      <c r="G126" s="92">
        <v>56785953</v>
      </c>
      <c r="H126" s="92"/>
      <c r="I126" s="93">
        <v>0</v>
      </c>
      <c r="J126" s="93">
        <v>39626699</v>
      </c>
      <c r="K126" s="93">
        <v>0</v>
      </c>
      <c r="L126" s="92">
        <v>1779102</v>
      </c>
      <c r="M126" s="92"/>
      <c r="N126" s="93">
        <v>6456563</v>
      </c>
      <c r="O126" s="93">
        <v>45778977</v>
      </c>
      <c r="P126" s="93">
        <v>0</v>
      </c>
      <c r="Q126" s="92">
        <v>1064956</v>
      </c>
      <c r="R126" s="92"/>
      <c r="S126" s="93">
        <v>5533213</v>
      </c>
      <c r="T126" s="94">
        <v>111121</v>
      </c>
      <c r="U126" s="94">
        <v>5644334</v>
      </c>
      <c r="X126" s="95">
        <v>1.48632E-2</v>
      </c>
      <c r="Y126" s="96">
        <f t="shared" si="5"/>
        <v>0</v>
      </c>
      <c r="Z126" s="88">
        <f t="shared" si="6"/>
        <v>0</v>
      </c>
      <c r="AB126" s="75">
        <f t="shared" si="7"/>
        <v>-6152278</v>
      </c>
      <c r="AC126" s="75">
        <v>0</v>
      </c>
    </row>
    <row r="127" spans="1:29">
      <c r="A127" s="89">
        <v>33202</v>
      </c>
      <c r="B127" s="90" t="s">
        <v>120</v>
      </c>
      <c r="C127" s="97">
        <v>1.5779999999999999E-4</v>
      </c>
      <c r="D127" s="97">
        <v>1.4809999999999999E-4</v>
      </c>
      <c r="E127" s="92">
        <v>173632.84</v>
      </c>
      <c r="F127" s="92">
        <f t="shared" si="4"/>
        <v>173635.56624290001</v>
      </c>
      <c r="G127" s="92">
        <v>581524</v>
      </c>
      <c r="H127" s="92"/>
      <c r="I127" s="93">
        <v>0</v>
      </c>
      <c r="J127" s="93">
        <v>405803</v>
      </c>
      <c r="K127" s="93">
        <v>0</v>
      </c>
      <c r="L127" s="92">
        <v>62262</v>
      </c>
      <c r="M127" s="92"/>
      <c r="N127" s="93">
        <v>66119</v>
      </c>
      <c r="O127" s="93">
        <v>468806</v>
      </c>
      <c r="P127" s="93">
        <v>0</v>
      </c>
      <c r="Q127" s="92">
        <v>0</v>
      </c>
      <c r="R127" s="92"/>
      <c r="S127" s="93">
        <v>56664</v>
      </c>
      <c r="T127" s="94">
        <v>20604</v>
      </c>
      <c r="U127" s="94">
        <v>77268</v>
      </c>
      <c r="X127" s="95">
        <v>1.4809999999999999E-4</v>
      </c>
      <c r="Y127" s="96">
        <f t="shared" si="5"/>
        <v>0</v>
      </c>
      <c r="Z127" s="88">
        <f t="shared" si="6"/>
        <v>0</v>
      </c>
      <c r="AB127" s="75">
        <f t="shared" si="7"/>
        <v>-63003</v>
      </c>
      <c r="AC127" s="75">
        <v>1</v>
      </c>
    </row>
    <row r="128" spans="1:29">
      <c r="A128" s="89">
        <v>33203</v>
      </c>
      <c r="B128" s="90" t="s">
        <v>121</v>
      </c>
      <c r="C128" s="97">
        <v>1.3689999999999999E-4</v>
      </c>
      <c r="D128" s="97">
        <v>1.203E-4</v>
      </c>
      <c r="E128" s="92">
        <v>147123.46</v>
      </c>
      <c r="F128" s="92">
        <f t="shared" si="4"/>
        <v>141042.25941269999</v>
      </c>
      <c r="G128" s="92">
        <v>504504</v>
      </c>
      <c r="H128" s="92"/>
      <c r="I128" s="93">
        <v>0</v>
      </c>
      <c r="J128" s="93">
        <v>352056</v>
      </c>
      <c r="K128" s="93">
        <v>0</v>
      </c>
      <c r="L128" s="92">
        <v>54077</v>
      </c>
      <c r="M128" s="92"/>
      <c r="N128" s="93">
        <v>57362</v>
      </c>
      <c r="O128" s="93">
        <v>406714</v>
      </c>
      <c r="P128" s="93">
        <v>0</v>
      </c>
      <c r="Q128" s="92">
        <v>0</v>
      </c>
      <c r="R128" s="92"/>
      <c r="S128" s="93">
        <v>49159</v>
      </c>
      <c r="T128" s="94">
        <v>15299</v>
      </c>
      <c r="U128" s="94">
        <v>64458</v>
      </c>
      <c r="X128" s="95">
        <v>1.203E-4</v>
      </c>
      <c r="Y128" s="96">
        <f t="shared" si="5"/>
        <v>0</v>
      </c>
      <c r="Z128" s="88">
        <f t="shared" si="6"/>
        <v>0</v>
      </c>
      <c r="AB128" s="75">
        <f t="shared" si="7"/>
        <v>-54658</v>
      </c>
      <c r="AC128" s="75">
        <v>1</v>
      </c>
    </row>
    <row r="129" spans="1:29">
      <c r="A129" s="89">
        <v>33204</v>
      </c>
      <c r="B129" s="90" t="s">
        <v>122</v>
      </c>
      <c r="C129" s="97">
        <v>4.1550000000000002E-4</v>
      </c>
      <c r="D129" s="97">
        <v>4.013E-4</v>
      </c>
      <c r="E129" s="92">
        <v>438419.11</v>
      </c>
      <c r="F129" s="92">
        <f t="shared" si="4"/>
        <v>470492.59104169998</v>
      </c>
      <c r="G129" s="92">
        <v>1531200</v>
      </c>
      <c r="H129" s="92"/>
      <c r="I129" s="93">
        <v>0</v>
      </c>
      <c r="J129" s="93">
        <v>1068511</v>
      </c>
      <c r="K129" s="93">
        <v>0</v>
      </c>
      <c r="L129" s="92">
        <v>0</v>
      </c>
      <c r="M129" s="92"/>
      <c r="N129" s="93">
        <v>174097</v>
      </c>
      <c r="O129" s="93">
        <v>1234403</v>
      </c>
      <c r="P129" s="93">
        <v>0</v>
      </c>
      <c r="Q129" s="92">
        <v>52982</v>
      </c>
      <c r="R129" s="92"/>
      <c r="S129" s="93">
        <v>149200</v>
      </c>
      <c r="T129" s="94">
        <v>-18392</v>
      </c>
      <c r="U129" s="94">
        <v>130808</v>
      </c>
      <c r="X129" s="95">
        <v>4.013E-4</v>
      </c>
      <c r="Y129" s="96">
        <f t="shared" si="5"/>
        <v>0</v>
      </c>
      <c r="Z129" s="88">
        <f t="shared" si="6"/>
        <v>0</v>
      </c>
      <c r="AB129" s="75">
        <f t="shared" si="7"/>
        <v>-165892</v>
      </c>
      <c r="AC129" s="75">
        <v>0</v>
      </c>
    </row>
    <row r="130" spans="1:29">
      <c r="A130" s="89">
        <v>33205</v>
      </c>
      <c r="B130" s="90" t="s">
        <v>123</v>
      </c>
      <c r="C130" s="97">
        <v>1.2324E-3</v>
      </c>
      <c r="D130" s="97">
        <v>1.2283999999999999E-3</v>
      </c>
      <c r="E130" s="92">
        <v>1619084.14</v>
      </c>
      <c r="F130" s="92">
        <f t="shared" si="4"/>
        <v>1440202.0902956</v>
      </c>
      <c r="G130" s="92">
        <v>4541638</v>
      </c>
      <c r="H130" s="92"/>
      <c r="I130" s="93">
        <v>0</v>
      </c>
      <c r="J130" s="93">
        <v>3169272</v>
      </c>
      <c r="K130" s="93">
        <v>0</v>
      </c>
      <c r="L130" s="92">
        <v>94114</v>
      </c>
      <c r="M130" s="92"/>
      <c r="N130" s="93">
        <v>516384</v>
      </c>
      <c r="O130" s="93">
        <v>3661320</v>
      </c>
      <c r="P130" s="93">
        <v>0</v>
      </c>
      <c r="Q130" s="92">
        <v>0</v>
      </c>
      <c r="R130" s="92"/>
      <c r="S130" s="93">
        <v>442536</v>
      </c>
      <c r="T130" s="94">
        <v>28326</v>
      </c>
      <c r="U130" s="94">
        <v>470863</v>
      </c>
      <c r="X130" s="95">
        <v>1.2283999999999999E-3</v>
      </c>
      <c r="Y130" s="96">
        <f t="shared" si="5"/>
        <v>0</v>
      </c>
      <c r="Z130" s="88">
        <f t="shared" si="6"/>
        <v>-1</v>
      </c>
      <c r="AB130" s="75">
        <f t="shared" si="7"/>
        <v>-492048</v>
      </c>
      <c r="AC130" s="75">
        <v>0</v>
      </c>
    </row>
    <row r="131" spans="1:29">
      <c r="A131" s="89">
        <v>33206</v>
      </c>
      <c r="B131" s="90" t="s">
        <v>124</v>
      </c>
      <c r="C131" s="97">
        <v>1.032E-4</v>
      </c>
      <c r="D131" s="97">
        <v>9.8800000000000003E-5</v>
      </c>
      <c r="E131" s="92">
        <v>120344.65</v>
      </c>
      <c r="F131" s="92">
        <f t="shared" ref="F131:F194" si="8">D131*$F$298</f>
        <v>115835.2055692</v>
      </c>
      <c r="G131" s="92">
        <v>380312</v>
      </c>
      <c r="H131" s="92"/>
      <c r="I131" s="93">
        <v>0</v>
      </c>
      <c r="J131" s="93">
        <v>265392</v>
      </c>
      <c r="K131" s="93">
        <v>0</v>
      </c>
      <c r="L131" s="92">
        <v>38984</v>
      </c>
      <c r="M131" s="92"/>
      <c r="N131" s="93">
        <v>43242</v>
      </c>
      <c r="O131" s="93">
        <v>306595</v>
      </c>
      <c r="P131" s="93">
        <v>0</v>
      </c>
      <c r="Q131" s="92">
        <v>0</v>
      </c>
      <c r="R131" s="92"/>
      <c r="S131" s="93">
        <v>37058</v>
      </c>
      <c r="T131" s="94">
        <v>13090</v>
      </c>
      <c r="U131" s="94">
        <v>50148</v>
      </c>
      <c r="X131" s="95">
        <v>9.8800000000000003E-5</v>
      </c>
      <c r="Y131" s="96">
        <f t="shared" si="5"/>
        <v>0</v>
      </c>
      <c r="Z131" s="88">
        <f t="shared" si="6"/>
        <v>0</v>
      </c>
      <c r="AB131" s="75">
        <f t="shared" si="7"/>
        <v>-41203</v>
      </c>
      <c r="AC131" s="75">
        <v>1</v>
      </c>
    </row>
    <row r="132" spans="1:29">
      <c r="A132" s="89">
        <v>33207</v>
      </c>
      <c r="B132" s="90" t="s">
        <v>362</v>
      </c>
      <c r="C132" s="97">
        <v>1.02E-4</v>
      </c>
      <c r="D132" s="97">
        <v>0</v>
      </c>
      <c r="E132" s="92">
        <v>97304.59</v>
      </c>
      <c r="F132" s="92">
        <f t="shared" si="8"/>
        <v>0</v>
      </c>
      <c r="G132" s="92">
        <v>375890</v>
      </c>
      <c r="H132" s="92"/>
      <c r="I132" s="93">
        <v>0</v>
      </c>
      <c r="J132" s="93">
        <v>262306</v>
      </c>
      <c r="K132" s="93">
        <v>0</v>
      </c>
      <c r="L132" s="92">
        <v>407226</v>
      </c>
      <c r="M132" s="92"/>
      <c r="N132" s="93">
        <v>42739</v>
      </c>
      <c r="O132" s="93">
        <v>303030</v>
      </c>
      <c r="P132" s="93">
        <v>0</v>
      </c>
      <c r="Q132" s="92">
        <v>0</v>
      </c>
      <c r="R132" s="92"/>
      <c r="S132" s="93">
        <v>36626.67</v>
      </c>
      <c r="T132" s="94">
        <v>112805</v>
      </c>
      <c r="U132" s="94">
        <v>149432</v>
      </c>
      <c r="X132" s="95" t="e">
        <v>#N/A</v>
      </c>
      <c r="Y132" s="96" t="e">
        <f t="shared" ref="Y132:Y195" si="9">+X132-D132</f>
        <v>#N/A</v>
      </c>
      <c r="Z132" s="88">
        <f t="shared" ref="Z132:Z195" si="10">+S132+T132-U132</f>
        <v>-0.33000000001629815</v>
      </c>
      <c r="AB132" s="75">
        <f t="shared" si="7"/>
        <v>-40724</v>
      </c>
      <c r="AC132" s="75">
        <v>0.69000000000232831</v>
      </c>
    </row>
    <row r="133" spans="1:29">
      <c r="A133" s="89">
        <v>33208</v>
      </c>
      <c r="B133" s="90" t="s">
        <v>363</v>
      </c>
      <c r="C133" s="97">
        <v>3.2299999999999999E-5</v>
      </c>
      <c r="D133" s="97">
        <v>0</v>
      </c>
      <c r="E133" s="92">
        <v>32349.87</v>
      </c>
      <c r="F133" s="92">
        <f t="shared" si="8"/>
        <v>0</v>
      </c>
      <c r="G133" s="92">
        <v>119032</v>
      </c>
      <c r="H133" s="92"/>
      <c r="I133" s="93">
        <v>0</v>
      </c>
      <c r="J133" s="93">
        <v>83064</v>
      </c>
      <c r="K133" s="93">
        <v>0</v>
      </c>
      <c r="L133" s="92">
        <v>130158</v>
      </c>
      <c r="M133" s="92"/>
      <c r="N133" s="93">
        <v>13534</v>
      </c>
      <c r="O133" s="93">
        <v>95960</v>
      </c>
      <c r="P133" s="93">
        <v>0</v>
      </c>
      <c r="Q133" s="92">
        <v>0</v>
      </c>
      <c r="R133" s="92"/>
      <c r="S133" s="93">
        <v>11598</v>
      </c>
      <c r="T133" s="94">
        <v>36055</v>
      </c>
      <c r="U133" s="94">
        <v>47653</v>
      </c>
      <c r="X133" s="95" t="e">
        <v>#N/A</v>
      </c>
      <c r="Y133" s="96" t="e">
        <f t="shared" si="9"/>
        <v>#N/A</v>
      </c>
      <c r="Z133" s="88">
        <f t="shared" si="10"/>
        <v>0</v>
      </c>
      <c r="AB133" s="75">
        <f t="shared" ref="AB133:AB196" si="11">+J133-O133</f>
        <v>-12896</v>
      </c>
      <c r="AC133" s="75">
        <v>1</v>
      </c>
    </row>
    <row r="134" spans="1:29">
      <c r="A134" s="89">
        <v>33209</v>
      </c>
      <c r="B134" s="90" t="s">
        <v>364</v>
      </c>
      <c r="C134" s="97">
        <v>5.7000000000000003E-5</v>
      </c>
      <c r="D134" s="97">
        <v>0</v>
      </c>
      <c r="E134" s="92">
        <v>55724.23</v>
      </c>
      <c r="F134" s="92">
        <f t="shared" si="8"/>
        <v>0</v>
      </c>
      <c r="G134" s="92">
        <v>210056</v>
      </c>
      <c r="H134" s="92"/>
      <c r="I134" s="93">
        <v>0</v>
      </c>
      <c r="J134" s="93">
        <v>146583</v>
      </c>
      <c r="K134" s="93">
        <v>0</v>
      </c>
      <c r="L134" s="92">
        <v>228623</v>
      </c>
      <c r="M134" s="92"/>
      <c r="N134" s="93">
        <v>23883</v>
      </c>
      <c r="O134" s="93">
        <v>169341</v>
      </c>
      <c r="P134" s="93">
        <v>0</v>
      </c>
      <c r="Q134" s="92">
        <v>0</v>
      </c>
      <c r="R134" s="92"/>
      <c r="S134" s="93">
        <v>20468</v>
      </c>
      <c r="T134" s="94">
        <v>63331</v>
      </c>
      <c r="U134" s="94">
        <v>83798</v>
      </c>
      <c r="X134" s="95" t="e">
        <v>#N/A</v>
      </c>
      <c r="Y134" s="96" t="e">
        <f t="shared" si="9"/>
        <v>#N/A</v>
      </c>
      <c r="Z134" s="88">
        <f t="shared" si="10"/>
        <v>1</v>
      </c>
      <c r="AB134" s="75">
        <f t="shared" si="11"/>
        <v>-22758</v>
      </c>
      <c r="AC134" s="75">
        <v>-1</v>
      </c>
    </row>
    <row r="135" spans="1:29">
      <c r="A135" s="89">
        <v>33300</v>
      </c>
      <c r="B135" s="90" t="s">
        <v>125</v>
      </c>
      <c r="C135" s="97">
        <v>2.2807000000000001E-3</v>
      </c>
      <c r="D135" s="97">
        <v>2.2918999999999999E-3</v>
      </c>
      <c r="E135" s="92">
        <v>2909781.2</v>
      </c>
      <c r="F135" s="92">
        <f t="shared" si="8"/>
        <v>2687071.9397171</v>
      </c>
      <c r="G135" s="92">
        <v>8404831</v>
      </c>
      <c r="H135" s="92"/>
      <c r="I135" s="93">
        <v>0</v>
      </c>
      <c r="J135" s="93">
        <v>5865107</v>
      </c>
      <c r="K135" s="93">
        <v>0</v>
      </c>
      <c r="L135" s="92">
        <v>0</v>
      </c>
      <c r="M135" s="92"/>
      <c r="N135" s="93">
        <v>955629</v>
      </c>
      <c r="O135" s="93">
        <v>6775700</v>
      </c>
      <c r="P135" s="93">
        <v>0</v>
      </c>
      <c r="Q135" s="92">
        <v>469350</v>
      </c>
      <c r="R135" s="92"/>
      <c r="S135" s="93">
        <v>818965</v>
      </c>
      <c r="T135" s="94">
        <v>-166302</v>
      </c>
      <c r="U135" s="94">
        <v>652663</v>
      </c>
      <c r="X135" s="95">
        <v>2.2918999999999999E-3</v>
      </c>
      <c r="Y135" s="96">
        <f t="shared" si="9"/>
        <v>0</v>
      </c>
      <c r="Z135" s="88">
        <f t="shared" si="10"/>
        <v>0</v>
      </c>
      <c r="AB135" s="75">
        <f t="shared" si="11"/>
        <v>-910593</v>
      </c>
      <c r="AC135" s="75">
        <v>0</v>
      </c>
    </row>
    <row r="136" spans="1:29">
      <c r="A136" s="89">
        <v>33305</v>
      </c>
      <c r="B136" s="90" t="s">
        <v>126</v>
      </c>
      <c r="C136" s="97">
        <v>6.2299999999999996E-4</v>
      </c>
      <c r="D136" s="97">
        <v>6.4959999999999996E-4</v>
      </c>
      <c r="E136" s="92">
        <v>916180.53</v>
      </c>
      <c r="F136" s="92">
        <f t="shared" si="8"/>
        <v>761604.75240639993</v>
      </c>
      <c r="G136" s="92">
        <v>2295878</v>
      </c>
      <c r="H136" s="92"/>
      <c r="I136" s="93">
        <v>0</v>
      </c>
      <c r="J136" s="93">
        <v>1602123</v>
      </c>
      <c r="K136" s="93">
        <v>0</v>
      </c>
      <c r="L136" s="92">
        <v>0</v>
      </c>
      <c r="M136" s="92"/>
      <c r="N136" s="93">
        <v>261041</v>
      </c>
      <c r="O136" s="93">
        <v>1850862</v>
      </c>
      <c r="P136" s="93">
        <v>0</v>
      </c>
      <c r="Q136" s="92">
        <v>123298</v>
      </c>
      <c r="R136" s="92"/>
      <c r="S136" s="93">
        <v>223710</v>
      </c>
      <c r="T136" s="94">
        <v>-43288</v>
      </c>
      <c r="U136" s="94">
        <v>180422</v>
      </c>
      <c r="X136" s="95">
        <v>6.4959999999999996E-4</v>
      </c>
      <c r="Y136" s="96">
        <f t="shared" si="9"/>
        <v>0</v>
      </c>
      <c r="Z136" s="88">
        <f t="shared" si="10"/>
        <v>0</v>
      </c>
      <c r="AB136" s="75">
        <f t="shared" si="11"/>
        <v>-248739</v>
      </c>
      <c r="AC136" s="75">
        <v>-1</v>
      </c>
    </row>
    <row r="137" spans="1:29">
      <c r="A137" s="89">
        <v>33400</v>
      </c>
      <c r="B137" s="90" t="s">
        <v>127</v>
      </c>
      <c r="C137" s="97">
        <v>2.0228599999999999E-2</v>
      </c>
      <c r="D137" s="97">
        <v>1.9956600000000001E-2</v>
      </c>
      <c r="E137" s="92">
        <v>25562093.620000001</v>
      </c>
      <c r="F137" s="92">
        <f t="shared" si="8"/>
        <v>23397539.103869401</v>
      </c>
      <c r="G137" s="92">
        <v>74546396</v>
      </c>
      <c r="H137" s="92"/>
      <c r="I137" s="93">
        <v>0</v>
      </c>
      <c r="J137" s="93">
        <v>52020394</v>
      </c>
      <c r="K137" s="93">
        <v>0</v>
      </c>
      <c r="L137" s="92">
        <v>1953153</v>
      </c>
      <c r="M137" s="92"/>
      <c r="N137" s="93">
        <v>8475925</v>
      </c>
      <c r="O137" s="93">
        <v>60096865</v>
      </c>
      <c r="P137" s="93">
        <v>0</v>
      </c>
      <c r="Q137" s="92">
        <v>0</v>
      </c>
      <c r="R137" s="92"/>
      <c r="S137" s="93">
        <v>7263787</v>
      </c>
      <c r="T137" s="94">
        <v>604806</v>
      </c>
      <c r="U137" s="94">
        <v>7868593</v>
      </c>
      <c r="X137" s="95">
        <v>1.9956600000000001E-2</v>
      </c>
      <c r="Y137" s="96">
        <f t="shared" si="9"/>
        <v>0</v>
      </c>
      <c r="Z137" s="88">
        <f t="shared" si="10"/>
        <v>0</v>
      </c>
      <c r="AB137" s="75">
        <f t="shared" si="11"/>
        <v>-8076471</v>
      </c>
      <c r="AC137" s="75">
        <v>0</v>
      </c>
    </row>
    <row r="138" spans="1:29">
      <c r="A138" s="89">
        <v>33402</v>
      </c>
      <c r="B138" s="90" t="s">
        <v>128</v>
      </c>
      <c r="C138" s="97">
        <v>1.459E-4</v>
      </c>
      <c r="D138" s="97">
        <v>1.3980000000000001E-4</v>
      </c>
      <c r="E138" s="92">
        <v>145679.1</v>
      </c>
      <c r="F138" s="92">
        <f t="shared" si="8"/>
        <v>163904.47103820002</v>
      </c>
      <c r="G138" s="92">
        <v>537670</v>
      </c>
      <c r="H138" s="92"/>
      <c r="I138" s="93">
        <v>0</v>
      </c>
      <c r="J138" s="93">
        <v>375200</v>
      </c>
      <c r="K138" s="93">
        <v>0</v>
      </c>
      <c r="L138" s="92">
        <v>41152</v>
      </c>
      <c r="M138" s="92"/>
      <c r="N138" s="93">
        <v>61133</v>
      </c>
      <c r="O138" s="93">
        <v>433452</v>
      </c>
      <c r="P138" s="93">
        <v>0</v>
      </c>
      <c r="Q138" s="92">
        <v>4337</v>
      </c>
      <c r="R138" s="92"/>
      <c r="S138" s="93">
        <v>52391</v>
      </c>
      <c r="T138" s="94">
        <v>13548</v>
      </c>
      <c r="U138" s="94">
        <v>65939</v>
      </c>
      <c r="X138" s="95">
        <v>1.3980000000000001E-4</v>
      </c>
      <c r="Y138" s="96">
        <f t="shared" si="9"/>
        <v>0</v>
      </c>
      <c r="Z138" s="88">
        <f t="shared" si="10"/>
        <v>0</v>
      </c>
      <c r="AB138" s="75">
        <f t="shared" si="11"/>
        <v>-58252</v>
      </c>
      <c r="AC138" s="75">
        <v>0</v>
      </c>
    </row>
    <row r="139" spans="1:29">
      <c r="A139" s="89">
        <v>33403</v>
      </c>
      <c r="B139" s="90" t="s">
        <v>288</v>
      </c>
      <c r="C139" s="97">
        <v>0</v>
      </c>
      <c r="D139" s="97">
        <v>0</v>
      </c>
      <c r="E139" s="92"/>
      <c r="F139" s="92">
        <f t="shared" si="8"/>
        <v>0</v>
      </c>
      <c r="G139" s="92">
        <v>0</v>
      </c>
      <c r="H139" s="92"/>
      <c r="I139" s="93">
        <v>0</v>
      </c>
      <c r="J139" s="93">
        <v>0</v>
      </c>
      <c r="K139" s="93">
        <v>0</v>
      </c>
      <c r="L139" s="92">
        <v>0</v>
      </c>
      <c r="M139" s="92"/>
      <c r="N139" s="93">
        <v>0</v>
      </c>
      <c r="O139" s="93">
        <v>0</v>
      </c>
      <c r="P139" s="93">
        <v>0</v>
      </c>
      <c r="Q139" s="92">
        <v>141446</v>
      </c>
      <c r="R139" s="92"/>
      <c r="S139" s="93">
        <v>0</v>
      </c>
      <c r="T139" s="94">
        <v>-50697</v>
      </c>
      <c r="U139" s="94">
        <v>-50697</v>
      </c>
      <c r="X139" s="95">
        <v>0</v>
      </c>
      <c r="Y139" s="96">
        <f t="shared" si="9"/>
        <v>0</v>
      </c>
      <c r="Z139" s="88">
        <f t="shared" si="10"/>
        <v>0</v>
      </c>
      <c r="AB139" s="75">
        <f t="shared" si="11"/>
        <v>0</v>
      </c>
      <c r="AC139" s="75">
        <v>0</v>
      </c>
    </row>
    <row r="140" spans="1:29">
      <c r="A140" s="89">
        <v>33405</v>
      </c>
      <c r="B140" s="90" t="s">
        <v>129</v>
      </c>
      <c r="C140" s="97">
        <v>2.0105000000000001E-3</v>
      </c>
      <c r="D140" s="97">
        <v>2.0503000000000001E-3</v>
      </c>
      <c r="E140" s="92">
        <v>2702853.31</v>
      </c>
      <c r="F140" s="92">
        <f t="shared" si="8"/>
        <v>2403814.9997827001</v>
      </c>
      <c r="G140" s="92">
        <v>7409091</v>
      </c>
      <c r="H140" s="92"/>
      <c r="I140" s="93">
        <v>0</v>
      </c>
      <c r="J140" s="93">
        <v>5170254</v>
      </c>
      <c r="K140" s="93">
        <v>0</v>
      </c>
      <c r="L140" s="92">
        <v>619209</v>
      </c>
      <c r="M140" s="92"/>
      <c r="N140" s="93">
        <v>842414</v>
      </c>
      <c r="O140" s="93">
        <v>5972966</v>
      </c>
      <c r="P140" s="93">
        <v>0</v>
      </c>
      <c r="Q140" s="92">
        <v>39634</v>
      </c>
      <c r="R140" s="92"/>
      <c r="S140" s="93">
        <v>721940</v>
      </c>
      <c r="T140" s="94">
        <v>210960</v>
      </c>
      <c r="U140" s="94">
        <v>932900</v>
      </c>
      <c r="X140" s="95">
        <v>2.0503000000000001E-3</v>
      </c>
      <c r="Y140" s="96">
        <f t="shared" si="9"/>
        <v>0</v>
      </c>
      <c r="Z140" s="88">
        <f t="shared" si="10"/>
        <v>0</v>
      </c>
      <c r="AB140" s="75">
        <f t="shared" si="11"/>
        <v>-802712</v>
      </c>
      <c r="AC140" s="75">
        <v>1</v>
      </c>
    </row>
    <row r="141" spans="1:29">
      <c r="A141" s="98">
        <v>33500</v>
      </c>
      <c r="B141" s="90" t="s">
        <v>130</v>
      </c>
      <c r="C141" s="97">
        <v>3.3027E-3</v>
      </c>
      <c r="D141" s="97">
        <v>3.2431000000000001E-3</v>
      </c>
      <c r="E141" s="92">
        <v>4096526.61</v>
      </c>
      <c r="F141" s="92">
        <f t="shared" si="8"/>
        <v>3802278.8985979003</v>
      </c>
      <c r="G141" s="92">
        <v>12171103</v>
      </c>
      <c r="H141" s="92"/>
      <c r="I141" s="93">
        <v>0</v>
      </c>
      <c r="J141" s="93">
        <v>8493309</v>
      </c>
      <c r="K141" s="93">
        <v>0</v>
      </c>
      <c r="L141" s="92">
        <v>533766</v>
      </c>
      <c r="M141" s="92"/>
      <c r="N141" s="93">
        <v>1383854</v>
      </c>
      <c r="O141" s="93">
        <v>9811945</v>
      </c>
      <c r="P141" s="93">
        <v>0</v>
      </c>
      <c r="Q141" s="92">
        <v>0</v>
      </c>
      <c r="R141" s="92"/>
      <c r="S141" s="93">
        <v>1185950</v>
      </c>
      <c r="T141" s="94">
        <v>175433</v>
      </c>
      <c r="U141" s="94">
        <v>1361383</v>
      </c>
      <c r="X141" s="95">
        <v>3.2431000000000001E-3</v>
      </c>
      <c r="Y141" s="96">
        <f t="shared" si="9"/>
        <v>0</v>
      </c>
      <c r="Z141" s="88">
        <f t="shared" si="10"/>
        <v>0</v>
      </c>
      <c r="AB141" s="75">
        <f t="shared" si="11"/>
        <v>-1318636</v>
      </c>
      <c r="AC141" s="75">
        <v>1</v>
      </c>
    </row>
    <row r="142" spans="1:29">
      <c r="A142" s="98">
        <v>33501</v>
      </c>
      <c r="B142" s="90" t="s">
        <v>131</v>
      </c>
      <c r="C142" s="97">
        <v>6.86E-5</v>
      </c>
      <c r="D142" s="97">
        <v>6.1099999999999994E-5</v>
      </c>
      <c r="E142" s="92">
        <v>72825.36</v>
      </c>
      <c r="F142" s="92">
        <f t="shared" si="8"/>
        <v>71634.929759899998</v>
      </c>
      <c r="G142" s="92">
        <v>252805</v>
      </c>
      <c r="H142" s="92"/>
      <c r="I142" s="93">
        <v>0</v>
      </c>
      <c r="J142" s="93">
        <v>176414</v>
      </c>
      <c r="K142" s="93">
        <v>0</v>
      </c>
      <c r="L142" s="92">
        <v>20962</v>
      </c>
      <c r="M142" s="92"/>
      <c r="N142" s="93">
        <v>28744</v>
      </c>
      <c r="O142" s="93">
        <v>203803</v>
      </c>
      <c r="P142" s="93">
        <v>0</v>
      </c>
      <c r="Q142" s="92">
        <v>16475</v>
      </c>
      <c r="R142" s="92"/>
      <c r="S142" s="93">
        <v>24633</v>
      </c>
      <c r="T142" s="94">
        <v>-98</v>
      </c>
      <c r="U142" s="94">
        <v>24535</v>
      </c>
      <c r="X142" s="95">
        <v>6.1099999999999994E-5</v>
      </c>
      <c r="Y142" s="96">
        <f t="shared" si="9"/>
        <v>0</v>
      </c>
      <c r="Z142" s="88">
        <f t="shared" si="10"/>
        <v>0</v>
      </c>
      <c r="AB142" s="75">
        <f t="shared" si="11"/>
        <v>-27389</v>
      </c>
      <c r="AC142" s="75">
        <v>1</v>
      </c>
    </row>
    <row r="143" spans="1:29">
      <c r="A143" s="98">
        <v>33600</v>
      </c>
      <c r="B143" s="90" t="s">
        <v>132</v>
      </c>
      <c r="C143" s="97">
        <v>1.0561299999999999E-2</v>
      </c>
      <c r="D143" s="97">
        <v>1.03304E-2</v>
      </c>
      <c r="E143" s="92">
        <v>12906117.25</v>
      </c>
      <c r="F143" s="92">
        <f t="shared" si="8"/>
        <v>12111579.024413601</v>
      </c>
      <c r="G143" s="92">
        <v>38920482</v>
      </c>
      <c r="H143" s="92"/>
      <c r="I143" s="93">
        <v>0</v>
      </c>
      <c r="J143" s="93">
        <v>27159714</v>
      </c>
      <c r="K143" s="93">
        <v>0</v>
      </c>
      <c r="L143" s="92">
        <v>642785</v>
      </c>
      <c r="M143" s="92"/>
      <c r="N143" s="93">
        <v>4425259</v>
      </c>
      <c r="O143" s="93">
        <v>31376418</v>
      </c>
      <c r="P143" s="93">
        <v>0</v>
      </c>
      <c r="Q143" s="92">
        <v>604712</v>
      </c>
      <c r="R143" s="92"/>
      <c r="S143" s="93">
        <v>3792404</v>
      </c>
      <c r="T143" s="94">
        <v>-38686</v>
      </c>
      <c r="U143" s="94">
        <v>3753718</v>
      </c>
      <c r="X143" s="95">
        <v>1.03304E-2</v>
      </c>
      <c r="Y143" s="96">
        <f t="shared" si="9"/>
        <v>0</v>
      </c>
      <c r="Z143" s="88">
        <f t="shared" si="10"/>
        <v>0</v>
      </c>
      <c r="AB143" s="75">
        <f t="shared" si="11"/>
        <v>-4216704</v>
      </c>
      <c r="AC143" s="75">
        <v>-1</v>
      </c>
    </row>
    <row r="144" spans="1:29">
      <c r="A144" s="89">
        <v>33605</v>
      </c>
      <c r="B144" s="90" t="s">
        <v>133</v>
      </c>
      <c r="C144" s="97">
        <v>1.4997000000000001E-3</v>
      </c>
      <c r="D144" s="97">
        <v>1.5096E-3</v>
      </c>
      <c r="E144" s="92">
        <v>2044222.08</v>
      </c>
      <c r="F144" s="92">
        <f t="shared" si="8"/>
        <v>1769886.9061464001</v>
      </c>
      <c r="G144" s="92">
        <v>5526691</v>
      </c>
      <c r="H144" s="92"/>
      <c r="I144" s="93">
        <v>0</v>
      </c>
      <c r="J144" s="93">
        <v>3856668</v>
      </c>
      <c r="K144" s="93">
        <v>0</v>
      </c>
      <c r="L144" s="92">
        <v>130303</v>
      </c>
      <c r="M144" s="92"/>
      <c r="N144" s="93">
        <v>628385</v>
      </c>
      <c r="O144" s="93">
        <v>4455438</v>
      </c>
      <c r="P144" s="93">
        <v>0</v>
      </c>
      <c r="Q144" s="92">
        <v>0</v>
      </c>
      <c r="R144" s="92"/>
      <c r="S144" s="93">
        <v>538520</v>
      </c>
      <c r="T144" s="94">
        <v>40500</v>
      </c>
      <c r="U144" s="94">
        <v>579019</v>
      </c>
      <c r="X144" s="95">
        <v>1.5096E-3</v>
      </c>
      <c r="Y144" s="96">
        <f t="shared" si="9"/>
        <v>0</v>
      </c>
      <c r="Z144" s="88">
        <f t="shared" si="10"/>
        <v>1</v>
      </c>
      <c r="AB144" s="75">
        <f t="shared" si="11"/>
        <v>-598770</v>
      </c>
      <c r="AC144" s="75">
        <v>-1</v>
      </c>
    </row>
    <row r="145" spans="1:29">
      <c r="A145" s="89">
        <v>33700</v>
      </c>
      <c r="B145" s="90" t="s">
        <v>134</v>
      </c>
      <c r="C145" s="97">
        <v>8.1840000000000005E-4</v>
      </c>
      <c r="D145" s="97">
        <v>8.1209999999999995E-4</v>
      </c>
      <c r="E145" s="92">
        <v>1017503.02</v>
      </c>
      <c r="F145" s="92">
        <f t="shared" si="8"/>
        <v>952123.18261889997</v>
      </c>
      <c r="G145" s="92">
        <v>3015966</v>
      </c>
      <c r="H145" s="92"/>
      <c r="I145" s="93">
        <v>0</v>
      </c>
      <c r="J145" s="93">
        <v>2104619</v>
      </c>
      <c r="K145" s="93">
        <v>0</v>
      </c>
      <c r="L145" s="92">
        <v>42779</v>
      </c>
      <c r="M145" s="92"/>
      <c r="N145" s="93">
        <v>342915</v>
      </c>
      <c r="O145" s="93">
        <v>2431373</v>
      </c>
      <c r="P145" s="93">
        <v>0</v>
      </c>
      <c r="Q145" s="92">
        <v>0</v>
      </c>
      <c r="R145" s="92"/>
      <c r="S145" s="93">
        <v>293875</v>
      </c>
      <c r="T145" s="94">
        <v>14164</v>
      </c>
      <c r="U145" s="94">
        <v>308040</v>
      </c>
      <c r="X145" s="95">
        <v>8.1209999999999995E-4</v>
      </c>
      <c r="Y145" s="96">
        <f t="shared" si="9"/>
        <v>0</v>
      </c>
      <c r="Z145" s="88">
        <f t="shared" si="10"/>
        <v>-1</v>
      </c>
      <c r="AB145" s="75">
        <f t="shared" si="11"/>
        <v>-326754</v>
      </c>
      <c r="AC145" s="75">
        <v>1</v>
      </c>
    </row>
    <row r="146" spans="1:29">
      <c r="A146" s="89">
        <v>33800</v>
      </c>
      <c r="B146" s="90" t="s">
        <v>135</v>
      </c>
      <c r="C146" s="97">
        <v>5.754E-4</v>
      </c>
      <c r="D146" s="97">
        <v>5.5900000000000004E-4</v>
      </c>
      <c r="E146" s="92">
        <v>728512.41</v>
      </c>
      <c r="F146" s="92">
        <f t="shared" si="8"/>
        <v>655383.39993100008</v>
      </c>
      <c r="G146" s="92">
        <v>2120463</v>
      </c>
      <c r="H146" s="92"/>
      <c r="I146" s="93">
        <v>0</v>
      </c>
      <c r="J146" s="93">
        <v>1479714</v>
      </c>
      <c r="K146" s="93">
        <v>0</v>
      </c>
      <c r="L146" s="92">
        <v>71055</v>
      </c>
      <c r="M146" s="92"/>
      <c r="N146" s="93">
        <v>241097</v>
      </c>
      <c r="O146" s="93">
        <v>1709448</v>
      </c>
      <c r="P146" s="93">
        <v>0</v>
      </c>
      <c r="Q146" s="92">
        <v>28755</v>
      </c>
      <c r="R146" s="92"/>
      <c r="S146" s="93">
        <v>206618</v>
      </c>
      <c r="T146" s="94">
        <v>9377</v>
      </c>
      <c r="U146" s="94">
        <v>215994</v>
      </c>
      <c r="X146" s="95">
        <v>5.5900000000000004E-4</v>
      </c>
      <c r="Y146" s="96">
        <f t="shared" si="9"/>
        <v>0</v>
      </c>
      <c r="Z146" s="88">
        <f t="shared" si="10"/>
        <v>1</v>
      </c>
      <c r="AB146" s="75">
        <f t="shared" si="11"/>
        <v>-229734</v>
      </c>
      <c r="AC146" s="75">
        <v>0</v>
      </c>
    </row>
    <row r="147" spans="1:29">
      <c r="A147" s="89">
        <v>33900</v>
      </c>
      <c r="B147" s="90" t="s">
        <v>136</v>
      </c>
      <c r="C147" s="97">
        <v>2.9675999999999999E-3</v>
      </c>
      <c r="D147" s="97">
        <v>3.0404E-3</v>
      </c>
      <c r="E147" s="92">
        <v>3731731.74</v>
      </c>
      <c r="F147" s="92">
        <f t="shared" si="8"/>
        <v>3564629.1398036</v>
      </c>
      <c r="G147" s="92">
        <v>10936194</v>
      </c>
      <c r="H147" s="92"/>
      <c r="I147" s="93">
        <v>0</v>
      </c>
      <c r="J147" s="93">
        <v>7631557</v>
      </c>
      <c r="K147" s="93">
        <v>0</v>
      </c>
      <c r="L147" s="92">
        <v>0</v>
      </c>
      <c r="M147" s="92"/>
      <c r="N147" s="93">
        <v>1243445</v>
      </c>
      <c r="O147" s="93">
        <v>8816401</v>
      </c>
      <c r="P147" s="93">
        <v>0</v>
      </c>
      <c r="Q147" s="92">
        <v>487731</v>
      </c>
      <c r="R147" s="92"/>
      <c r="S147" s="93">
        <v>1065621</v>
      </c>
      <c r="T147" s="94">
        <v>-148770</v>
      </c>
      <c r="U147" s="94">
        <v>916851</v>
      </c>
      <c r="X147" s="95">
        <v>3.0404E-3</v>
      </c>
      <c r="Y147" s="96">
        <f t="shared" si="9"/>
        <v>0</v>
      </c>
      <c r="Z147" s="88">
        <f t="shared" si="10"/>
        <v>0</v>
      </c>
      <c r="AB147" s="75">
        <f t="shared" si="11"/>
        <v>-1184844</v>
      </c>
      <c r="AC147" s="75">
        <v>1</v>
      </c>
    </row>
    <row r="148" spans="1:29">
      <c r="A148" s="89">
        <v>34000</v>
      </c>
      <c r="B148" s="90" t="s">
        <v>137</v>
      </c>
      <c r="C148" s="97">
        <v>1.3382999999999999E-3</v>
      </c>
      <c r="D148" s="97">
        <v>1.3651E-3</v>
      </c>
      <c r="E148" s="92">
        <v>1574249.23</v>
      </c>
      <c r="F148" s="92">
        <f t="shared" si="8"/>
        <v>1600472.0558958999</v>
      </c>
      <c r="G148" s="92">
        <v>4931900</v>
      </c>
      <c r="H148" s="92"/>
      <c r="I148" s="93">
        <v>0</v>
      </c>
      <c r="J148" s="93">
        <v>3441607</v>
      </c>
      <c r="K148" s="93">
        <v>0</v>
      </c>
      <c r="L148" s="92">
        <v>0</v>
      </c>
      <c r="M148" s="92"/>
      <c r="N148" s="93">
        <v>560757</v>
      </c>
      <c r="O148" s="93">
        <v>3975937</v>
      </c>
      <c r="P148" s="93">
        <v>0</v>
      </c>
      <c r="Q148" s="92">
        <v>382178</v>
      </c>
      <c r="R148" s="92"/>
      <c r="S148" s="93">
        <v>480563</v>
      </c>
      <c r="T148" s="94">
        <v>-120388</v>
      </c>
      <c r="U148" s="94">
        <v>360175</v>
      </c>
      <c r="X148" s="95">
        <v>1.3651E-3</v>
      </c>
      <c r="Y148" s="96">
        <f t="shared" si="9"/>
        <v>0</v>
      </c>
      <c r="Z148" s="88">
        <f t="shared" si="10"/>
        <v>0</v>
      </c>
      <c r="AB148" s="75">
        <f t="shared" si="11"/>
        <v>-534330</v>
      </c>
      <c r="AC148" s="75">
        <v>0</v>
      </c>
    </row>
    <row r="149" spans="1:29">
      <c r="A149" s="89">
        <v>34100</v>
      </c>
      <c r="B149" s="90" t="s">
        <v>138</v>
      </c>
      <c r="C149" s="97">
        <v>3.0440399999999999E-2</v>
      </c>
      <c r="D149" s="97">
        <v>3.0515500000000001E-2</v>
      </c>
      <c r="E149" s="92">
        <v>36382920.939999998</v>
      </c>
      <c r="F149" s="92">
        <f t="shared" si="8"/>
        <v>35777016.351689503</v>
      </c>
      <c r="G149" s="92">
        <v>112178901</v>
      </c>
      <c r="H149" s="92"/>
      <c r="I149" s="93">
        <v>0</v>
      </c>
      <c r="J149" s="93">
        <v>78281324</v>
      </c>
      <c r="K149" s="93">
        <v>0</v>
      </c>
      <c r="L149" s="92">
        <v>538259</v>
      </c>
      <c r="M149" s="92"/>
      <c r="N149" s="93">
        <v>12754741</v>
      </c>
      <c r="O149" s="93">
        <v>90434958</v>
      </c>
      <c r="P149" s="93">
        <v>0</v>
      </c>
      <c r="Q149" s="92">
        <v>1921980</v>
      </c>
      <c r="R149" s="92"/>
      <c r="S149" s="93">
        <v>10930691</v>
      </c>
      <c r="T149" s="94">
        <v>-339480</v>
      </c>
      <c r="U149" s="94">
        <v>10591211</v>
      </c>
      <c r="X149" s="95">
        <v>3.0515500000000001E-2</v>
      </c>
      <c r="Y149" s="96">
        <f t="shared" si="9"/>
        <v>0</v>
      </c>
      <c r="Z149" s="88">
        <f t="shared" si="10"/>
        <v>0</v>
      </c>
      <c r="AB149" s="75">
        <f t="shared" si="11"/>
        <v>-12153634</v>
      </c>
      <c r="AC149" s="75">
        <v>0</v>
      </c>
    </row>
    <row r="150" spans="1:29">
      <c r="A150" s="89">
        <v>34105</v>
      </c>
      <c r="B150" s="90" t="s">
        <v>139</v>
      </c>
      <c r="C150" s="97">
        <v>2.6684E-3</v>
      </c>
      <c r="D150" s="97">
        <v>2.6936E-3</v>
      </c>
      <c r="E150" s="92">
        <v>3420790.86</v>
      </c>
      <c r="F150" s="92">
        <f t="shared" si="8"/>
        <v>3158033.4992024</v>
      </c>
      <c r="G150" s="92">
        <v>9833582</v>
      </c>
      <c r="H150" s="92"/>
      <c r="I150" s="93">
        <v>0</v>
      </c>
      <c r="J150" s="93">
        <v>6862127</v>
      </c>
      <c r="K150" s="93">
        <v>0</v>
      </c>
      <c r="L150" s="92">
        <v>0</v>
      </c>
      <c r="M150" s="92"/>
      <c r="N150" s="93">
        <v>1118078</v>
      </c>
      <c r="O150" s="93">
        <v>7927512</v>
      </c>
      <c r="P150" s="93">
        <v>0</v>
      </c>
      <c r="Q150" s="92">
        <v>134124</v>
      </c>
      <c r="R150" s="92"/>
      <c r="S150" s="93">
        <v>958182</v>
      </c>
      <c r="T150" s="94">
        <v>-42696</v>
      </c>
      <c r="U150" s="94">
        <v>915486</v>
      </c>
      <c r="X150" s="95">
        <v>2.6936E-3</v>
      </c>
      <c r="Y150" s="96">
        <f t="shared" si="9"/>
        <v>0</v>
      </c>
      <c r="Z150" s="88">
        <f t="shared" si="10"/>
        <v>0</v>
      </c>
      <c r="AB150" s="75">
        <f t="shared" si="11"/>
        <v>-1065385</v>
      </c>
      <c r="AC150" s="75">
        <v>0</v>
      </c>
    </row>
    <row r="151" spans="1:29">
      <c r="A151" s="89">
        <v>34200</v>
      </c>
      <c r="B151" s="90" t="s">
        <v>140</v>
      </c>
      <c r="C151" s="97">
        <v>1.3571E-3</v>
      </c>
      <c r="D151" s="97">
        <v>1.4737999999999999E-3</v>
      </c>
      <c r="E151" s="92">
        <v>1792150.78</v>
      </c>
      <c r="F151" s="92">
        <f t="shared" si="8"/>
        <v>1727914.2304441999</v>
      </c>
      <c r="G151" s="92">
        <v>5001182</v>
      </c>
      <c r="H151" s="92"/>
      <c r="I151" s="93">
        <v>0</v>
      </c>
      <c r="J151" s="93">
        <v>3489954</v>
      </c>
      <c r="K151" s="93">
        <v>0</v>
      </c>
      <c r="L151" s="92">
        <v>0</v>
      </c>
      <c r="M151" s="92"/>
      <c r="N151" s="93">
        <v>568634</v>
      </c>
      <c r="O151" s="93">
        <v>4031789</v>
      </c>
      <c r="P151" s="93">
        <v>0</v>
      </c>
      <c r="Q151" s="92">
        <v>773223</v>
      </c>
      <c r="R151" s="92"/>
      <c r="S151" s="93">
        <v>487314</v>
      </c>
      <c r="T151" s="94">
        <v>-241937</v>
      </c>
      <c r="U151" s="94">
        <v>245377</v>
      </c>
      <c r="X151" s="95">
        <v>1.4737999999999999E-3</v>
      </c>
      <c r="Y151" s="96">
        <f t="shared" si="9"/>
        <v>0</v>
      </c>
      <c r="Z151" s="88">
        <f t="shared" si="10"/>
        <v>0</v>
      </c>
      <c r="AB151" s="75">
        <f t="shared" si="11"/>
        <v>-541835</v>
      </c>
      <c r="AC151" s="75">
        <v>2</v>
      </c>
    </row>
    <row r="152" spans="1:29">
      <c r="A152" s="89">
        <v>34205</v>
      </c>
      <c r="B152" s="90" t="s">
        <v>141</v>
      </c>
      <c r="C152" s="97">
        <v>4.8720000000000002E-4</v>
      </c>
      <c r="D152" s="97">
        <v>5.1329999999999995E-4</v>
      </c>
      <c r="E152" s="92">
        <v>693867.12</v>
      </c>
      <c r="F152" s="92">
        <f t="shared" si="8"/>
        <v>601803.75524969993</v>
      </c>
      <c r="G152" s="92">
        <v>1795428</v>
      </c>
      <c r="H152" s="92"/>
      <c r="I152" s="93">
        <v>0</v>
      </c>
      <c r="J152" s="93">
        <v>1252896</v>
      </c>
      <c r="K152" s="93">
        <v>0</v>
      </c>
      <c r="L152" s="92">
        <v>0</v>
      </c>
      <c r="M152" s="92"/>
      <c r="N152" s="93">
        <v>204140</v>
      </c>
      <c r="O152" s="93">
        <v>1447416</v>
      </c>
      <c r="P152" s="93">
        <v>0</v>
      </c>
      <c r="Q152" s="92">
        <v>58985</v>
      </c>
      <c r="R152" s="92"/>
      <c r="S152" s="93">
        <v>174946</v>
      </c>
      <c r="T152" s="94">
        <v>-17167</v>
      </c>
      <c r="U152" s="94">
        <v>157779</v>
      </c>
      <c r="X152" s="95">
        <v>5.1329999999999995E-4</v>
      </c>
      <c r="Y152" s="96">
        <f t="shared" si="9"/>
        <v>0</v>
      </c>
      <c r="Z152" s="88">
        <f t="shared" si="10"/>
        <v>0</v>
      </c>
      <c r="AB152" s="75">
        <f t="shared" si="11"/>
        <v>-194520</v>
      </c>
      <c r="AC152" s="75">
        <v>0</v>
      </c>
    </row>
    <row r="153" spans="1:29">
      <c r="A153" s="89">
        <v>34220</v>
      </c>
      <c r="B153" s="90" t="s">
        <v>142</v>
      </c>
      <c r="C153" s="97">
        <v>1.0639E-3</v>
      </c>
      <c r="D153" s="97">
        <v>1.0799E-3</v>
      </c>
      <c r="E153" s="92">
        <v>1457514.37</v>
      </c>
      <c r="F153" s="92">
        <f t="shared" si="8"/>
        <v>1266097.5556091</v>
      </c>
      <c r="G153" s="92">
        <v>3920682</v>
      </c>
      <c r="H153" s="92"/>
      <c r="I153" s="93">
        <v>0</v>
      </c>
      <c r="J153" s="93">
        <v>2735953</v>
      </c>
      <c r="K153" s="93">
        <v>0</v>
      </c>
      <c r="L153" s="92">
        <v>21787</v>
      </c>
      <c r="M153" s="92"/>
      <c r="N153" s="93">
        <v>445782</v>
      </c>
      <c r="O153" s="93">
        <v>3160726</v>
      </c>
      <c r="P153" s="93">
        <v>0</v>
      </c>
      <c r="Q153" s="92">
        <v>19129</v>
      </c>
      <c r="R153" s="92"/>
      <c r="S153" s="93">
        <v>382031</v>
      </c>
      <c r="T153" s="94">
        <v>-821</v>
      </c>
      <c r="U153" s="94">
        <v>381209</v>
      </c>
      <c r="X153" s="95">
        <v>1.0799E-3</v>
      </c>
      <c r="Y153" s="96">
        <f t="shared" si="9"/>
        <v>0</v>
      </c>
      <c r="Z153" s="88">
        <f t="shared" si="10"/>
        <v>1</v>
      </c>
      <c r="AB153" s="75">
        <f t="shared" si="11"/>
        <v>-424773</v>
      </c>
      <c r="AC153" s="75">
        <v>-1</v>
      </c>
    </row>
    <row r="154" spans="1:29">
      <c r="A154" s="89">
        <v>34230</v>
      </c>
      <c r="B154" s="90" t="s">
        <v>143</v>
      </c>
      <c r="C154" s="97">
        <v>4.9819999999999997E-4</v>
      </c>
      <c r="D154" s="97">
        <v>5.0379999999999999E-4</v>
      </c>
      <c r="E154" s="92">
        <v>644112.06000000006</v>
      </c>
      <c r="F154" s="92">
        <f t="shared" si="8"/>
        <v>590665.75471420004</v>
      </c>
      <c r="G154" s="92">
        <v>1835966</v>
      </c>
      <c r="H154" s="92"/>
      <c r="I154" s="93">
        <v>0</v>
      </c>
      <c r="J154" s="93">
        <v>1281184</v>
      </c>
      <c r="K154" s="93">
        <v>0</v>
      </c>
      <c r="L154" s="92">
        <v>1854</v>
      </c>
      <c r="M154" s="92"/>
      <c r="N154" s="93">
        <v>208749</v>
      </c>
      <c r="O154" s="93">
        <v>1480095</v>
      </c>
      <c r="P154" s="93">
        <v>0</v>
      </c>
      <c r="Q154" s="92">
        <v>11862</v>
      </c>
      <c r="R154" s="92"/>
      <c r="S154" s="93">
        <v>178896</v>
      </c>
      <c r="T154" s="94">
        <v>-2621</v>
      </c>
      <c r="U154" s="94">
        <v>176275</v>
      </c>
      <c r="X154" s="95">
        <v>5.0379999999999999E-4</v>
      </c>
      <c r="Y154" s="96">
        <f t="shared" si="9"/>
        <v>0</v>
      </c>
      <c r="Z154" s="88">
        <f t="shared" si="10"/>
        <v>0</v>
      </c>
      <c r="AB154" s="75">
        <f t="shared" si="11"/>
        <v>-198911</v>
      </c>
      <c r="AC154" s="75">
        <v>0</v>
      </c>
    </row>
    <row r="155" spans="1:29">
      <c r="A155" s="89">
        <v>34300</v>
      </c>
      <c r="B155" s="90" t="s">
        <v>144</v>
      </c>
      <c r="C155" s="97">
        <v>7.0587000000000002E-3</v>
      </c>
      <c r="D155" s="97">
        <v>7.3239999999999998E-3</v>
      </c>
      <c r="E155" s="92">
        <v>8337588.6600000001</v>
      </c>
      <c r="F155" s="92">
        <f t="shared" si="8"/>
        <v>8586812.2023159992</v>
      </c>
      <c r="G155" s="92">
        <v>26012707</v>
      </c>
      <c r="H155" s="92"/>
      <c r="I155" s="93">
        <v>0</v>
      </c>
      <c r="J155" s="93">
        <v>18152336</v>
      </c>
      <c r="K155" s="93">
        <v>0</v>
      </c>
      <c r="L155" s="92">
        <v>1199977</v>
      </c>
      <c r="M155" s="92"/>
      <c r="N155" s="93">
        <v>2957645</v>
      </c>
      <c r="O155" s="93">
        <v>20970593</v>
      </c>
      <c r="P155" s="93">
        <v>0</v>
      </c>
      <c r="Q155" s="92">
        <v>1572835</v>
      </c>
      <c r="R155" s="92"/>
      <c r="S155" s="93">
        <v>2534673</v>
      </c>
      <c r="T155" s="94">
        <v>-5589</v>
      </c>
      <c r="U155" s="94">
        <v>2529084</v>
      </c>
      <c r="X155" s="95">
        <v>7.3239999999999998E-3</v>
      </c>
      <c r="Y155" s="96">
        <f t="shared" si="9"/>
        <v>0</v>
      </c>
      <c r="Z155" s="88">
        <f t="shared" si="10"/>
        <v>0</v>
      </c>
      <c r="AB155" s="75">
        <f t="shared" si="11"/>
        <v>-2818257</v>
      </c>
      <c r="AC155" s="75">
        <v>0</v>
      </c>
    </row>
    <row r="156" spans="1:29">
      <c r="A156" s="89">
        <v>34400</v>
      </c>
      <c r="B156" s="90" t="s">
        <v>145</v>
      </c>
      <c r="C156" s="97">
        <v>2.9892E-3</v>
      </c>
      <c r="D156" s="97">
        <v>2.9393000000000002E-3</v>
      </c>
      <c r="E156" s="92">
        <v>3653683.44</v>
      </c>
      <c r="F156" s="92">
        <f t="shared" si="8"/>
        <v>3446097.3656837</v>
      </c>
      <c r="G156" s="92">
        <v>11015794</v>
      </c>
      <c r="H156" s="92"/>
      <c r="I156" s="93">
        <v>0</v>
      </c>
      <c r="J156" s="93">
        <v>7687104</v>
      </c>
      <c r="K156" s="93">
        <v>0</v>
      </c>
      <c r="L156" s="92">
        <v>117147</v>
      </c>
      <c r="M156" s="92"/>
      <c r="N156" s="93">
        <v>1252496</v>
      </c>
      <c r="O156" s="93">
        <v>8880572</v>
      </c>
      <c r="P156" s="93">
        <v>0</v>
      </c>
      <c r="Q156" s="92">
        <v>151027</v>
      </c>
      <c r="R156" s="92"/>
      <c r="S156" s="93">
        <v>1073377</v>
      </c>
      <c r="T156" s="94">
        <v>-21681</v>
      </c>
      <c r="U156" s="94">
        <v>1051696</v>
      </c>
      <c r="X156" s="95">
        <v>2.9393000000000002E-3</v>
      </c>
      <c r="Y156" s="96">
        <f t="shared" si="9"/>
        <v>0</v>
      </c>
      <c r="Z156" s="88">
        <f t="shared" si="10"/>
        <v>0</v>
      </c>
      <c r="AB156" s="75">
        <f t="shared" si="11"/>
        <v>-1193468</v>
      </c>
      <c r="AC156" s="75">
        <v>-1</v>
      </c>
    </row>
    <row r="157" spans="1:29">
      <c r="A157" s="89">
        <v>34405</v>
      </c>
      <c r="B157" s="90" t="s">
        <v>146</v>
      </c>
      <c r="C157" s="97">
        <v>6.3489999999999998E-4</v>
      </c>
      <c r="D157" s="97">
        <v>6.2859999999999999E-4</v>
      </c>
      <c r="E157" s="92">
        <v>778436.5</v>
      </c>
      <c r="F157" s="92">
        <f t="shared" si="8"/>
        <v>736983.90911739995</v>
      </c>
      <c r="G157" s="92">
        <v>2339732</v>
      </c>
      <c r="H157" s="92"/>
      <c r="I157" s="93">
        <v>0</v>
      </c>
      <c r="J157" s="93">
        <v>1632725</v>
      </c>
      <c r="K157" s="93">
        <v>0</v>
      </c>
      <c r="L157" s="92">
        <v>8562</v>
      </c>
      <c r="M157" s="92"/>
      <c r="N157" s="93">
        <v>266028</v>
      </c>
      <c r="O157" s="93">
        <v>1886216</v>
      </c>
      <c r="P157" s="93">
        <v>0</v>
      </c>
      <c r="Q157" s="92">
        <v>38616</v>
      </c>
      <c r="R157" s="92"/>
      <c r="S157" s="93">
        <v>227983</v>
      </c>
      <c r="T157" s="94">
        <v>-11469</v>
      </c>
      <c r="U157" s="94">
        <v>216514</v>
      </c>
      <c r="X157" s="95">
        <v>6.2859999999999999E-4</v>
      </c>
      <c r="Y157" s="96">
        <f t="shared" si="9"/>
        <v>0</v>
      </c>
      <c r="Z157" s="88">
        <f t="shared" si="10"/>
        <v>0</v>
      </c>
      <c r="AB157" s="75">
        <f t="shared" si="11"/>
        <v>-253491</v>
      </c>
      <c r="AC157" s="75">
        <v>-1</v>
      </c>
    </row>
    <row r="158" spans="1:29">
      <c r="A158" s="89">
        <v>34500</v>
      </c>
      <c r="B158" s="90" t="s">
        <v>147</v>
      </c>
      <c r="C158" s="97">
        <v>5.0030999999999999E-3</v>
      </c>
      <c r="D158" s="97">
        <v>4.9475999999999999E-3</v>
      </c>
      <c r="E158" s="92">
        <v>6273095.54</v>
      </c>
      <c r="F158" s="92">
        <f t="shared" si="8"/>
        <v>5800670.6788884001</v>
      </c>
      <c r="G158" s="92">
        <v>18437414</v>
      </c>
      <c r="H158" s="92"/>
      <c r="I158" s="93">
        <v>0</v>
      </c>
      <c r="J158" s="93">
        <v>12866102</v>
      </c>
      <c r="K158" s="93">
        <v>0</v>
      </c>
      <c r="L158" s="92">
        <v>201036</v>
      </c>
      <c r="M158" s="92"/>
      <c r="N158" s="93">
        <v>2096334</v>
      </c>
      <c r="O158" s="93">
        <v>14863640</v>
      </c>
      <c r="P158" s="93">
        <v>0</v>
      </c>
      <c r="Q158" s="92">
        <v>162991</v>
      </c>
      <c r="R158" s="92"/>
      <c r="S158" s="93">
        <v>1796538</v>
      </c>
      <c r="T158" s="94">
        <v>-2731</v>
      </c>
      <c r="U158" s="94">
        <v>1793807</v>
      </c>
      <c r="X158" s="95">
        <v>4.9475999999999999E-3</v>
      </c>
      <c r="Y158" s="96">
        <f t="shared" si="9"/>
        <v>0</v>
      </c>
      <c r="Z158" s="88">
        <f t="shared" si="10"/>
        <v>0</v>
      </c>
      <c r="AB158" s="75">
        <f t="shared" si="11"/>
        <v>-1997538</v>
      </c>
      <c r="AC158" s="75">
        <v>0</v>
      </c>
    </row>
    <row r="159" spans="1:29">
      <c r="A159" s="89">
        <v>34501</v>
      </c>
      <c r="B159" s="90" t="s">
        <v>148</v>
      </c>
      <c r="C159" s="97">
        <v>6.2399999999999999E-5</v>
      </c>
      <c r="D159" s="97">
        <v>5.6799999999999998E-5</v>
      </c>
      <c r="E159" s="92">
        <v>70213.41</v>
      </c>
      <c r="F159" s="92">
        <f t="shared" si="8"/>
        <v>66593.518991199991</v>
      </c>
      <c r="G159" s="92">
        <v>229956</v>
      </c>
      <c r="H159" s="92"/>
      <c r="I159" s="93">
        <v>0</v>
      </c>
      <c r="J159" s="93">
        <v>160469</v>
      </c>
      <c r="K159" s="93">
        <v>0</v>
      </c>
      <c r="L159" s="92">
        <v>17052</v>
      </c>
      <c r="M159" s="92"/>
      <c r="N159" s="93">
        <v>26146</v>
      </c>
      <c r="O159" s="93">
        <v>185383</v>
      </c>
      <c r="P159" s="93">
        <v>0</v>
      </c>
      <c r="Q159" s="92">
        <v>0</v>
      </c>
      <c r="R159" s="92"/>
      <c r="S159" s="93">
        <v>22407</v>
      </c>
      <c r="T159" s="94">
        <v>4728</v>
      </c>
      <c r="U159" s="94">
        <v>27135</v>
      </c>
      <c r="X159" s="95">
        <v>5.6799999999999998E-5</v>
      </c>
      <c r="Y159" s="96">
        <f t="shared" si="9"/>
        <v>0</v>
      </c>
      <c r="Z159" s="88">
        <f t="shared" si="10"/>
        <v>0</v>
      </c>
      <c r="AB159" s="75">
        <f t="shared" si="11"/>
        <v>-24914</v>
      </c>
      <c r="AC159" s="75">
        <v>0</v>
      </c>
    </row>
    <row r="160" spans="1:29">
      <c r="A160" s="89">
        <v>34505</v>
      </c>
      <c r="B160" s="90" t="s">
        <v>149</v>
      </c>
      <c r="C160" s="97">
        <v>6.1439999999999997E-4</v>
      </c>
      <c r="D160" s="97">
        <v>6.3920000000000003E-4</v>
      </c>
      <c r="E160" s="92">
        <v>868346.32</v>
      </c>
      <c r="F160" s="92">
        <f t="shared" si="8"/>
        <v>749411.57287280005</v>
      </c>
      <c r="G160" s="92">
        <v>2264186</v>
      </c>
      <c r="H160" s="92"/>
      <c r="I160" s="93">
        <v>0</v>
      </c>
      <c r="J160" s="93">
        <v>1580007</v>
      </c>
      <c r="K160" s="93">
        <v>0</v>
      </c>
      <c r="L160" s="92">
        <v>128321</v>
      </c>
      <c r="M160" s="92"/>
      <c r="N160" s="93">
        <v>257438</v>
      </c>
      <c r="O160" s="93">
        <v>1825312</v>
      </c>
      <c r="P160" s="93">
        <v>0</v>
      </c>
      <c r="Q160" s="92">
        <v>32443</v>
      </c>
      <c r="R160" s="92"/>
      <c r="S160" s="93">
        <v>220622</v>
      </c>
      <c r="T160" s="94">
        <v>37006</v>
      </c>
      <c r="U160" s="94">
        <v>257628</v>
      </c>
      <c r="X160" s="95">
        <v>6.3920000000000003E-4</v>
      </c>
      <c r="Y160" s="96">
        <f t="shared" si="9"/>
        <v>0</v>
      </c>
      <c r="Z160" s="88">
        <f t="shared" si="10"/>
        <v>0</v>
      </c>
      <c r="AB160" s="75">
        <f t="shared" si="11"/>
        <v>-245305</v>
      </c>
      <c r="AC160" s="75">
        <v>1</v>
      </c>
    </row>
    <row r="161" spans="1:29">
      <c r="A161" s="89">
        <v>34600</v>
      </c>
      <c r="B161" s="90" t="s">
        <v>150</v>
      </c>
      <c r="C161" s="97">
        <v>1.2436000000000001E-3</v>
      </c>
      <c r="D161" s="97">
        <v>1.2791E-3</v>
      </c>
      <c r="E161" s="92">
        <v>1615408.69</v>
      </c>
      <c r="F161" s="92">
        <f t="shared" si="8"/>
        <v>1499643.8405219</v>
      </c>
      <c r="G161" s="92">
        <v>4582912</v>
      </c>
      <c r="H161" s="92"/>
      <c r="I161" s="93">
        <v>0</v>
      </c>
      <c r="J161" s="93">
        <v>3198074</v>
      </c>
      <c r="K161" s="93">
        <v>0</v>
      </c>
      <c r="L161" s="92">
        <v>0</v>
      </c>
      <c r="M161" s="92"/>
      <c r="N161" s="93">
        <v>521077</v>
      </c>
      <c r="O161" s="93">
        <v>3694594</v>
      </c>
      <c r="P161" s="93">
        <v>0</v>
      </c>
      <c r="Q161" s="92">
        <v>266780</v>
      </c>
      <c r="R161" s="92"/>
      <c r="S161" s="93">
        <v>446558</v>
      </c>
      <c r="T161" s="94">
        <v>-86274</v>
      </c>
      <c r="U161" s="94">
        <v>360284</v>
      </c>
      <c r="X161" s="95">
        <v>1.2791E-3</v>
      </c>
      <c r="Y161" s="96">
        <f t="shared" si="9"/>
        <v>0</v>
      </c>
      <c r="Z161" s="88">
        <f t="shared" si="10"/>
        <v>0</v>
      </c>
      <c r="AB161" s="75">
        <f t="shared" si="11"/>
        <v>-496520</v>
      </c>
      <c r="AC161" s="75">
        <v>-1</v>
      </c>
    </row>
    <row r="162" spans="1:29">
      <c r="A162" s="89">
        <v>34605</v>
      </c>
      <c r="B162" s="90" t="s">
        <v>151</v>
      </c>
      <c r="C162" s="97">
        <v>2.7379999999999999E-4</v>
      </c>
      <c r="D162" s="97">
        <v>2.8800000000000001E-4</v>
      </c>
      <c r="E162" s="92">
        <v>379420.12</v>
      </c>
      <c r="F162" s="92">
        <f t="shared" si="8"/>
        <v>337657.279392</v>
      </c>
      <c r="G162" s="92">
        <v>1009007</v>
      </c>
      <c r="H162" s="92"/>
      <c r="I162" s="93">
        <v>0</v>
      </c>
      <c r="J162" s="93">
        <v>704111</v>
      </c>
      <c r="K162" s="93">
        <v>0</v>
      </c>
      <c r="L162" s="92">
        <v>16514</v>
      </c>
      <c r="M162" s="92"/>
      <c r="N162" s="93">
        <v>114724</v>
      </c>
      <c r="O162" s="93">
        <v>813429</v>
      </c>
      <c r="P162" s="93">
        <v>0</v>
      </c>
      <c r="Q162" s="92">
        <v>33698</v>
      </c>
      <c r="R162" s="92"/>
      <c r="S162" s="93">
        <v>98317</v>
      </c>
      <c r="T162" s="94">
        <v>-3416</v>
      </c>
      <c r="U162" s="94">
        <v>94902</v>
      </c>
      <c r="X162" s="95">
        <v>2.8800000000000001E-4</v>
      </c>
      <c r="Y162" s="96">
        <f t="shared" si="9"/>
        <v>0</v>
      </c>
      <c r="Z162" s="88">
        <f t="shared" si="10"/>
        <v>-1</v>
      </c>
      <c r="AB162" s="75">
        <f t="shared" si="11"/>
        <v>-109318</v>
      </c>
      <c r="AC162" s="75">
        <v>0</v>
      </c>
    </row>
    <row r="163" spans="1:29">
      <c r="A163" s="89">
        <v>34700</v>
      </c>
      <c r="B163" s="90" t="s">
        <v>152</v>
      </c>
      <c r="C163" s="97">
        <v>3.3221000000000001E-3</v>
      </c>
      <c r="D163" s="97">
        <v>3.1803999999999999E-3</v>
      </c>
      <c r="E163" s="92">
        <v>3685532.41</v>
      </c>
      <c r="F163" s="92">
        <f t="shared" si="8"/>
        <v>3728768.0950635998</v>
      </c>
      <c r="G163" s="92">
        <v>12242596</v>
      </c>
      <c r="H163" s="92"/>
      <c r="I163" s="93">
        <v>0</v>
      </c>
      <c r="J163" s="93">
        <v>8543199</v>
      </c>
      <c r="K163" s="93">
        <v>0</v>
      </c>
      <c r="L163" s="92">
        <v>308122</v>
      </c>
      <c r="M163" s="92"/>
      <c r="N163" s="93">
        <v>1391983</v>
      </c>
      <c r="O163" s="93">
        <v>9869580</v>
      </c>
      <c r="P163" s="93">
        <v>0</v>
      </c>
      <c r="Q163" s="92">
        <v>0</v>
      </c>
      <c r="R163" s="92"/>
      <c r="S163" s="93">
        <v>1192916</v>
      </c>
      <c r="T163" s="94">
        <v>94021</v>
      </c>
      <c r="U163" s="94">
        <v>1286937</v>
      </c>
      <c r="X163" s="95">
        <v>3.1803999999999999E-3</v>
      </c>
      <c r="Y163" s="96">
        <f t="shared" si="9"/>
        <v>0</v>
      </c>
      <c r="Z163" s="88">
        <f t="shared" si="10"/>
        <v>0</v>
      </c>
      <c r="AB163" s="75">
        <f t="shared" si="11"/>
        <v>-1326381</v>
      </c>
      <c r="AC163" s="75">
        <v>0</v>
      </c>
    </row>
    <row r="164" spans="1:29">
      <c r="A164" s="89">
        <v>34800</v>
      </c>
      <c r="B164" s="90" t="s">
        <v>153</v>
      </c>
      <c r="C164" s="97">
        <v>3.2420000000000002E-4</v>
      </c>
      <c r="D164" s="97">
        <v>3.4600000000000001E-4</v>
      </c>
      <c r="E164" s="92">
        <v>481973.59</v>
      </c>
      <c r="F164" s="92">
        <f t="shared" si="8"/>
        <v>405657.703714</v>
      </c>
      <c r="G164" s="92">
        <v>1194741</v>
      </c>
      <c r="H164" s="92"/>
      <c r="I164" s="93">
        <v>0</v>
      </c>
      <c r="J164" s="93">
        <v>833721</v>
      </c>
      <c r="K164" s="93">
        <v>0</v>
      </c>
      <c r="L164" s="92">
        <v>45910</v>
      </c>
      <c r="M164" s="92"/>
      <c r="N164" s="93">
        <v>135842</v>
      </c>
      <c r="O164" s="93">
        <v>963161</v>
      </c>
      <c r="P164" s="93">
        <v>0</v>
      </c>
      <c r="Q164" s="92">
        <v>35397</v>
      </c>
      <c r="R164" s="92"/>
      <c r="S164" s="93">
        <v>116415</v>
      </c>
      <c r="T164" s="94">
        <v>6650</v>
      </c>
      <c r="U164" s="94">
        <v>123065</v>
      </c>
      <c r="X164" s="95">
        <v>3.4600000000000001E-4</v>
      </c>
      <c r="Y164" s="96">
        <f t="shared" si="9"/>
        <v>0</v>
      </c>
      <c r="Z164" s="88">
        <f t="shared" si="10"/>
        <v>0</v>
      </c>
      <c r="AB164" s="75">
        <f t="shared" si="11"/>
        <v>-129440</v>
      </c>
      <c r="AC164" s="75">
        <v>1</v>
      </c>
    </row>
    <row r="165" spans="1:29">
      <c r="A165" s="89">
        <v>34900</v>
      </c>
      <c r="B165" s="90" t="s">
        <v>289</v>
      </c>
      <c r="C165" s="97">
        <v>7.5664E-3</v>
      </c>
      <c r="D165" s="97">
        <v>7.5374999999999999E-3</v>
      </c>
      <c r="E165" s="92">
        <v>9208221.3800000008</v>
      </c>
      <c r="F165" s="92">
        <f t="shared" si="8"/>
        <v>8837124.1090875007</v>
      </c>
      <c r="G165" s="92">
        <v>27883682</v>
      </c>
      <c r="H165" s="92"/>
      <c r="I165" s="93">
        <v>0</v>
      </c>
      <c r="J165" s="93">
        <v>19457951</v>
      </c>
      <c r="K165" s="93">
        <v>0</v>
      </c>
      <c r="L165" s="92">
        <v>0</v>
      </c>
      <c r="M165" s="92"/>
      <c r="N165" s="93">
        <v>3170375</v>
      </c>
      <c r="O165" s="93">
        <v>22478912</v>
      </c>
      <c r="P165" s="93">
        <v>0</v>
      </c>
      <c r="Q165" s="92">
        <v>1120403</v>
      </c>
      <c r="R165" s="92"/>
      <c r="S165" s="93">
        <v>2716981</v>
      </c>
      <c r="T165" s="94">
        <v>-389582</v>
      </c>
      <c r="U165" s="94">
        <v>2327399</v>
      </c>
      <c r="X165" s="95">
        <v>7.5374999999999999E-3</v>
      </c>
      <c r="Y165" s="96">
        <f t="shared" si="9"/>
        <v>0</v>
      </c>
      <c r="Z165" s="88">
        <f t="shared" si="10"/>
        <v>0</v>
      </c>
      <c r="AB165" s="75">
        <f t="shared" si="11"/>
        <v>-3020961</v>
      </c>
      <c r="AC165" s="75">
        <v>0</v>
      </c>
    </row>
    <row r="166" spans="1:29">
      <c r="A166" s="89">
        <v>34901</v>
      </c>
      <c r="B166" s="90" t="s">
        <v>290</v>
      </c>
      <c r="C166" s="97">
        <v>1.8100000000000001E-4</v>
      </c>
      <c r="D166" s="97">
        <v>1.94E-4</v>
      </c>
      <c r="E166" s="92">
        <v>197728.97</v>
      </c>
      <c r="F166" s="92">
        <f t="shared" si="8"/>
        <v>227449.69514600001</v>
      </c>
      <c r="G166" s="92">
        <v>667021</v>
      </c>
      <c r="H166" s="92"/>
      <c r="I166" s="93">
        <v>0</v>
      </c>
      <c r="J166" s="93">
        <v>465464</v>
      </c>
      <c r="K166" s="93">
        <v>0</v>
      </c>
      <c r="L166" s="92">
        <v>15942</v>
      </c>
      <c r="M166" s="92"/>
      <c r="N166" s="93">
        <v>75840</v>
      </c>
      <c r="O166" s="93">
        <v>537730</v>
      </c>
      <c r="P166" s="93">
        <v>0</v>
      </c>
      <c r="Q166" s="92">
        <v>79149</v>
      </c>
      <c r="R166" s="92"/>
      <c r="S166" s="93">
        <v>64994</v>
      </c>
      <c r="T166" s="94">
        <v>-16211</v>
      </c>
      <c r="U166" s="94">
        <v>48783</v>
      </c>
      <c r="X166" s="95">
        <v>1.94E-4</v>
      </c>
      <c r="Y166" s="96">
        <f t="shared" si="9"/>
        <v>0</v>
      </c>
      <c r="Z166" s="88">
        <f t="shared" si="10"/>
        <v>0</v>
      </c>
      <c r="AB166" s="75">
        <f t="shared" si="11"/>
        <v>-72266</v>
      </c>
      <c r="AC166" s="75">
        <v>-1</v>
      </c>
    </row>
    <row r="167" spans="1:29">
      <c r="A167" s="89">
        <v>34903</v>
      </c>
      <c r="B167" s="90" t="s">
        <v>154</v>
      </c>
      <c r="C167" s="97">
        <v>2.02E-5</v>
      </c>
      <c r="D167" s="97">
        <v>2.1100000000000001E-5</v>
      </c>
      <c r="E167" s="92">
        <v>27776.1</v>
      </c>
      <c r="F167" s="92">
        <f t="shared" si="8"/>
        <v>24738.085399900003</v>
      </c>
      <c r="G167" s="92">
        <v>74441</v>
      </c>
      <c r="H167" s="92"/>
      <c r="I167" s="93">
        <v>0</v>
      </c>
      <c r="J167" s="93">
        <v>51947</v>
      </c>
      <c r="K167" s="93">
        <v>0</v>
      </c>
      <c r="L167" s="92">
        <v>0</v>
      </c>
      <c r="M167" s="92"/>
      <c r="N167" s="93">
        <v>8464</v>
      </c>
      <c r="O167" s="93">
        <v>60012</v>
      </c>
      <c r="P167" s="93">
        <v>0</v>
      </c>
      <c r="Q167" s="92">
        <v>5190</v>
      </c>
      <c r="R167" s="92"/>
      <c r="S167" s="93">
        <v>7254</v>
      </c>
      <c r="T167" s="94">
        <v>-1695</v>
      </c>
      <c r="U167" s="94">
        <v>5559</v>
      </c>
      <c r="X167" s="95">
        <v>2.1100000000000001E-5</v>
      </c>
      <c r="Y167" s="96">
        <f t="shared" si="9"/>
        <v>0</v>
      </c>
      <c r="Z167" s="88">
        <f t="shared" si="10"/>
        <v>0</v>
      </c>
      <c r="AB167" s="75">
        <f t="shared" si="11"/>
        <v>-8065</v>
      </c>
      <c r="AC167" s="75">
        <v>-1</v>
      </c>
    </row>
    <row r="168" spans="1:29">
      <c r="A168" s="89">
        <v>34905</v>
      </c>
      <c r="B168" s="90" t="s">
        <v>155</v>
      </c>
      <c r="C168" s="97">
        <v>7.8080000000000001E-4</v>
      </c>
      <c r="D168" s="97">
        <v>7.7410000000000001E-4</v>
      </c>
      <c r="E168" s="92">
        <v>1006022.46</v>
      </c>
      <c r="F168" s="92">
        <f t="shared" si="8"/>
        <v>907571.18047689996</v>
      </c>
      <c r="G168" s="92">
        <v>2877403</v>
      </c>
      <c r="H168" s="92"/>
      <c r="I168" s="93">
        <v>0</v>
      </c>
      <c r="J168" s="93">
        <v>2007926</v>
      </c>
      <c r="K168" s="93">
        <v>0</v>
      </c>
      <c r="L168" s="92">
        <v>44230</v>
      </c>
      <c r="M168" s="92"/>
      <c r="N168" s="93">
        <v>327161</v>
      </c>
      <c r="O168" s="93">
        <v>2319668</v>
      </c>
      <c r="P168" s="93">
        <v>0</v>
      </c>
      <c r="Q168" s="92">
        <v>11118</v>
      </c>
      <c r="R168" s="92"/>
      <c r="S168" s="93">
        <v>280374</v>
      </c>
      <c r="T168" s="94">
        <v>8267</v>
      </c>
      <c r="U168" s="94">
        <v>288641</v>
      </c>
      <c r="X168" s="95">
        <v>7.7410000000000001E-4</v>
      </c>
      <c r="Y168" s="96">
        <f t="shared" si="9"/>
        <v>0</v>
      </c>
      <c r="Z168" s="88">
        <f t="shared" si="10"/>
        <v>0</v>
      </c>
      <c r="AB168" s="75">
        <f t="shared" si="11"/>
        <v>-311742</v>
      </c>
      <c r="AC168" s="75">
        <v>0</v>
      </c>
    </row>
    <row r="169" spans="1:29">
      <c r="A169" s="89">
        <v>34910</v>
      </c>
      <c r="B169" s="90" t="s">
        <v>156</v>
      </c>
      <c r="C169" s="97">
        <v>2.2087999999999999E-3</v>
      </c>
      <c r="D169" s="97">
        <v>2.1080999999999999E-3</v>
      </c>
      <c r="E169" s="92">
        <v>2645614.48</v>
      </c>
      <c r="F169" s="92">
        <f t="shared" si="8"/>
        <v>2471580.9398829001</v>
      </c>
      <c r="G169" s="92">
        <v>8139865</v>
      </c>
      <c r="H169" s="92"/>
      <c r="I169" s="93">
        <v>0</v>
      </c>
      <c r="J169" s="93">
        <v>5680208</v>
      </c>
      <c r="K169" s="93">
        <v>0</v>
      </c>
      <c r="L169" s="92">
        <v>396744</v>
      </c>
      <c r="M169" s="92"/>
      <c r="N169" s="93">
        <v>925503</v>
      </c>
      <c r="O169" s="93">
        <v>6562093</v>
      </c>
      <c r="P169" s="93">
        <v>0</v>
      </c>
      <c r="Q169" s="92">
        <v>0</v>
      </c>
      <c r="R169" s="92"/>
      <c r="S169" s="93">
        <v>793147</v>
      </c>
      <c r="T169" s="94">
        <v>116607</v>
      </c>
      <c r="U169" s="94">
        <v>909754</v>
      </c>
      <c r="X169" s="95">
        <v>2.1080999999999999E-3</v>
      </c>
      <c r="Y169" s="96">
        <f t="shared" si="9"/>
        <v>0</v>
      </c>
      <c r="Z169" s="88">
        <f t="shared" si="10"/>
        <v>0</v>
      </c>
      <c r="AB169" s="75">
        <f t="shared" si="11"/>
        <v>-881885</v>
      </c>
      <c r="AC169" s="75">
        <v>0</v>
      </c>
    </row>
    <row r="170" spans="1:29">
      <c r="A170" s="89">
        <v>35000</v>
      </c>
      <c r="B170" s="90" t="s">
        <v>157</v>
      </c>
      <c r="C170" s="97">
        <v>1.5065E-3</v>
      </c>
      <c r="D170" s="97">
        <v>1.4383E-3</v>
      </c>
      <c r="E170" s="92">
        <v>1827848.07</v>
      </c>
      <c r="F170" s="92">
        <f t="shared" si="8"/>
        <v>1686293.2810746999</v>
      </c>
      <c r="G170" s="92">
        <v>5551751</v>
      </c>
      <c r="H170" s="92"/>
      <c r="I170" s="93">
        <v>0</v>
      </c>
      <c r="J170" s="93">
        <v>3874155</v>
      </c>
      <c r="K170" s="93">
        <v>0</v>
      </c>
      <c r="L170" s="92">
        <v>232786</v>
      </c>
      <c r="M170" s="92"/>
      <c r="N170" s="93">
        <v>631234</v>
      </c>
      <c r="O170" s="93">
        <v>4475640</v>
      </c>
      <c r="P170" s="93">
        <v>0</v>
      </c>
      <c r="Q170" s="92">
        <v>0</v>
      </c>
      <c r="R170" s="92"/>
      <c r="S170" s="93">
        <v>540962</v>
      </c>
      <c r="T170" s="94">
        <v>64652</v>
      </c>
      <c r="U170" s="94">
        <v>605613</v>
      </c>
      <c r="X170" s="95">
        <v>1.4383E-3</v>
      </c>
      <c r="Y170" s="96">
        <f t="shared" si="9"/>
        <v>0</v>
      </c>
      <c r="Z170" s="88">
        <f t="shared" si="10"/>
        <v>1</v>
      </c>
      <c r="AB170" s="75">
        <f t="shared" si="11"/>
        <v>-601485</v>
      </c>
      <c r="AC170" s="75">
        <v>2</v>
      </c>
    </row>
    <row r="171" spans="1:29">
      <c r="A171" s="89">
        <v>35005</v>
      </c>
      <c r="B171" s="90" t="s">
        <v>158</v>
      </c>
      <c r="C171" s="97">
        <v>7.2009999999999999E-4</v>
      </c>
      <c r="D171" s="97">
        <v>7.0680000000000005E-4</v>
      </c>
      <c r="E171" s="92">
        <v>887702</v>
      </c>
      <c r="F171" s="92">
        <f t="shared" si="8"/>
        <v>828667.23984120006</v>
      </c>
      <c r="G171" s="92">
        <v>2653711</v>
      </c>
      <c r="H171" s="92"/>
      <c r="I171" s="93">
        <v>0</v>
      </c>
      <c r="J171" s="93">
        <v>1851828</v>
      </c>
      <c r="K171" s="93">
        <v>0</v>
      </c>
      <c r="L171" s="92">
        <v>172497</v>
      </c>
      <c r="M171" s="92"/>
      <c r="N171" s="93">
        <v>301727</v>
      </c>
      <c r="O171" s="93">
        <v>2139335</v>
      </c>
      <c r="P171" s="93">
        <v>0</v>
      </c>
      <c r="Q171" s="92">
        <v>0</v>
      </c>
      <c r="R171" s="92"/>
      <c r="S171" s="93">
        <v>258577</v>
      </c>
      <c r="T171" s="94">
        <v>58608</v>
      </c>
      <c r="U171" s="94">
        <v>317186</v>
      </c>
      <c r="X171" s="95">
        <v>7.0680000000000005E-4</v>
      </c>
      <c r="Y171" s="96">
        <f t="shared" si="9"/>
        <v>0</v>
      </c>
      <c r="Z171" s="88">
        <f t="shared" si="10"/>
        <v>-1</v>
      </c>
      <c r="AB171" s="75">
        <f t="shared" si="11"/>
        <v>-287507</v>
      </c>
      <c r="AC171" s="75">
        <v>0</v>
      </c>
    </row>
    <row r="172" spans="1:29">
      <c r="A172" s="89">
        <v>35100</v>
      </c>
      <c r="B172" s="90" t="s">
        <v>159</v>
      </c>
      <c r="C172" s="97">
        <v>1.2978699999999999E-2</v>
      </c>
      <c r="D172" s="97">
        <v>1.2519300000000001E-2</v>
      </c>
      <c r="E172" s="92">
        <v>15078277.609999999</v>
      </c>
      <c r="F172" s="92">
        <f t="shared" si="8"/>
        <v>14677891.589903701</v>
      </c>
      <c r="G172" s="92">
        <v>47829079</v>
      </c>
      <c r="H172" s="92"/>
      <c r="I172" s="93">
        <v>0</v>
      </c>
      <c r="J172" s="93">
        <v>33376362</v>
      </c>
      <c r="K172" s="93">
        <v>0</v>
      </c>
      <c r="L172" s="92">
        <v>921286</v>
      </c>
      <c r="M172" s="92"/>
      <c r="N172" s="93">
        <v>5438166</v>
      </c>
      <c r="O172" s="93">
        <v>38558238</v>
      </c>
      <c r="P172" s="93">
        <v>0</v>
      </c>
      <c r="Q172" s="92">
        <v>2355396</v>
      </c>
      <c r="R172" s="92"/>
      <c r="S172" s="93">
        <v>4660456</v>
      </c>
      <c r="T172" s="94">
        <v>-589024</v>
      </c>
      <c r="U172" s="94">
        <v>4071432</v>
      </c>
      <c r="X172" s="95">
        <v>1.2519300000000001E-2</v>
      </c>
      <c r="Y172" s="96">
        <f t="shared" si="9"/>
        <v>0</v>
      </c>
      <c r="Z172" s="88">
        <f t="shared" si="10"/>
        <v>0</v>
      </c>
      <c r="AB172" s="75">
        <f t="shared" si="11"/>
        <v>-5181876</v>
      </c>
      <c r="AC172" s="75">
        <v>1</v>
      </c>
    </row>
    <row r="173" spans="1:29">
      <c r="A173" s="89">
        <v>35105</v>
      </c>
      <c r="B173" s="90" t="s">
        <v>160</v>
      </c>
      <c r="C173" s="97">
        <v>1.2034000000000001E-3</v>
      </c>
      <c r="D173" s="97">
        <v>1.2099000000000001E-3</v>
      </c>
      <c r="E173" s="92">
        <v>1445577.22</v>
      </c>
      <c r="F173" s="92">
        <f t="shared" si="8"/>
        <v>1418512.2997791001</v>
      </c>
      <c r="G173" s="92">
        <v>4434767</v>
      </c>
      <c r="H173" s="92"/>
      <c r="I173" s="93">
        <v>0</v>
      </c>
      <c r="J173" s="93">
        <v>3094695</v>
      </c>
      <c r="K173" s="93">
        <v>0</v>
      </c>
      <c r="L173" s="92">
        <v>147158</v>
      </c>
      <c r="M173" s="92"/>
      <c r="N173" s="93">
        <v>504233</v>
      </c>
      <c r="O173" s="93">
        <v>3575164</v>
      </c>
      <c r="P173" s="93">
        <v>0</v>
      </c>
      <c r="Q173" s="92">
        <v>85254</v>
      </c>
      <c r="R173" s="92"/>
      <c r="S173" s="93">
        <v>432123</v>
      </c>
      <c r="T173" s="94">
        <v>29129</v>
      </c>
      <c r="U173" s="94">
        <v>461252</v>
      </c>
      <c r="X173" s="95">
        <v>1.2099000000000001E-3</v>
      </c>
      <c r="Y173" s="96">
        <f t="shared" si="9"/>
        <v>0</v>
      </c>
      <c r="Z173" s="88">
        <f t="shared" si="10"/>
        <v>0</v>
      </c>
      <c r="AB173" s="75">
        <f t="shared" si="11"/>
        <v>-480469</v>
      </c>
      <c r="AC173" s="75">
        <v>1</v>
      </c>
    </row>
    <row r="174" spans="1:29">
      <c r="A174" s="89">
        <v>35106</v>
      </c>
      <c r="B174" s="90" t="s">
        <v>161</v>
      </c>
      <c r="C174" s="97">
        <v>2.6420000000000003E-4</v>
      </c>
      <c r="D174" s="97">
        <v>2.253E-4</v>
      </c>
      <c r="E174" s="92">
        <v>276283.87</v>
      </c>
      <c r="F174" s="92">
        <f t="shared" si="8"/>
        <v>264146.47585769999</v>
      </c>
      <c r="G174" s="92">
        <v>973629</v>
      </c>
      <c r="H174" s="92"/>
      <c r="I174" s="93">
        <v>0</v>
      </c>
      <c r="J174" s="93">
        <v>679424</v>
      </c>
      <c r="K174" s="93">
        <v>0</v>
      </c>
      <c r="L174" s="92">
        <v>224115</v>
      </c>
      <c r="M174" s="92"/>
      <c r="N174" s="93">
        <v>110702</v>
      </c>
      <c r="O174" s="93">
        <v>784908</v>
      </c>
      <c r="P174" s="93">
        <v>0</v>
      </c>
      <c r="Q174" s="92">
        <v>0</v>
      </c>
      <c r="R174" s="92"/>
      <c r="S174" s="93">
        <v>94870</v>
      </c>
      <c r="T174" s="94">
        <v>70570</v>
      </c>
      <c r="U174" s="94">
        <v>165440</v>
      </c>
      <c r="X174" s="95">
        <v>2.253E-4</v>
      </c>
      <c r="Y174" s="96">
        <f t="shared" si="9"/>
        <v>0</v>
      </c>
      <c r="Z174" s="88">
        <f t="shared" si="10"/>
        <v>0</v>
      </c>
      <c r="AB174" s="75">
        <f t="shared" si="11"/>
        <v>-105484</v>
      </c>
      <c r="AC174" s="75">
        <v>0</v>
      </c>
    </row>
    <row r="175" spans="1:29">
      <c r="A175" s="89">
        <v>35200</v>
      </c>
      <c r="B175" s="90" t="s">
        <v>162</v>
      </c>
      <c r="C175" s="97">
        <v>5.6170000000000005E-4</v>
      </c>
      <c r="D175" s="97">
        <v>5.5780000000000001E-4</v>
      </c>
      <c r="E175" s="92">
        <v>769336.43</v>
      </c>
      <c r="F175" s="92">
        <f t="shared" si="8"/>
        <v>653976.49460019998</v>
      </c>
      <c r="G175" s="92">
        <v>2069976</v>
      </c>
      <c r="H175" s="92"/>
      <c r="I175" s="93">
        <v>0</v>
      </c>
      <c r="J175" s="93">
        <v>1444482</v>
      </c>
      <c r="K175" s="93">
        <v>0</v>
      </c>
      <c r="L175" s="92">
        <v>154551</v>
      </c>
      <c r="M175" s="92"/>
      <c r="N175" s="93">
        <v>235356</v>
      </c>
      <c r="O175" s="93">
        <v>1668747</v>
      </c>
      <c r="P175" s="93">
        <v>0</v>
      </c>
      <c r="Q175" s="92">
        <v>0</v>
      </c>
      <c r="R175" s="92"/>
      <c r="S175" s="93">
        <v>201698</v>
      </c>
      <c r="T175" s="94">
        <v>50213</v>
      </c>
      <c r="U175" s="94">
        <v>251911</v>
      </c>
      <c r="X175" s="95">
        <v>5.5780000000000001E-4</v>
      </c>
      <c r="Y175" s="96">
        <f t="shared" si="9"/>
        <v>0</v>
      </c>
      <c r="Z175" s="88">
        <f t="shared" si="10"/>
        <v>0</v>
      </c>
      <c r="AB175" s="75">
        <f t="shared" si="11"/>
        <v>-224265</v>
      </c>
      <c r="AC175" s="75">
        <v>-2</v>
      </c>
    </row>
    <row r="176" spans="1:29">
      <c r="A176" s="89">
        <v>35300</v>
      </c>
      <c r="B176" s="90" t="s">
        <v>163</v>
      </c>
      <c r="C176" s="97">
        <v>3.6911000000000001E-3</v>
      </c>
      <c r="D176" s="97">
        <v>3.5834E-3</v>
      </c>
      <c r="E176" s="92">
        <v>4437134.1399999997</v>
      </c>
      <c r="F176" s="92">
        <f t="shared" si="8"/>
        <v>4201253.8019906003</v>
      </c>
      <c r="G176" s="92">
        <v>13602434</v>
      </c>
      <c r="H176" s="92"/>
      <c r="I176" s="93">
        <v>0</v>
      </c>
      <c r="J176" s="93">
        <v>9492129</v>
      </c>
      <c r="K176" s="93">
        <v>0</v>
      </c>
      <c r="L176" s="92">
        <v>281449</v>
      </c>
      <c r="M176" s="92"/>
      <c r="N176" s="93">
        <v>1546597</v>
      </c>
      <c r="O176" s="93">
        <v>10965837</v>
      </c>
      <c r="P176" s="93">
        <v>0</v>
      </c>
      <c r="Q176" s="92">
        <v>383892</v>
      </c>
      <c r="R176" s="92"/>
      <c r="S176" s="93">
        <v>1325419</v>
      </c>
      <c r="T176" s="94">
        <v>-59632</v>
      </c>
      <c r="U176" s="94">
        <v>1265787</v>
      </c>
      <c r="X176" s="95">
        <v>3.5834E-3</v>
      </c>
      <c r="Y176" s="96">
        <f t="shared" si="9"/>
        <v>0</v>
      </c>
      <c r="Z176" s="88">
        <f t="shared" si="10"/>
        <v>0</v>
      </c>
      <c r="AB176" s="75">
        <f t="shared" si="11"/>
        <v>-1473708</v>
      </c>
      <c r="AC176" s="75">
        <v>1</v>
      </c>
    </row>
    <row r="177" spans="1:29">
      <c r="A177" s="89">
        <v>35305</v>
      </c>
      <c r="B177" s="90" t="s">
        <v>164</v>
      </c>
      <c r="C177" s="97">
        <v>1.3343999999999999E-3</v>
      </c>
      <c r="D177" s="97">
        <v>1.2343E-3</v>
      </c>
      <c r="E177" s="92">
        <v>1740433.06</v>
      </c>
      <c r="F177" s="92">
        <f t="shared" si="8"/>
        <v>1447119.3748387001</v>
      </c>
      <c r="G177" s="92">
        <v>4917528</v>
      </c>
      <c r="H177" s="92"/>
      <c r="I177" s="93">
        <v>0</v>
      </c>
      <c r="J177" s="93">
        <v>3431578</v>
      </c>
      <c r="K177" s="93">
        <v>0</v>
      </c>
      <c r="L177" s="92">
        <v>581596</v>
      </c>
      <c r="M177" s="92"/>
      <c r="N177" s="93">
        <v>559123</v>
      </c>
      <c r="O177" s="93">
        <v>3964350</v>
      </c>
      <c r="P177" s="93">
        <v>0</v>
      </c>
      <c r="Q177" s="92">
        <v>0</v>
      </c>
      <c r="R177" s="92"/>
      <c r="S177" s="93">
        <v>479163</v>
      </c>
      <c r="T177" s="94">
        <v>170398</v>
      </c>
      <c r="U177" s="94">
        <v>649561</v>
      </c>
      <c r="X177" s="95">
        <v>1.2343E-3</v>
      </c>
      <c r="Y177" s="96">
        <f t="shared" si="9"/>
        <v>0</v>
      </c>
      <c r="Z177" s="88">
        <f t="shared" si="10"/>
        <v>0</v>
      </c>
      <c r="AB177" s="75">
        <f t="shared" si="11"/>
        <v>-532772</v>
      </c>
      <c r="AC177" s="75">
        <v>1</v>
      </c>
    </row>
    <row r="178" spans="1:29">
      <c r="A178" s="89">
        <v>35400</v>
      </c>
      <c r="B178" s="90" t="s">
        <v>165</v>
      </c>
      <c r="C178" s="97">
        <v>3.1616999999999999E-3</v>
      </c>
      <c r="D178" s="97">
        <v>3.1524999999999999E-3</v>
      </c>
      <c r="E178" s="92">
        <v>3993070.81</v>
      </c>
      <c r="F178" s="92">
        <f t="shared" si="8"/>
        <v>3696057.5461224997</v>
      </c>
      <c r="G178" s="92">
        <v>11651491</v>
      </c>
      <c r="H178" s="92"/>
      <c r="I178" s="93">
        <v>0</v>
      </c>
      <c r="J178" s="93">
        <v>8130710</v>
      </c>
      <c r="K178" s="93">
        <v>0</v>
      </c>
      <c r="L178" s="92">
        <v>40049</v>
      </c>
      <c r="M178" s="92"/>
      <c r="N178" s="93">
        <v>1324774</v>
      </c>
      <c r="O178" s="93">
        <v>9393050</v>
      </c>
      <c r="P178" s="93">
        <v>0</v>
      </c>
      <c r="Q178" s="92">
        <v>61107</v>
      </c>
      <c r="R178" s="92"/>
      <c r="S178" s="93">
        <v>1135319</v>
      </c>
      <c r="T178" s="94">
        <v>-10808</v>
      </c>
      <c r="U178" s="94">
        <v>1124511</v>
      </c>
      <c r="X178" s="95">
        <v>3.1524999999999999E-3</v>
      </c>
      <c r="Y178" s="96">
        <f t="shared" si="9"/>
        <v>0</v>
      </c>
      <c r="Z178" s="88">
        <f t="shared" si="10"/>
        <v>0</v>
      </c>
      <c r="AB178" s="75">
        <f t="shared" si="11"/>
        <v>-1262340</v>
      </c>
      <c r="AC178" s="75">
        <v>0</v>
      </c>
    </row>
    <row r="179" spans="1:29">
      <c r="A179" s="89">
        <v>35401</v>
      </c>
      <c r="B179" s="90" t="s">
        <v>166</v>
      </c>
      <c r="C179" s="97">
        <v>3.29E-5</v>
      </c>
      <c r="D179" s="97">
        <v>2.3099999999999999E-5</v>
      </c>
      <c r="E179" s="92">
        <v>36606.06</v>
      </c>
      <c r="F179" s="92">
        <f t="shared" si="8"/>
        <v>27082.927617899997</v>
      </c>
      <c r="G179" s="92">
        <v>121243</v>
      </c>
      <c r="H179" s="92"/>
      <c r="I179" s="93">
        <v>0</v>
      </c>
      <c r="J179" s="93">
        <v>84606</v>
      </c>
      <c r="K179" s="93">
        <v>0</v>
      </c>
      <c r="L179" s="92">
        <v>37633</v>
      </c>
      <c r="M179" s="92"/>
      <c r="N179" s="93">
        <v>13785</v>
      </c>
      <c r="O179" s="93">
        <v>97742</v>
      </c>
      <c r="P179" s="93">
        <v>0</v>
      </c>
      <c r="Q179" s="92">
        <v>29847</v>
      </c>
      <c r="R179" s="92"/>
      <c r="S179" s="93">
        <v>11814</v>
      </c>
      <c r="T179" s="94">
        <v>-273</v>
      </c>
      <c r="U179" s="94">
        <v>11540</v>
      </c>
      <c r="X179" s="95">
        <v>2.3099999999999999E-5</v>
      </c>
      <c r="Y179" s="96">
        <f t="shared" si="9"/>
        <v>0</v>
      </c>
      <c r="Z179" s="88">
        <f t="shared" si="10"/>
        <v>1</v>
      </c>
      <c r="AB179" s="75">
        <f t="shared" si="11"/>
        <v>-13136</v>
      </c>
      <c r="AC179" s="75">
        <v>-1</v>
      </c>
    </row>
    <row r="180" spans="1:29">
      <c r="A180" s="89">
        <v>35402</v>
      </c>
      <c r="B180" s="90" t="s">
        <v>167</v>
      </c>
      <c r="C180" s="97">
        <v>0</v>
      </c>
      <c r="D180" s="97">
        <v>0</v>
      </c>
      <c r="E180" s="92">
        <v>0</v>
      </c>
      <c r="F180" s="92">
        <f t="shared" si="8"/>
        <v>0</v>
      </c>
      <c r="G180" s="92">
        <v>0</v>
      </c>
      <c r="H180" s="92"/>
      <c r="I180" s="93">
        <v>0</v>
      </c>
      <c r="J180" s="93">
        <v>0</v>
      </c>
      <c r="K180" s="93">
        <v>0</v>
      </c>
      <c r="L180" s="92">
        <v>0</v>
      </c>
      <c r="M180" s="92"/>
      <c r="N180" s="93">
        <v>0</v>
      </c>
      <c r="O180" s="93">
        <v>0</v>
      </c>
      <c r="P180" s="93">
        <v>0</v>
      </c>
      <c r="Q180" s="92">
        <v>350079</v>
      </c>
      <c r="R180" s="92"/>
      <c r="S180" s="93">
        <v>0</v>
      </c>
      <c r="T180" s="94">
        <v>-125476</v>
      </c>
      <c r="U180" s="94">
        <v>-125476</v>
      </c>
      <c r="X180" s="95">
        <v>0</v>
      </c>
      <c r="Y180" s="96">
        <f t="shared" si="9"/>
        <v>0</v>
      </c>
      <c r="Z180" s="88">
        <f t="shared" si="10"/>
        <v>0</v>
      </c>
      <c r="AB180" s="75">
        <f t="shared" si="11"/>
        <v>0</v>
      </c>
      <c r="AC180" s="75">
        <v>0</v>
      </c>
    </row>
    <row r="181" spans="1:29">
      <c r="A181" s="89">
        <v>35405</v>
      </c>
      <c r="B181" s="90" t="s">
        <v>168</v>
      </c>
      <c r="C181" s="97">
        <v>1.0586E-3</v>
      </c>
      <c r="D181" s="97">
        <v>1.0824999999999999E-3</v>
      </c>
      <c r="E181" s="92">
        <v>1316982.5900000001</v>
      </c>
      <c r="F181" s="92">
        <f t="shared" si="8"/>
        <v>1269145.8504925</v>
      </c>
      <c r="G181" s="92">
        <v>3901151</v>
      </c>
      <c r="H181" s="92"/>
      <c r="I181" s="93">
        <v>0</v>
      </c>
      <c r="J181" s="93">
        <v>2722323</v>
      </c>
      <c r="K181" s="93">
        <v>0</v>
      </c>
      <c r="L181" s="92">
        <v>34812</v>
      </c>
      <c r="M181" s="92"/>
      <c r="N181" s="93">
        <v>443561</v>
      </c>
      <c r="O181" s="93">
        <v>3144980</v>
      </c>
      <c r="P181" s="93">
        <v>0</v>
      </c>
      <c r="Q181" s="92">
        <v>116470</v>
      </c>
      <c r="R181" s="92"/>
      <c r="S181" s="93">
        <v>380127</v>
      </c>
      <c r="T181" s="94">
        <v>-19786</v>
      </c>
      <c r="U181" s="94">
        <v>360342</v>
      </c>
      <c r="X181" s="95">
        <v>1.0824999999999999E-3</v>
      </c>
      <c r="Y181" s="96">
        <f t="shared" si="9"/>
        <v>0</v>
      </c>
      <c r="Z181" s="88">
        <f t="shared" si="10"/>
        <v>-1</v>
      </c>
      <c r="AB181" s="75">
        <f t="shared" si="11"/>
        <v>-422657</v>
      </c>
      <c r="AC181" s="75">
        <v>0</v>
      </c>
    </row>
    <row r="182" spans="1:29">
      <c r="A182" s="89">
        <v>35500</v>
      </c>
      <c r="B182" s="90" t="s">
        <v>169</v>
      </c>
      <c r="C182" s="97">
        <v>4.3539E-3</v>
      </c>
      <c r="D182" s="97">
        <v>4.2193999999999999E-3</v>
      </c>
      <c r="E182" s="92">
        <v>5196638.03</v>
      </c>
      <c r="F182" s="92">
        <f t="shared" si="8"/>
        <v>4946913.6273146002</v>
      </c>
      <c r="G182" s="92">
        <v>16044984</v>
      </c>
      <c r="H182" s="92"/>
      <c r="I182" s="93">
        <v>0</v>
      </c>
      <c r="J182" s="93">
        <v>11196602</v>
      </c>
      <c r="K182" s="93">
        <v>0</v>
      </c>
      <c r="L182" s="92">
        <v>334399</v>
      </c>
      <c r="M182" s="92"/>
      <c r="N182" s="93">
        <v>1824315</v>
      </c>
      <c r="O182" s="93">
        <v>12934941</v>
      </c>
      <c r="P182" s="93">
        <v>0</v>
      </c>
      <c r="Q182" s="92">
        <v>350209</v>
      </c>
      <c r="R182" s="92"/>
      <c r="S182" s="93">
        <v>1563420</v>
      </c>
      <c r="T182" s="94">
        <v>-32892</v>
      </c>
      <c r="U182" s="94">
        <v>1530529</v>
      </c>
      <c r="X182" s="95">
        <v>4.2193999999999999E-3</v>
      </c>
      <c r="Y182" s="96">
        <f t="shared" si="9"/>
        <v>0</v>
      </c>
      <c r="Z182" s="88">
        <f t="shared" si="10"/>
        <v>-1</v>
      </c>
      <c r="AB182" s="75">
        <f t="shared" si="11"/>
        <v>-1738339</v>
      </c>
      <c r="AC182" s="75">
        <v>-1</v>
      </c>
    </row>
    <row r="183" spans="1:29">
      <c r="A183" s="89">
        <v>35600</v>
      </c>
      <c r="B183" s="90" t="s">
        <v>170</v>
      </c>
      <c r="C183" s="97">
        <v>1.6930999999999999E-3</v>
      </c>
      <c r="D183" s="97">
        <v>1.7045999999999999E-3</v>
      </c>
      <c r="E183" s="92">
        <v>2104870.38</v>
      </c>
      <c r="F183" s="92">
        <f t="shared" si="8"/>
        <v>1998509.0224013999</v>
      </c>
      <c r="G183" s="92">
        <v>6239409</v>
      </c>
      <c r="H183" s="92"/>
      <c r="I183" s="93">
        <v>0</v>
      </c>
      <c r="J183" s="93">
        <v>4354020</v>
      </c>
      <c r="K183" s="93">
        <v>0</v>
      </c>
      <c r="L183" s="92">
        <v>0</v>
      </c>
      <c r="M183" s="92"/>
      <c r="N183" s="93">
        <v>709421</v>
      </c>
      <c r="O183" s="93">
        <v>5030007</v>
      </c>
      <c r="P183" s="93">
        <v>0</v>
      </c>
      <c r="Q183" s="92">
        <v>263576</v>
      </c>
      <c r="R183" s="92"/>
      <c r="S183" s="93">
        <v>607967</v>
      </c>
      <c r="T183" s="94">
        <v>-88424</v>
      </c>
      <c r="U183" s="94">
        <v>519543</v>
      </c>
      <c r="X183" s="95">
        <v>1.7045999999999999E-3</v>
      </c>
      <c r="Y183" s="96">
        <f t="shared" si="9"/>
        <v>0</v>
      </c>
      <c r="Z183" s="88">
        <f t="shared" si="10"/>
        <v>0</v>
      </c>
      <c r="AB183" s="75">
        <f t="shared" si="11"/>
        <v>-675987</v>
      </c>
      <c r="AC183" s="75">
        <v>0</v>
      </c>
    </row>
    <row r="184" spans="1:29">
      <c r="A184" s="89">
        <v>35700</v>
      </c>
      <c r="B184" s="90" t="s">
        <v>171</v>
      </c>
      <c r="C184" s="97">
        <v>1.0131000000000001E-3</v>
      </c>
      <c r="D184" s="97">
        <v>9.9299999999999996E-4</v>
      </c>
      <c r="E184" s="92">
        <v>1228275.1499999999</v>
      </c>
      <c r="F184" s="92">
        <f t="shared" si="8"/>
        <v>1164214.161237</v>
      </c>
      <c r="G184" s="92">
        <v>3733474</v>
      </c>
      <c r="H184" s="92"/>
      <c r="I184" s="93">
        <v>0</v>
      </c>
      <c r="J184" s="93">
        <v>2605314</v>
      </c>
      <c r="K184" s="93">
        <v>0</v>
      </c>
      <c r="L184" s="92">
        <v>45346</v>
      </c>
      <c r="M184" s="92"/>
      <c r="N184" s="93">
        <v>424496</v>
      </c>
      <c r="O184" s="93">
        <v>3009805</v>
      </c>
      <c r="P184" s="93">
        <v>0</v>
      </c>
      <c r="Q184" s="92">
        <v>91061</v>
      </c>
      <c r="R184" s="92"/>
      <c r="S184" s="93">
        <v>363789</v>
      </c>
      <c r="T184" s="94">
        <v>-20077</v>
      </c>
      <c r="U184" s="94">
        <v>343712</v>
      </c>
      <c r="X184" s="95">
        <v>9.9299999999999996E-4</v>
      </c>
      <c r="Y184" s="96">
        <f t="shared" si="9"/>
        <v>0</v>
      </c>
      <c r="Z184" s="88">
        <f t="shared" si="10"/>
        <v>0</v>
      </c>
      <c r="AB184" s="75">
        <f t="shared" si="11"/>
        <v>-404491</v>
      </c>
      <c r="AC184" s="75">
        <v>0</v>
      </c>
    </row>
    <row r="185" spans="1:29">
      <c r="A185" s="89">
        <v>35800</v>
      </c>
      <c r="B185" s="90" t="s">
        <v>172</v>
      </c>
      <c r="C185" s="97">
        <v>1.4509E-3</v>
      </c>
      <c r="D185" s="97">
        <v>1.4760999999999999E-3</v>
      </c>
      <c r="E185" s="92">
        <v>1917302.98</v>
      </c>
      <c r="F185" s="92">
        <f t="shared" si="8"/>
        <v>1730610.7989949</v>
      </c>
      <c r="G185" s="92">
        <v>5346854</v>
      </c>
      <c r="H185" s="92"/>
      <c r="I185" s="93">
        <v>0</v>
      </c>
      <c r="J185" s="93">
        <v>3731172</v>
      </c>
      <c r="K185" s="93">
        <v>0</v>
      </c>
      <c r="L185" s="92">
        <v>0</v>
      </c>
      <c r="M185" s="92"/>
      <c r="N185" s="93">
        <v>607937</v>
      </c>
      <c r="O185" s="93">
        <v>4310458</v>
      </c>
      <c r="P185" s="93">
        <v>0</v>
      </c>
      <c r="Q185" s="92">
        <v>122391</v>
      </c>
      <c r="R185" s="92"/>
      <c r="S185" s="93">
        <v>520996</v>
      </c>
      <c r="T185" s="94">
        <v>-40634</v>
      </c>
      <c r="U185" s="94">
        <v>480362</v>
      </c>
      <c r="X185" s="95">
        <v>1.4760999999999999E-3</v>
      </c>
      <c r="Y185" s="96">
        <f t="shared" si="9"/>
        <v>0</v>
      </c>
      <c r="Z185" s="88">
        <f t="shared" si="10"/>
        <v>0</v>
      </c>
      <c r="AB185" s="75">
        <f t="shared" si="11"/>
        <v>-579286</v>
      </c>
      <c r="AC185" s="75">
        <v>1</v>
      </c>
    </row>
    <row r="186" spans="1:29">
      <c r="A186" s="89">
        <v>35805</v>
      </c>
      <c r="B186" s="90" t="s">
        <v>173</v>
      </c>
      <c r="C186" s="97">
        <v>1.796E-4</v>
      </c>
      <c r="D186" s="97">
        <v>2.028E-4</v>
      </c>
      <c r="E186" s="92">
        <v>289392.39</v>
      </c>
      <c r="F186" s="92">
        <f t="shared" si="8"/>
        <v>237767.0009052</v>
      </c>
      <c r="G186" s="92">
        <v>661862</v>
      </c>
      <c r="H186" s="92"/>
      <c r="I186" s="93">
        <v>0</v>
      </c>
      <c r="J186" s="93">
        <v>461864</v>
      </c>
      <c r="K186" s="93">
        <v>0</v>
      </c>
      <c r="L186" s="92">
        <v>0</v>
      </c>
      <c r="M186" s="92"/>
      <c r="N186" s="93">
        <v>75254</v>
      </c>
      <c r="O186" s="93">
        <v>533571</v>
      </c>
      <c r="P186" s="93">
        <v>0</v>
      </c>
      <c r="Q186" s="92">
        <v>67663</v>
      </c>
      <c r="R186" s="92"/>
      <c r="S186" s="93">
        <v>64492</v>
      </c>
      <c r="T186" s="94">
        <v>-20249</v>
      </c>
      <c r="U186" s="94">
        <v>44243</v>
      </c>
      <c r="X186" s="95">
        <v>2.028E-4</v>
      </c>
      <c r="Y186" s="96">
        <f t="shared" si="9"/>
        <v>0</v>
      </c>
      <c r="Z186" s="88">
        <f t="shared" si="10"/>
        <v>0</v>
      </c>
      <c r="AB186" s="75">
        <f t="shared" si="11"/>
        <v>-71707</v>
      </c>
      <c r="AC186" s="75">
        <v>0</v>
      </c>
    </row>
    <row r="187" spans="1:29">
      <c r="A187" s="89">
        <v>35900</v>
      </c>
      <c r="B187" s="90" t="s">
        <v>174</v>
      </c>
      <c r="C187" s="97">
        <v>2.5831999999999999E-3</v>
      </c>
      <c r="D187" s="97">
        <v>2.5674999999999999E-3</v>
      </c>
      <c r="E187" s="92">
        <v>3097391.03</v>
      </c>
      <c r="F187" s="92">
        <f t="shared" si="8"/>
        <v>3010191.1973575</v>
      </c>
      <c r="G187" s="92">
        <v>9519603</v>
      </c>
      <c r="H187" s="92"/>
      <c r="I187" s="93">
        <v>0</v>
      </c>
      <c r="J187" s="93">
        <v>6643024</v>
      </c>
      <c r="K187" s="93">
        <v>0</v>
      </c>
      <c r="L187" s="92">
        <v>0</v>
      </c>
      <c r="M187" s="92"/>
      <c r="N187" s="93">
        <v>1082379</v>
      </c>
      <c r="O187" s="93">
        <v>7674393</v>
      </c>
      <c r="P187" s="93">
        <v>0</v>
      </c>
      <c r="Q187" s="92">
        <v>468139</v>
      </c>
      <c r="R187" s="92"/>
      <c r="S187" s="93">
        <v>927588</v>
      </c>
      <c r="T187" s="94">
        <v>-162753</v>
      </c>
      <c r="U187" s="94">
        <v>764835</v>
      </c>
      <c r="X187" s="95">
        <v>2.5674999999999999E-3</v>
      </c>
      <c r="Y187" s="96">
        <f t="shared" si="9"/>
        <v>0</v>
      </c>
      <c r="Z187" s="88">
        <f t="shared" si="10"/>
        <v>0</v>
      </c>
      <c r="AB187" s="75">
        <f t="shared" si="11"/>
        <v>-1031369</v>
      </c>
      <c r="AC187" s="75">
        <v>-1</v>
      </c>
    </row>
    <row r="188" spans="1:29">
      <c r="A188" s="89">
        <v>35905</v>
      </c>
      <c r="B188" s="90" t="s">
        <v>175</v>
      </c>
      <c r="C188" s="97">
        <v>3.6640000000000002E-4</v>
      </c>
      <c r="D188" s="97">
        <v>3.7520000000000001E-4</v>
      </c>
      <c r="E188" s="92">
        <v>523530.19</v>
      </c>
      <c r="F188" s="92">
        <f t="shared" si="8"/>
        <v>439892.4000968</v>
      </c>
      <c r="G188" s="92">
        <v>1350257</v>
      </c>
      <c r="H188" s="92"/>
      <c r="I188" s="93">
        <v>0</v>
      </c>
      <c r="J188" s="93">
        <v>942244</v>
      </c>
      <c r="K188" s="93">
        <v>0</v>
      </c>
      <c r="L188" s="92">
        <v>25106</v>
      </c>
      <c r="M188" s="92"/>
      <c r="N188" s="93">
        <v>153524</v>
      </c>
      <c r="O188" s="93">
        <v>1088533</v>
      </c>
      <c r="P188" s="93">
        <v>0</v>
      </c>
      <c r="Q188" s="92">
        <v>0</v>
      </c>
      <c r="R188" s="92"/>
      <c r="S188" s="93">
        <v>131569</v>
      </c>
      <c r="T188" s="94">
        <v>8147</v>
      </c>
      <c r="U188" s="94">
        <v>139715</v>
      </c>
      <c r="X188" s="95">
        <v>3.7520000000000001E-4</v>
      </c>
      <c r="Y188" s="96">
        <f t="shared" si="9"/>
        <v>0</v>
      </c>
      <c r="Z188" s="88">
        <f t="shared" si="10"/>
        <v>1</v>
      </c>
      <c r="AB188" s="75">
        <f t="shared" si="11"/>
        <v>-146289</v>
      </c>
      <c r="AC188" s="75">
        <v>0</v>
      </c>
    </row>
    <row r="189" spans="1:29">
      <c r="A189" s="89">
        <v>36000</v>
      </c>
      <c r="B189" s="90" t="s">
        <v>176</v>
      </c>
      <c r="C189" s="97">
        <v>5.6787200000000003E-2</v>
      </c>
      <c r="D189" s="97">
        <v>5.6976400000000003E-2</v>
      </c>
      <c r="E189" s="92">
        <v>65859709.369999997</v>
      </c>
      <c r="F189" s="92">
        <f t="shared" si="8"/>
        <v>66800334.074827604</v>
      </c>
      <c r="G189" s="92">
        <v>209272076</v>
      </c>
      <c r="H189" s="92"/>
      <c r="I189" s="93">
        <v>0</v>
      </c>
      <c r="J189" s="93">
        <v>146035440</v>
      </c>
      <c r="K189" s="93">
        <v>0</v>
      </c>
      <c r="L189" s="92">
        <v>0</v>
      </c>
      <c r="M189" s="92"/>
      <c r="N189" s="93">
        <v>23794234</v>
      </c>
      <c r="O189" s="93">
        <v>168708297</v>
      </c>
      <c r="P189" s="93">
        <v>0</v>
      </c>
      <c r="Q189" s="92">
        <v>7912438</v>
      </c>
      <c r="R189" s="92"/>
      <c r="S189" s="93">
        <v>20391432</v>
      </c>
      <c r="T189" s="94">
        <v>-2398800</v>
      </c>
      <c r="U189" s="94">
        <v>17992631</v>
      </c>
      <c r="X189" s="95">
        <v>5.6976400000000003E-2</v>
      </c>
      <c r="Y189" s="96">
        <f t="shared" si="9"/>
        <v>0</v>
      </c>
      <c r="Z189" s="88">
        <f t="shared" si="10"/>
        <v>1</v>
      </c>
      <c r="AB189" s="75">
        <f t="shared" si="11"/>
        <v>-22672857</v>
      </c>
      <c r="AC189" s="75">
        <v>1</v>
      </c>
    </row>
    <row r="190" spans="1:29">
      <c r="A190" s="89">
        <v>36001</v>
      </c>
      <c r="B190" s="90" t="s">
        <v>177</v>
      </c>
      <c r="C190" s="97">
        <v>3.4600000000000001E-5</v>
      </c>
      <c r="D190" s="97">
        <v>5.2599999999999998E-5</v>
      </c>
      <c r="E190" s="92">
        <v>40955.89</v>
      </c>
      <c r="F190" s="92">
        <f t="shared" si="8"/>
        <v>61669.350333399998</v>
      </c>
      <c r="G190" s="92">
        <v>127508</v>
      </c>
      <c r="H190" s="92"/>
      <c r="I190" s="93">
        <v>0</v>
      </c>
      <c r="J190" s="93">
        <v>88978</v>
      </c>
      <c r="K190" s="93">
        <v>0</v>
      </c>
      <c r="L190" s="92">
        <v>0</v>
      </c>
      <c r="M190" s="92"/>
      <c r="N190" s="93">
        <v>14498</v>
      </c>
      <c r="O190" s="93">
        <v>102793</v>
      </c>
      <c r="P190" s="93">
        <v>0</v>
      </c>
      <c r="Q190" s="92">
        <v>110740</v>
      </c>
      <c r="R190" s="92"/>
      <c r="S190" s="93">
        <v>12424</v>
      </c>
      <c r="T190" s="94">
        <v>-33313</v>
      </c>
      <c r="U190" s="94">
        <v>-20889</v>
      </c>
      <c r="X190" s="95">
        <v>5.2599999999999998E-5</v>
      </c>
      <c r="Y190" s="96">
        <f t="shared" si="9"/>
        <v>0</v>
      </c>
      <c r="Z190" s="88">
        <f t="shared" si="10"/>
        <v>0</v>
      </c>
      <c r="AB190" s="75">
        <f t="shared" si="11"/>
        <v>-13815</v>
      </c>
      <c r="AC190" s="75">
        <v>0</v>
      </c>
    </row>
    <row r="191" spans="1:29">
      <c r="A191" s="89">
        <v>36002</v>
      </c>
      <c r="B191" s="90" t="s">
        <v>178</v>
      </c>
      <c r="C191" s="97">
        <v>2.019E-4</v>
      </c>
      <c r="D191" s="97">
        <v>2.0680000000000001E-4</v>
      </c>
      <c r="E191" s="92">
        <v>223910.35</v>
      </c>
      <c r="F191" s="92">
        <f t="shared" si="8"/>
        <v>242456.68534120001</v>
      </c>
      <c r="G191" s="92">
        <v>744041</v>
      </c>
      <c r="H191" s="92"/>
      <c r="I191" s="93">
        <v>0</v>
      </c>
      <c r="J191" s="93">
        <v>519211</v>
      </c>
      <c r="K191" s="93">
        <v>0</v>
      </c>
      <c r="L191" s="92">
        <v>95536</v>
      </c>
      <c r="M191" s="92"/>
      <c r="N191" s="93">
        <v>84598</v>
      </c>
      <c r="O191" s="93">
        <v>599822</v>
      </c>
      <c r="P191" s="93">
        <v>0</v>
      </c>
      <c r="Q191" s="92">
        <v>45014</v>
      </c>
      <c r="R191" s="92"/>
      <c r="S191" s="93">
        <v>72499</v>
      </c>
      <c r="T191" s="94">
        <v>21773</v>
      </c>
      <c r="U191" s="94">
        <v>94272</v>
      </c>
      <c r="X191" s="95">
        <v>2.0680000000000001E-4</v>
      </c>
      <c r="Y191" s="96">
        <f t="shared" si="9"/>
        <v>0</v>
      </c>
      <c r="Z191" s="88">
        <f t="shared" si="10"/>
        <v>0</v>
      </c>
      <c r="AB191" s="75">
        <f t="shared" si="11"/>
        <v>-80611</v>
      </c>
      <c r="AC191" s="75">
        <v>-1</v>
      </c>
    </row>
    <row r="192" spans="1:29">
      <c r="A192" s="89">
        <v>36003</v>
      </c>
      <c r="B192" s="90" t="s">
        <v>179</v>
      </c>
      <c r="C192" s="97">
        <v>4.4470000000000002E-4</v>
      </c>
      <c r="D192" s="97">
        <v>4.3379999999999997E-4</v>
      </c>
      <c r="E192" s="92">
        <v>437160.13</v>
      </c>
      <c r="F192" s="92">
        <f t="shared" si="8"/>
        <v>508596.27708419994</v>
      </c>
      <c r="G192" s="92">
        <v>1638808</v>
      </c>
      <c r="H192" s="92"/>
      <c r="I192" s="93">
        <v>0</v>
      </c>
      <c r="J192" s="93">
        <v>1143602</v>
      </c>
      <c r="K192" s="93">
        <v>0</v>
      </c>
      <c r="L192" s="92">
        <v>11062</v>
      </c>
      <c r="M192" s="92"/>
      <c r="N192" s="93">
        <v>186332</v>
      </c>
      <c r="O192" s="93">
        <v>1321153</v>
      </c>
      <c r="P192" s="93">
        <v>0</v>
      </c>
      <c r="Q192" s="92">
        <v>51168</v>
      </c>
      <c r="R192" s="92"/>
      <c r="S192" s="93">
        <v>159685</v>
      </c>
      <c r="T192" s="94">
        <v>-10209</v>
      </c>
      <c r="U192" s="94">
        <v>149476</v>
      </c>
      <c r="X192" s="95">
        <v>4.3379999999999997E-4</v>
      </c>
      <c r="Y192" s="96">
        <f t="shared" si="9"/>
        <v>0</v>
      </c>
      <c r="Z192" s="88">
        <f t="shared" si="10"/>
        <v>0</v>
      </c>
      <c r="AB192" s="75">
        <f t="shared" si="11"/>
        <v>-177551</v>
      </c>
      <c r="AC192" s="75">
        <v>0</v>
      </c>
    </row>
    <row r="193" spans="1:29">
      <c r="A193" s="89">
        <v>36004</v>
      </c>
      <c r="B193" s="90" t="s">
        <v>291</v>
      </c>
      <c r="C193" s="97">
        <v>1.662E-4</v>
      </c>
      <c r="D193" s="97">
        <v>8.6299999999999997E-5</v>
      </c>
      <c r="E193" s="92">
        <v>177554.39</v>
      </c>
      <c r="F193" s="92">
        <f t="shared" si="8"/>
        <v>101179.9417067</v>
      </c>
      <c r="G193" s="92">
        <v>612480</v>
      </c>
      <c r="H193" s="92"/>
      <c r="I193" s="93">
        <v>0</v>
      </c>
      <c r="J193" s="93">
        <v>427404</v>
      </c>
      <c r="K193" s="93">
        <v>0</v>
      </c>
      <c r="L193" s="92">
        <v>619317</v>
      </c>
      <c r="M193" s="92"/>
      <c r="N193" s="93">
        <v>69639</v>
      </c>
      <c r="O193" s="93">
        <v>493761</v>
      </c>
      <c r="P193" s="93">
        <v>0</v>
      </c>
      <c r="Q193" s="92">
        <v>0</v>
      </c>
      <c r="R193" s="92"/>
      <c r="S193" s="93">
        <v>59680</v>
      </c>
      <c r="T193" s="94">
        <v>196493</v>
      </c>
      <c r="U193" s="94">
        <v>256172</v>
      </c>
      <c r="X193" s="95">
        <v>8.6299999999999997E-5</v>
      </c>
      <c r="Y193" s="96">
        <f t="shared" si="9"/>
        <v>0</v>
      </c>
      <c r="Z193" s="88">
        <f t="shared" si="10"/>
        <v>1</v>
      </c>
      <c r="AB193" s="75">
        <f t="shared" si="11"/>
        <v>-66357</v>
      </c>
      <c r="AC193" s="75">
        <v>0</v>
      </c>
    </row>
    <row r="194" spans="1:29">
      <c r="A194" s="89">
        <v>36005</v>
      </c>
      <c r="B194" s="90" t="s">
        <v>180</v>
      </c>
      <c r="C194" s="97">
        <v>4.8573000000000002E-3</v>
      </c>
      <c r="D194" s="97">
        <v>4.6411000000000004E-3</v>
      </c>
      <c r="E194" s="92">
        <v>6352555.54</v>
      </c>
      <c r="F194" s="92">
        <f t="shared" si="8"/>
        <v>5441323.6089799004</v>
      </c>
      <c r="G194" s="92">
        <v>17900112</v>
      </c>
      <c r="H194" s="92"/>
      <c r="I194" s="93">
        <v>0</v>
      </c>
      <c r="J194" s="93">
        <v>12491159</v>
      </c>
      <c r="K194" s="93">
        <v>0</v>
      </c>
      <c r="L194" s="92">
        <v>1993866</v>
      </c>
      <c r="M194" s="92"/>
      <c r="N194" s="93">
        <v>2035243</v>
      </c>
      <c r="O194" s="93">
        <v>14430485</v>
      </c>
      <c r="P194" s="93">
        <v>0</v>
      </c>
      <c r="Q194" s="92">
        <v>0</v>
      </c>
      <c r="R194" s="92"/>
      <c r="S194" s="93">
        <v>1744184</v>
      </c>
      <c r="T194" s="94">
        <v>626083</v>
      </c>
      <c r="U194" s="94">
        <v>2370267</v>
      </c>
      <c r="X194" s="95">
        <v>4.6411000000000004E-3</v>
      </c>
      <c r="Y194" s="96">
        <f t="shared" si="9"/>
        <v>0</v>
      </c>
      <c r="Z194" s="88">
        <f t="shared" si="10"/>
        <v>0</v>
      </c>
      <c r="AB194" s="75">
        <f t="shared" si="11"/>
        <v>-1939326</v>
      </c>
      <c r="AC194" s="75">
        <v>1</v>
      </c>
    </row>
    <row r="195" spans="1:29">
      <c r="A195" s="89">
        <v>36006</v>
      </c>
      <c r="B195" s="90" t="s">
        <v>181</v>
      </c>
      <c r="C195" s="97">
        <v>5.419E-4</v>
      </c>
      <c r="D195" s="97">
        <v>5.329E-4</v>
      </c>
      <c r="E195" s="92">
        <v>542304.34</v>
      </c>
      <c r="F195" s="92">
        <f t="shared" ref="F195:F259" si="12">D195*$F$298</f>
        <v>624783.20898610004</v>
      </c>
      <c r="G195" s="92">
        <v>1997009</v>
      </c>
      <c r="H195" s="92"/>
      <c r="I195" s="93">
        <v>0</v>
      </c>
      <c r="J195" s="93">
        <v>1393564</v>
      </c>
      <c r="K195" s="93">
        <v>0</v>
      </c>
      <c r="L195" s="92">
        <v>46611</v>
      </c>
      <c r="M195" s="92"/>
      <c r="N195" s="93">
        <v>227060</v>
      </c>
      <c r="O195" s="93">
        <v>1609923</v>
      </c>
      <c r="P195" s="93">
        <v>0</v>
      </c>
      <c r="Q195" s="92">
        <v>72973</v>
      </c>
      <c r="R195" s="92"/>
      <c r="S195" s="93">
        <v>194588</v>
      </c>
      <c r="T195" s="94">
        <v>-3508</v>
      </c>
      <c r="U195" s="94">
        <v>191080</v>
      </c>
      <c r="X195" s="95">
        <v>5.329E-4</v>
      </c>
      <c r="Y195" s="96">
        <f t="shared" si="9"/>
        <v>0</v>
      </c>
      <c r="Z195" s="88">
        <f t="shared" si="10"/>
        <v>0</v>
      </c>
      <c r="AB195" s="75">
        <f t="shared" si="11"/>
        <v>-216359</v>
      </c>
      <c r="AC195" s="75">
        <v>0</v>
      </c>
    </row>
    <row r="196" spans="1:29">
      <c r="A196" s="89">
        <v>36007</v>
      </c>
      <c r="B196" s="90" t="s">
        <v>182</v>
      </c>
      <c r="C196" s="97">
        <v>1.8760000000000001E-4</v>
      </c>
      <c r="D196" s="97">
        <v>1.8110000000000001E-4</v>
      </c>
      <c r="E196" s="92">
        <v>191931.41</v>
      </c>
      <c r="F196" s="92">
        <f t="shared" si="12"/>
        <v>212325.46283990002</v>
      </c>
      <c r="G196" s="92">
        <v>691343</v>
      </c>
      <c r="H196" s="92"/>
      <c r="I196" s="93">
        <v>0</v>
      </c>
      <c r="J196" s="93">
        <v>482437</v>
      </c>
      <c r="K196" s="93">
        <v>0</v>
      </c>
      <c r="L196" s="92">
        <v>29856</v>
      </c>
      <c r="M196" s="92"/>
      <c r="N196" s="93">
        <v>78606</v>
      </c>
      <c r="O196" s="93">
        <v>557338</v>
      </c>
      <c r="P196" s="93">
        <v>0</v>
      </c>
      <c r="Q196" s="92">
        <v>7651</v>
      </c>
      <c r="R196" s="92"/>
      <c r="S196" s="93">
        <v>67364</v>
      </c>
      <c r="T196" s="94">
        <v>8582</v>
      </c>
      <c r="U196" s="94">
        <v>75946</v>
      </c>
      <c r="X196" s="95">
        <v>1.8110000000000001E-4</v>
      </c>
      <c r="Y196" s="96">
        <f t="shared" ref="Y196:Y260" si="13">+X196-D196</f>
        <v>0</v>
      </c>
      <c r="Z196" s="88">
        <f t="shared" ref="Z196:Z260" si="14">+S196+T196-U196</f>
        <v>0</v>
      </c>
      <c r="AB196" s="75">
        <f t="shared" si="11"/>
        <v>-74901</v>
      </c>
      <c r="AC196" s="75">
        <v>0</v>
      </c>
    </row>
    <row r="197" spans="1:29">
      <c r="A197" s="89">
        <v>36008</v>
      </c>
      <c r="B197" s="90" t="s">
        <v>183</v>
      </c>
      <c r="C197" s="97">
        <v>5.4699999999999996E-4</v>
      </c>
      <c r="D197" s="97">
        <v>5.1360000000000002E-4</v>
      </c>
      <c r="E197" s="92">
        <v>512983.56</v>
      </c>
      <c r="F197" s="92">
        <f t="shared" si="12"/>
        <v>602155.48158240004</v>
      </c>
      <c r="G197" s="92">
        <v>2015803</v>
      </c>
      <c r="H197" s="92"/>
      <c r="I197" s="93">
        <v>0</v>
      </c>
      <c r="J197" s="93">
        <v>1406679</v>
      </c>
      <c r="K197" s="93">
        <v>0</v>
      </c>
      <c r="L197" s="92">
        <v>47574</v>
      </c>
      <c r="M197" s="92"/>
      <c r="N197" s="93">
        <v>229197</v>
      </c>
      <c r="O197" s="93">
        <v>1625075</v>
      </c>
      <c r="P197" s="93">
        <v>0</v>
      </c>
      <c r="Q197" s="92">
        <v>0</v>
      </c>
      <c r="R197" s="92"/>
      <c r="S197" s="93">
        <v>196419</v>
      </c>
      <c r="T197" s="94">
        <v>16861</v>
      </c>
      <c r="U197" s="94">
        <v>213281</v>
      </c>
      <c r="X197" s="95">
        <v>5.1360000000000002E-4</v>
      </c>
      <c r="Y197" s="96">
        <f t="shared" si="13"/>
        <v>0</v>
      </c>
      <c r="Z197" s="88">
        <f t="shared" si="14"/>
        <v>-1</v>
      </c>
      <c r="AB197" s="75">
        <f t="shared" ref="AB197:AB261" si="15">+J197-O197</f>
        <v>-218396</v>
      </c>
      <c r="AC197" s="75">
        <v>0</v>
      </c>
    </row>
    <row r="198" spans="1:29">
      <c r="A198" s="89">
        <v>36009</v>
      </c>
      <c r="B198" s="90" t="s">
        <v>184</v>
      </c>
      <c r="C198" s="97">
        <v>1.551E-4</v>
      </c>
      <c r="D198" s="97">
        <v>1.0119999999999999E-4</v>
      </c>
      <c r="E198" s="92">
        <v>147380.07999999999</v>
      </c>
      <c r="F198" s="92">
        <f t="shared" si="12"/>
        <v>118649.01623079999</v>
      </c>
      <c r="G198" s="92">
        <v>571574</v>
      </c>
      <c r="H198" s="92"/>
      <c r="I198" s="93">
        <v>0</v>
      </c>
      <c r="J198" s="93">
        <v>398859</v>
      </c>
      <c r="K198" s="93">
        <v>0</v>
      </c>
      <c r="L198" s="92">
        <v>248771</v>
      </c>
      <c r="M198" s="92"/>
      <c r="N198" s="93">
        <v>64988</v>
      </c>
      <c r="O198" s="93">
        <v>460784</v>
      </c>
      <c r="P198" s="93">
        <v>0</v>
      </c>
      <c r="Q198" s="92">
        <v>0</v>
      </c>
      <c r="R198" s="92"/>
      <c r="S198" s="93">
        <v>55694</v>
      </c>
      <c r="T198" s="94">
        <v>73673</v>
      </c>
      <c r="U198" s="94">
        <v>129367</v>
      </c>
      <c r="X198" s="95">
        <v>1.0119999999999999E-4</v>
      </c>
      <c r="Y198" s="96">
        <f t="shared" si="13"/>
        <v>0</v>
      </c>
      <c r="Z198" s="88">
        <f t="shared" si="14"/>
        <v>0</v>
      </c>
      <c r="AB198" s="75">
        <f t="shared" si="15"/>
        <v>-61925</v>
      </c>
      <c r="AC198" s="75">
        <v>0</v>
      </c>
    </row>
    <row r="199" spans="1:29">
      <c r="A199" s="89">
        <v>36100</v>
      </c>
      <c r="B199" s="90" t="s">
        <v>185</v>
      </c>
      <c r="C199" s="97">
        <v>7.8470000000000005E-4</v>
      </c>
      <c r="D199" s="97">
        <v>7.9100000000000004E-4</v>
      </c>
      <c r="E199" s="92">
        <v>1040408.45</v>
      </c>
      <c r="F199" s="92">
        <f t="shared" si="12"/>
        <v>927385.09721899999</v>
      </c>
      <c r="G199" s="92">
        <v>2891775</v>
      </c>
      <c r="H199" s="92"/>
      <c r="I199" s="93">
        <v>0</v>
      </c>
      <c r="J199" s="93">
        <v>2017955</v>
      </c>
      <c r="K199" s="93">
        <v>0</v>
      </c>
      <c r="L199" s="92">
        <v>12259</v>
      </c>
      <c r="M199" s="92"/>
      <c r="N199" s="93">
        <v>328795</v>
      </c>
      <c r="O199" s="93">
        <v>2331254</v>
      </c>
      <c r="P199" s="93">
        <v>0</v>
      </c>
      <c r="Q199" s="92">
        <v>118035</v>
      </c>
      <c r="R199" s="92"/>
      <c r="S199" s="93">
        <v>281774</v>
      </c>
      <c r="T199" s="94">
        <v>-38911</v>
      </c>
      <c r="U199" s="94">
        <v>242863</v>
      </c>
      <c r="X199" s="95">
        <v>7.9100000000000004E-4</v>
      </c>
      <c r="Y199" s="96">
        <f t="shared" si="13"/>
        <v>0</v>
      </c>
      <c r="Z199" s="88">
        <f t="shared" si="14"/>
        <v>0</v>
      </c>
      <c r="AB199" s="75">
        <f t="shared" si="15"/>
        <v>-313299</v>
      </c>
      <c r="AC199" s="75">
        <v>0</v>
      </c>
    </row>
    <row r="200" spans="1:29">
      <c r="A200" s="89">
        <v>36102</v>
      </c>
      <c r="B200" s="90" t="s">
        <v>186</v>
      </c>
      <c r="C200" s="97">
        <v>1.21E-4</v>
      </c>
      <c r="D200" s="97">
        <v>1.6550000000000001E-4</v>
      </c>
      <c r="E200" s="92">
        <v>132141.56</v>
      </c>
      <c r="F200" s="92">
        <f t="shared" si="12"/>
        <v>194035.6935395</v>
      </c>
      <c r="G200" s="92">
        <v>445909</v>
      </c>
      <c r="H200" s="92"/>
      <c r="I200" s="93">
        <v>0</v>
      </c>
      <c r="J200" s="93">
        <v>311167</v>
      </c>
      <c r="K200" s="93">
        <v>0</v>
      </c>
      <c r="L200" s="92">
        <v>0</v>
      </c>
      <c r="M200" s="92"/>
      <c r="N200" s="93">
        <v>50700</v>
      </c>
      <c r="O200" s="93">
        <v>359477</v>
      </c>
      <c r="P200" s="93">
        <v>0</v>
      </c>
      <c r="Q200" s="92">
        <v>229769</v>
      </c>
      <c r="R200" s="92"/>
      <c r="S200" s="93">
        <v>43449</v>
      </c>
      <c r="T200" s="94">
        <v>-65700</v>
      </c>
      <c r="U200" s="94">
        <v>-22251</v>
      </c>
      <c r="X200" s="95">
        <v>1.6550000000000001E-4</v>
      </c>
      <c r="Y200" s="96">
        <f t="shared" si="13"/>
        <v>0</v>
      </c>
      <c r="Z200" s="88">
        <f t="shared" si="14"/>
        <v>0</v>
      </c>
      <c r="AB200" s="75">
        <f t="shared" si="15"/>
        <v>-48310</v>
      </c>
      <c r="AC200" s="75">
        <v>0</v>
      </c>
    </row>
    <row r="201" spans="1:29">
      <c r="A201" s="89">
        <v>36105</v>
      </c>
      <c r="B201" s="90" t="s">
        <v>187</v>
      </c>
      <c r="C201" s="97">
        <v>4.0910000000000002E-4</v>
      </c>
      <c r="D201" s="97">
        <v>4.2010000000000002E-4</v>
      </c>
      <c r="E201" s="92">
        <v>572233.68000000005</v>
      </c>
      <c r="F201" s="92">
        <f t="shared" si="12"/>
        <v>492534.10789090005</v>
      </c>
      <c r="G201" s="92">
        <v>1507615</v>
      </c>
      <c r="H201" s="92"/>
      <c r="I201" s="93">
        <v>0</v>
      </c>
      <c r="J201" s="93">
        <v>1052052</v>
      </c>
      <c r="K201" s="93">
        <v>0</v>
      </c>
      <c r="L201" s="92">
        <v>0</v>
      </c>
      <c r="M201" s="92"/>
      <c r="N201" s="93">
        <v>171416</v>
      </c>
      <c r="O201" s="93">
        <v>1215389</v>
      </c>
      <c r="P201" s="93">
        <v>0</v>
      </c>
      <c r="Q201" s="92">
        <v>42804</v>
      </c>
      <c r="R201" s="92"/>
      <c r="S201" s="93">
        <v>146902</v>
      </c>
      <c r="T201" s="94">
        <v>-15104</v>
      </c>
      <c r="U201" s="94">
        <v>131798</v>
      </c>
      <c r="X201" s="95">
        <v>4.2010000000000002E-4</v>
      </c>
      <c r="Y201" s="96">
        <f t="shared" si="13"/>
        <v>0</v>
      </c>
      <c r="Z201" s="88">
        <f t="shared" si="14"/>
        <v>0</v>
      </c>
      <c r="AB201" s="75">
        <f t="shared" si="15"/>
        <v>-163337</v>
      </c>
      <c r="AC201" s="75">
        <v>1</v>
      </c>
    </row>
    <row r="202" spans="1:29">
      <c r="A202" s="89">
        <v>36200</v>
      </c>
      <c r="B202" s="90" t="s">
        <v>188</v>
      </c>
      <c r="C202" s="97">
        <v>1.5869E-3</v>
      </c>
      <c r="D202" s="97">
        <v>1.5994E-3</v>
      </c>
      <c r="E202" s="92">
        <v>2128217.44</v>
      </c>
      <c r="F202" s="92">
        <f t="shared" si="12"/>
        <v>1875170.3217346</v>
      </c>
      <c r="G202" s="92">
        <v>5848041</v>
      </c>
      <c r="H202" s="92"/>
      <c r="I202" s="93">
        <v>0</v>
      </c>
      <c r="J202" s="93">
        <v>4080913</v>
      </c>
      <c r="K202" s="93">
        <v>0</v>
      </c>
      <c r="L202" s="92">
        <v>44759</v>
      </c>
      <c r="M202" s="92"/>
      <c r="N202" s="93">
        <v>664922</v>
      </c>
      <c r="O202" s="93">
        <v>4714499</v>
      </c>
      <c r="P202" s="93">
        <v>0</v>
      </c>
      <c r="Q202" s="92">
        <v>49210</v>
      </c>
      <c r="R202" s="92"/>
      <c r="S202" s="93">
        <v>569832</v>
      </c>
      <c r="T202" s="94">
        <v>-5239</v>
      </c>
      <c r="U202" s="94">
        <v>564593</v>
      </c>
      <c r="X202" s="95">
        <v>1.5994E-3</v>
      </c>
      <c r="Y202" s="96">
        <f t="shared" si="13"/>
        <v>0</v>
      </c>
      <c r="Z202" s="88">
        <f t="shared" si="14"/>
        <v>0</v>
      </c>
      <c r="AB202" s="75">
        <f t="shared" si="15"/>
        <v>-633586</v>
      </c>
      <c r="AC202" s="75">
        <v>0</v>
      </c>
    </row>
    <row r="203" spans="1:29">
      <c r="A203" s="89">
        <v>36205</v>
      </c>
      <c r="B203" s="90" t="s">
        <v>189</v>
      </c>
      <c r="C203" s="97">
        <v>2.611E-4</v>
      </c>
      <c r="D203" s="97">
        <v>2.5460000000000001E-4</v>
      </c>
      <c r="E203" s="92">
        <v>347739.85</v>
      </c>
      <c r="F203" s="92">
        <f t="shared" si="12"/>
        <v>298498.41435139999</v>
      </c>
      <c r="G203" s="92">
        <v>962205</v>
      </c>
      <c r="H203" s="92"/>
      <c r="I203" s="93">
        <v>0</v>
      </c>
      <c r="J203" s="93">
        <v>671452</v>
      </c>
      <c r="K203" s="93">
        <v>0</v>
      </c>
      <c r="L203" s="92">
        <v>72344</v>
      </c>
      <c r="M203" s="92"/>
      <c r="N203" s="93">
        <v>109403</v>
      </c>
      <c r="O203" s="93">
        <v>775698</v>
      </c>
      <c r="P203" s="93">
        <v>0</v>
      </c>
      <c r="Q203" s="92">
        <v>0</v>
      </c>
      <c r="R203" s="92"/>
      <c r="S203" s="93">
        <v>93757</v>
      </c>
      <c r="T203" s="94">
        <v>22535</v>
      </c>
      <c r="U203" s="94">
        <v>116292</v>
      </c>
      <c r="X203" s="95">
        <v>2.5460000000000001E-4</v>
      </c>
      <c r="Y203" s="96">
        <f t="shared" si="13"/>
        <v>0</v>
      </c>
      <c r="Z203" s="88">
        <f t="shared" si="14"/>
        <v>0</v>
      </c>
      <c r="AB203" s="75">
        <f t="shared" si="15"/>
        <v>-104246</v>
      </c>
      <c r="AC203" s="75">
        <v>1</v>
      </c>
    </row>
    <row r="204" spans="1:29">
      <c r="A204" s="89">
        <v>36300</v>
      </c>
      <c r="B204" s="90" t="s">
        <v>190</v>
      </c>
      <c r="C204" s="97">
        <v>4.8706000000000001E-3</v>
      </c>
      <c r="D204" s="97">
        <v>4.8456000000000003E-3</v>
      </c>
      <c r="E204" s="92">
        <v>6125652.4900000002</v>
      </c>
      <c r="F204" s="92">
        <f t="shared" si="12"/>
        <v>5681083.7257703999</v>
      </c>
      <c r="G204" s="92">
        <v>17949125</v>
      </c>
      <c r="H204" s="92"/>
      <c r="I204" s="93">
        <v>0</v>
      </c>
      <c r="J204" s="93">
        <v>12525362</v>
      </c>
      <c r="K204" s="93">
        <v>0</v>
      </c>
      <c r="L204" s="92">
        <v>87433</v>
      </c>
      <c r="M204" s="92"/>
      <c r="N204" s="93">
        <v>2040815</v>
      </c>
      <c r="O204" s="93">
        <v>14469997</v>
      </c>
      <c r="P204" s="93">
        <v>0</v>
      </c>
      <c r="Q204" s="92">
        <v>175398</v>
      </c>
      <c r="R204" s="92"/>
      <c r="S204" s="93">
        <v>1748959</v>
      </c>
      <c r="T204" s="94">
        <v>-38647</v>
      </c>
      <c r="U204" s="94">
        <v>1710312</v>
      </c>
      <c r="X204" s="95">
        <v>4.8456000000000003E-3</v>
      </c>
      <c r="Y204" s="96">
        <f t="shared" si="13"/>
        <v>0</v>
      </c>
      <c r="Z204" s="88">
        <f t="shared" si="14"/>
        <v>0</v>
      </c>
      <c r="AB204" s="75">
        <f t="shared" si="15"/>
        <v>-1944635</v>
      </c>
      <c r="AC204" s="75">
        <v>1</v>
      </c>
    </row>
    <row r="205" spans="1:29">
      <c r="A205" s="89">
        <v>36301</v>
      </c>
      <c r="B205" s="90" t="s">
        <v>191</v>
      </c>
      <c r="C205" s="97">
        <v>5.0699999999999999E-5</v>
      </c>
      <c r="D205" s="97">
        <v>4.9700000000000002E-5</v>
      </c>
      <c r="E205" s="92">
        <v>59635.96</v>
      </c>
      <c r="F205" s="92">
        <f t="shared" si="12"/>
        <v>58269.329117300003</v>
      </c>
      <c r="G205" s="92">
        <v>186840</v>
      </c>
      <c r="H205" s="92"/>
      <c r="I205" s="93">
        <v>0</v>
      </c>
      <c r="J205" s="93">
        <v>130381</v>
      </c>
      <c r="K205" s="93">
        <v>0</v>
      </c>
      <c r="L205" s="92">
        <v>9034</v>
      </c>
      <c r="M205" s="92"/>
      <c r="N205" s="93">
        <v>21244</v>
      </c>
      <c r="O205" s="93">
        <v>150624</v>
      </c>
      <c r="P205" s="93">
        <v>0</v>
      </c>
      <c r="Q205" s="92">
        <v>0</v>
      </c>
      <c r="R205" s="92"/>
      <c r="S205" s="93">
        <v>18206</v>
      </c>
      <c r="T205" s="94">
        <v>3172</v>
      </c>
      <c r="U205" s="94">
        <v>21378</v>
      </c>
      <c r="X205" s="95">
        <v>4.9700000000000002E-5</v>
      </c>
      <c r="Y205" s="96">
        <f t="shared" si="13"/>
        <v>0</v>
      </c>
      <c r="Z205" s="88">
        <f t="shared" si="14"/>
        <v>0</v>
      </c>
      <c r="AB205" s="75">
        <f t="shared" si="15"/>
        <v>-20243</v>
      </c>
      <c r="AC205" s="75">
        <v>1</v>
      </c>
    </row>
    <row r="206" spans="1:29">
      <c r="A206" s="89">
        <v>36302</v>
      </c>
      <c r="B206" s="90" t="s">
        <v>192</v>
      </c>
      <c r="C206" s="97">
        <v>1.2669999999999999E-4</v>
      </c>
      <c r="D206" s="97">
        <v>1.053E-4</v>
      </c>
      <c r="E206" s="92">
        <v>130920.73</v>
      </c>
      <c r="F206" s="92">
        <f t="shared" si="12"/>
        <v>123455.94277769999</v>
      </c>
      <c r="G206" s="92">
        <v>466915</v>
      </c>
      <c r="H206" s="92"/>
      <c r="I206" s="93">
        <v>0</v>
      </c>
      <c r="J206" s="93">
        <v>325825</v>
      </c>
      <c r="K206" s="93">
        <v>0</v>
      </c>
      <c r="L206" s="92">
        <v>96482</v>
      </c>
      <c r="M206" s="92"/>
      <c r="N206" s="93">
        <v>53088</v>
      </c>
      <c r="O206" s="93">
        <v>376411</v>
      </c>
      <c r="P206" s="93">
        <v>0</v>
      </c>
      <c r="Q206" s="92">
        <v>0</v>
      </c>
      <c r="R206" s="92"/>
      <c r="S206" s="93">
        <v>45496</v>
      </c>
      <c r="T206" s="94">
        <v>29056</v>
      </c>
      <c r="U206" s="94">
        <v>74552</v>
      </c>
      <c r="X206" s="95">
        <v>1.053E-4</v>
      </c>
      <c r="Y206" s="96">
        <f t="shared" si="13"/>
        <v>0</v>
      </c>
      <c r="Z206" s="88">
        <f t="shared" si="14"/>
        <v>0</v>
      </c>
      <c r="AB206" s="75">
        <f t="shared" si="15"/>
        <v>-50586</v>
      </c>
      <c r="AC206" s="75">
        <v>0</v>
      </c>
    </row>
    <row r="207" spans="1:29">
      <c r="A207" s="89">
        <v>36305</v>
      </c>
      <c r="B207" s="90" t="s">
        <v>193</v>
      </c>
      <c r="C207" s="97">
        <v>9.7300000000000002E-4</v>
      </c>
      <c r="D207" s="97">
        <v>9.6610000000000001E-4</v>
      </c>
      <c r="E207" s="92">
        <v>1363671.54</v>
      </c>
      <c r="F207" s="92">
        <f t="shared" si="12"/>
        <v>1132676.0334049</v>
      </c>
      <c r="G207" s="92">
        <v>3585698</v>
      </c>
      <c r="H207" s="92"/>
      <c r="I207" s="93">
        <v>0</v>
      </c>
      <c r="J207" s="93">
        <v>2502192</v>
      </c>
      <c r="K207" s="93">
        <v>0</v>
      </c>
      <c r="L207" s="92">
        <v>135127</v>
      </c>
      <c r="M207" s="92"/>
      <c r="N207" s="93">
        <v>407694</v>
      </c>
      <c r="O207" s="93">
        <v>2890672</v>
      </c>
      <c r="P207" s="93">
        <v>0</v>
      </c>
      <c r="Q207" s="92">
        <v>90712</v>
      </c>
      <c r="R207" s="92"/>
      <c r="S207" s="93">
        <v>349390</v>
      </c>
      <c r="T207" s="94">
        <v>4918</v>
      </c>
      <c r="U207" s="94">
        <v>354308</v>
      </c>
      <c r="X207" s="95">
        <v>9.6610000000000001E-4</v>
      </c>
      <c r="Y207" s="96">
        <f t="shared" si="13"/>
        <v>0</v>
      </c>
      <c r="Z207" s="88">
        <f t="shared" si="14"/>
        <v>0</v>
      </c>
      <c r="AB207" s="75">
        <f t="shared" si="15"/>
        <v>-388480</v>
      </c>
      <c r="AC207" s="75">
        <v>-1</v>
      </c>
    </row>
    <row r="208" spans="1:29">
      <c r="A208" s="89">
        <v>36400</v>
      </c>
      <c r="B208" s="90" t="s">
        <v>194</v>
      </c>
      <c r="C208" s="97">
        <v>5.4408E-3</v>
      </c>
      <c r="D208" s="97">
        <v>5.5255E-3</v>
      </c>
      <c r="E208" s="92">
        <v>6982923.3200000003</v>
      </c>
      <c r="F208" s="92">
        <f t="shared" si="12"/>
        <v>6478212.8377794996</v>
      </c>
      <c r="G208" s="92">
        <v>20050425</v>
      </c>
      <c r="H208" s="92"/>
      <c r="I208" s="93">
        <v>0</v>
      </c>
      <c r="J208" s="93">
        <v>13991703</v>
      </c>
      <c r="K208" s="93">
        <v>0</v>
      </c>
      <c r="L208" s="92">
        <v>0</v>
      </c>
      <c r="M208" s="92"/>
      <c r="N208" s="93">
        <v>2279733</v>
      </c>
      <c r="O208" s="93">
        <v>16163997</v>
      </c>
      <c r="P208" s="93">
        <v>0</v>
      </c>
      <c r="Q208" s="92">
        <v>2018521</v>
      </c>
      <c r="R208" s="92"/>
      <c r="S208" s="93">
        <v>1953710</v>
      </c>
      <c r="T208" s="94">
        <v>-701547</v>
      </c>
      <c r="U208" s="94">
        <v>1252163</v>
      </c>
      <c r="X208" s="95">
        <v>5.5255E-3</v>
      </c>
      <c r="Y208" s="96">
        <f t="shared" si="13"/>
        <v>0</v>
      </c>
      <c r="Z208" s="88">
        <f t="shared" si="14"/>
        <v>0</v>
      </c>
      <c r="AB208" s="75">
        <f t="shared" si="15"/>
        <v>-2172294</v>
      </c>
      <c r="AC208" s="75">
        <v>-1</v>
      </c>
    </row>
    <row r="209" spans="1:29">
      <c r="A209" s="89">
        <v>36405</v>
      </c>
      <c r="B209" s="90" t="s">
        <v>195</v>
      </c>
      <c r="C209" s="97">
        <v>9.0160000000000001E-4</v>
      </c>
      <c r="D209" s="97">
        <v>8.9459999999999995E-4</v>
      </c>
      <c r="E209" s="92">
        <v>1151559.53</v>
      </c>
      <c r="F209" s="92">
        <f t="shared" si="12"/>
        <v>1048847.9241114</v>
      </c>
      <c r="G209" s="92">
        <v>3322575</v>
      </c>
      <c r="H209" s="92"/>
      <c r="I209" s="93">
        <v>0</v>
      </c>
      <c r="J209" s="93">
        <v>2318578</v>
      </c>
      <c r="K209" s="93">
        <v>0</v>
      </c>
      <c r="L209" s="92">
        <v>283463</v>
      </c>
      <c r="M209" s="92"/>
      <c r="N209" s="93">
        <v>377777</v>
      </c>
      <c r="O209" s="93">
        <v>2678551</v>
      </c>
      <c r="P209" s="93">
        <v>0</v>
      </c>
      <c r="Q209" s="92">
        <v>0</v>
      </c>
      <c r="R209" s="92"/>
      <c r="S209" s="93">
        <v>323751</v>
      </c>
      <c r="T209" s="94">
        <v>98340</v>
      </c>
      <c r="U209" s="94">
        <v>422091</v>
      </c>
      <c r="X209" s="95">
        <v>8.9459999999999995E-4</v>
      </c>
      <c r="Y209" s="96">
        <f t="shared" si="13"/>
        <v>0</v>
      </c>
      <c r="Z209" s="88">
        <f t="shared" si="14"/>
        <v>0</v>
      </c>
      <c r="AB209" s="75">
        <f t="shared" si="15"/>
        <v>-359973</v>
      </c>
      <c r="AC209" s="75">
        <v>0</v>
      </c>
    </row>
    <row r="210" spans="1:29">
      <c r="A210" s="89">
        <v>36500</v>
      </c>
      <c r="B210" s="90" t="s">
        <v>196</v>
      </c>
      <c r="C210" s="97">
        <v>1.0474600000000001E-2</v>
      </c>
      <c r="D210" s="97">
        <v>1.0248200000000001E-2</v>
      </c>
      <c r="E210" s="92">
        <v>12949032.68</v>
      </c>
      <c r="F210" s="92">
        <f t="shared" si="12"/>
        <v>12015206.0092538</v>
      </c>
      <c r="G210" s="92">
        <v>38600975</v>
      </c>
      <c r="H210" s="92"/>
      <c r="I210" s="93">
        <v>0</v>
      </c>
      <c r="J210" s="93">
        <v>26936754</v>
      </c>
      <c r="K210" s="93">
        <v>0</v>
      </c>
      <c r="L210" s="92">
        <v>1618650</v>
      </c>
      <c r="M210" s="92"/>
      <c r="N210" s="93">
        <v>4388931</v>
      </c>
      <c r="O210" s="93">
        <v>31118842</v>
      </c>
      <c r="P210" s="93">
        <v>0</v>
      </c>
      <c r="Q210" s="92">
        <v>0</v>
      </c>
      <c r="R210" s="92"/>
      <c r="S210" s="93">
        <v>3761272</v>
      </c>
      <c r="T210" s="94">
        <v>519666</v>
      </c>
      <c r="U210" s="94">
        <v>4280937</v>
      </c>
      <c r="X210" s="95">
        <v>1.0248200000000001E-2</v>
      </c>
      <c r="Y210" s="96">
        <f t="shared" si="13"/>
        <v>0</v>
      </c>
      <c r="Z210" s="88">
        <f t="shared" si="14"/>
        <v>1</v>
      </c>
      <c r="AB210" s="75">
        <f t="shared" si="15"/>
        <v>-4182088</v>
      </c>
      <c r="AC210" s="75">
        <v>1</v>
      </c>
    </row>
    <row r="211" spans="1:29">
      <c r="A211" s="89">
        <v>36501</v>
      </c>
      <c r="B211" s="90" t="s">
        <v>197</v>
      </c>
      <c r="C211" s="97">
        <v>1.187E-4</v>
      </c>
      <c r="D211" s="97">
        <v>1.104E-4</v>
      </c>
      <c r="E211" s="92">
        <v>142199.67000000001</v>
      </c>
      <c r="F211" s="92">
        <f t="shared" si="12"/>
        <v>129435.29043360001</v>
      </c>
      <c r="G211" s="92">
        <v>437433</v>
      </c>
      <c r="H211" s="92"/>
      <c r="I211" s="93">
        <v>0</v>
      </c>
      <c r="J211" s="93">
        <v>305252</v>
      </c>
      <c r="K211" s="93">
        <v>0</v>
      </c>
      <c r="L211" s="92">
        <v>33040</v>
      </c>
      <c r="M211" s="92"/>
      <c r="N211" s="93">
        <v>49736</v>
      </c>
      <c r="O211" s="93">
        <v>352644</v>
      </c>
      <c r="P211" s="93">
        <v>0</v>
      </c>
      <c r="Q211" s="92">
        <v>0</v>
      </c>
      <c r="R211" s="92"/>
      <c r="S211" s="93">
        <v>42623</v>
      </c>
      <c r="T211" s="94">
        <v>9470</v>
      </c>
      <c r="U211" s="94">
        <v>52093</v>
      </c>
      <c r="X211" s="95">
        <v>1.104E-4</v>
      </c>
      <c r="Y211" s="96">
        <f t="shared" si="13"/>
        <v>0</v>
      </c>
      <c r="Z211" s="88">
        <f t="shared" si="14"/>
        <v>0</v>
      </c>
      <c r="AB211" s="75">
        <f t="shared" si="15"/>
        <v>-47392</v>
      </c>
      <c r="AC211" s="75">
        <v>0</v>
      </c>
    </row>
    <row r="212" spans="1:29">
      <c r="A212" s="89">
        <v>36502</v>
      </c>
      <c r="B212" s="90" t="s">
        <v>198</v>
      </c>
      <c r="C212" s="97">
        <v>4.3699999999999998E-5</v>
      </c>
      <c r="D212" s="97">
        <v>4.5300000000000003E-5</v>
      </c>
      <c r="E212" s="92">
        <v>48373.86</v>
      </c>
      <c r="F212" s="92">
        <f t="shared" si="12"/>
        <v>53110.676237700005</v>
      </c>
      <c r="G212" s="92">
        <v>161043</v>
      </c>
      <c r="H212" s="92"/>
      <c r="I212" s="93">
        <v>0</v>
      </c>
      <c r="J212" s="93">
        <v>112380</v>
      </c>
      <c r="K212" s="93">
        <v>0</v>
      </c>
      <c r="L212" s="92">
        <v>18304</v>
      </c>
      <c r="M212" s="92"/>
      <c r="N212" s="93">
        <v>18311</v>
      </c>
      <c r="O212" s="93">
        <v>129828</v>
      </c>
      <c r="P212" s="93">
        <v>0</v>
      </c>
      <c r="Q212" s="92">
        <v>12098</v>
      </c>
      <c r="R212" s="92"/>
      <c r="S212" s="93">
        <v>15692</v>
      </c>
      <c r="T212" s="94">
        <v>3209</v>
      </c>
      <c r="U212" s="94">
        <v>18901</v>
      </c>
      <c r="X212" s="95">
        <v>4.5300000000000003E-5</v>
      </c>
      <c r="Y212" s="96">
        <f t="shared" si="13"/>
        <v>0</v>
      </c>
      <c r="Z212" s="88">
        <f t="shared" si="14"/>
        <v>0</v>
      </c>
      <c r="AB212" s="75">
        <f t="shared" si="15"/>
        <v>-17448</v>
      </c>
      <c r="AC212" s="75">
        <v>0</v>
      </c>
    </row>
    <row r="213" spans="1:29">
      <c r="A213" s="89">
        <v>36505</v>
      </c>
      <c r="B213" s="90" t="s">
        <v>199</v>
      </c>
      <c r="C213" s="97">
        <v>2.0844000000000001E-3</v>
      </c>
      <c r="D213" s="97">
        <v>2.153E-3</v>
      </c>
      <c r="E213" s="92">
        <v>2664081.1</v>
      </c>
      <c r="F213" s="92">
        <f t="shared" si="12"/>
        <v>2524222.6476770001</v>
      </c>
      <c r="G213" s="92">
        <v>7681427</v>
      </c>
      <c r="H213" s="92"/>
      <c r="I213" s="93">
        <v>0</v>
      </c>
      <c r="J213" s="93">
        <v>5360297</v>
      </c>
      <c r="K213" s="93">
        <v>0</v>
      </c>
      <c r="L213" s="92">
        <v>362787</v>
      </c>
      <c r="M213" s="92"/>
      <c r="N213" s="93">
        <v>873378</v>
      </c>
      <c r="O213" s="93">
        <v>6192515</v>
      </c>
      <c r="P213" s="93">
        <v>0</v>
      </c>
      <c r="Q213" s="92">
        <v>264997</v>
      </c>
      <c r="R213" s="92"/>
      <c r="S213" s="93">
        <v>748477</v>
      </c>
      <c r="T213" s="94">
        <v>56625</v>
      </c>
      <c r="U213" s="94">
        <v>805102</v>
      </c>
      <c r="X213" s="95">
        <v>2.153E-3</v>
      </c>
      <c r="Y213" s="96">
        <f t="shared" si="13"/>
        <v>0</v>
      </c>
      <c r="Z213" s="88">
        <f t="shared" si="14"/>
        <v>0</v>
      </c>
      <c r="AB213" s="75">
        <f t="shared" si="15"/>
        <v>-832218</v>
      </c>
      <c r="AC213" s="75">
        <v>0</v>
      </c>
    </row>
    <row r="214" spans="1:29">
      <c r="A214" s="89">
        <v>36600</v>
      </c>
      <c r="B214" s="90" t="s">
        <v>200</v>
      </c>
      <c r="C214" s="97">
        <v>8.3319999999999998E-4</v>
      </c>
      <c r="D214" s="97">
        <v>8.7779999999999998E-4</v>
      </c>
      <c r="E214" s="92">
        <v>1121004.6499999999</v>
      </c>
      <c r="F214" s="92">
        <f t="shared" si="12"/>
        <v>1029151.2494802</v>
      </c>
      <c r="G214" s="92">
        <v>3070507</v>
      </c>
      <c r="H214" s="92"/>
      <c r="I214" s="93">
        <v>0</v>
      </c>
      <c r="J214" s="93">
        <v>2142679</v>
      </c>
      <c r="K214" s="93">
        <v>0</v>
      </c>
      <c r="L214" s="92">
        <v>0</v>
      </c>
      <c r="M214" s="92"/>
      <c r="N214" s="93">
        <v>349117</v>
      </c>
      <c r="O214" s="93">
        <v>2475342</v>
      </c>
      <c r="P214" s="93">
        <v>0</v>
      </c>
      <c r="Q214" s="92">
        <v>242134</v>
      </c>
      <c r="R214" s="92"/>
      <c r="S214" s="93">
        <v>299190</v>
      </c>
      <c r="T214" s="94">
        <v>-75816</v>
      </c>
      <c r="U214" s="94">
        <v>223373</v>
      </c>
      <c r="X214" s="95">
        <v>8.7779999999999998E-4</v>
      </c>
      <c r="Y214" s="96">
        <f t="shared" si="13"/>
        <v>0</v>
      </c>
      <c r="Z214" s="88">
        <f t="shared" si="14"/>
        <v>1</v>
      </c>
      <c r="AB214" s="75">
        <f t="shared" si="15"/>
        <v>-332663</v>
      </c>
      <c r="AC214" s="75">
        <v>2</v>
      </c>
    </row>
    <row r="215" spans="1:29">
      <c r="A215" s="89">
        <v>36601</v>
      </c>
      <c r="B215" s="90" t="s">
        <v>201</v>
      </c>
      <c r="C215" s="97">
        <v>3.6059999999999998E-4</v>
      </c>
      <c r="D215" s="97">
        <v>3.0600000000000001E-4</v>
      </c>
      <c r="E215" s="92">
        <v>372506</v>
      </c>
      <c r="F215" s="92">
        <f t="shared" si="12"/>
        <v>358760.85935400001</v>
      </c>
      <c r="G215" s="92">
        <v>1328882</v>
      </c>
      <c r="H215" s="92"/>
      <c r="I215" s="93">
        <v>0</v>
      </c>
      <c r="J215" s="93">
        <v>927328</v>
      </c>
      <c r="K215" s="93">
        <v>0</v>
      </c>
      <c r="L215" s="92">
        <v>239521</v>
      </c>
      <c r="M215" s="92"/>
      <c r="N215" s="93">
        <v>151094</v>
      </c>
      <c r="O215" s="93">
        <v>1071301</v>
      </c>
      <c r="P215" s="93">
        <v>0</v>
      </c>
      <c r="Q215" s="92">
        <v>0</v>
      </c>
      <c r="R215" s="92"/>
      <c r="S215" s="93">
        <v>129486</v>
      </c>
      <c r="T215" s="94">
        <v>72305</v>
      </c>
      <c r="U215" s="94">
        <v>201791</v>
      </c>
      <c r="X215" s="95">
        <v>3.0600000000000001E-4</v>
      </c>
      <c r="Y215" s="96">
        <f t="shared" si="13"/>
        <v>0</v>
      </c>
      <c r="Z215" s="88">
        <f t="shared" si="14"/>
        <v>0</v>
      </c>
      <c r="AB215" s="75">
        <f t="shared" si="15"/>
        <v>-143973</v>
      </c>
      <c r="AC215" s="75">
        <v>-1</v>
      </c>
    </row>
    <row r="216" spans="1:29">
      <c r="A216" s="89">
        <v>36700</v>
      </c>
      <c r="B216" s="90" t="s">
        <v>202</v>
      </c>
      <c r="C216" s="97">
        <v>9.4318000000000006E-3</v>
      </c>
      <c r="D216" s="97">
        <v>9.0202000000000008E-3</v>
      </c>
      <c r="E216" s="92">
        <v>11135402.73</v>
      </c>
      <c r="F216" s="92">
        <f t="shared" si="12"/>
        <v>10575472.887401801</v>
      </c>
      <c r="G216" s="92">
        <v>34758050</v>
      </c>
      <c r="H216" s="92"/>
      <c r="I216" s="93">
        <v>0</v>
      </c>
      <c r="J216" s="93">
        <v>24255062</v>
      </c>
      <c r="K216" s="93">
        <v>0</v>
      </c>
      <c r="L216" s="92">
        <v>1612728</v>
      </c>
      <c r="M216" s="92"/>
      <c r="N216" s="93">
        <v>3951990</v>
      </c>
      <c r="O216" s="93">
        <v>28020803</v>
      </c>
      <c r="P216" s="93">
        <v>0</v>
      </c>
      <c r="Q216" s="92">
        <v>0</v>
      </c>
      <c r="R216" s="92"/>
      <c r="S216" s="93">
        <v>3386818</v>
      </c>
      <c r="T216" s="94">
        <v>485394</v>
      </c>
      <c r="U216" s="94">
        <v>3872212</v>
      </c>
      <c r="X216" s="95">
        <v>9.0202000000000008E-3</v>
      </c>
      <c r="Y216" s="96">
        <f t="shared" si="13"/>
        <v>0</v>
      </c>
      <c r="Z216" s="88">
        <f t="shared" si="14"/>
        <v>0</v>
      </c>
      <c r="AB216" s="75">
        <f t="shared" si="15"/>
        <v>-3765741</v>
      </c>
      <c r="AC216" s="75">
        <v>1</v>
      </c>
    </row>
    <row r="217" spans="1:29">
      <c r="A217" s="89">
        <v>36701</v>
      </c>
      <c r="B217" s="90" t="s">
        <v>203</v>
      </c>
      <c r="C217" s="97">
        <v>3.3599999999999997E-5</v>
      </c>
      <c r="D217" s="97">
        <v>2.19E-5</v>
      </c>
      <c r="E217" s="92">
        <v>35643.360000000001</v>
      </c>
      <c r="F217" s="92">
        <f t="shared" si="12"/>
        <v>25676.022287100001</v>
      </c>
      <c r="G217" s="92">
        <v>123823</v>
      </c>
      <c r="H217" s="92"/>
      <c r="I217" s="93">
        <v>0</v>
      </c>
      <c r="J217" s="93">
        <v>86407</v>
      </c>
      <c r="K217" s="93">
        <v>0</v>
      </c>
      <c r="L217" s="92">
        <v>121942</v>
      </c>
      <c r="M217" s="92"/>
      <c r="N217" s="93">
        <v>14079</v>
      </c>
      <c r="O217" s="93">
        <v>99822</v>
      </c>
      <c r="P217" s="93">
        <v>0</v>
      </c>
      <c r="Q217" s="92">
        <v>0</v>
      </c>
      <c r="R217" s="92"/>
      <c r="S217" s="93">
        <v>12065</v>
      </c>
      <c r="T217" s="94">
        <v>40106</v>
      </c>
      <c r="U217" s="94">
        <v>52171</v>
      </c>
      <c r="X217" s="95">
        <v>2.19E-5</v>
      </c>
      <c r="Y217" s="96">
        <f t="shared" si="13"/>
        <v>0</v>
      </c>
      <c r="Z217" s="88">
        <f t="shared" si="14"/>
        <v>0</v>
      </c>
      <c r="AB217" s="75">
        <f t="shared" si="15"/>
        <v>-13415</v>
      </c>
      <c r="AC217" s="75">
        <v>-1</v>
      </c>
    </row>
    <row r="218" spans="1:29">
      <c r="A218" s="89">
        <v>36705</v>
      </c>
      <c r="B218" s="90" t="s">
        <v>204</v>
      </c>
      <c r="C218" s="97">
        <v>1.0287E-3</v>
      </c>
      <c r="D218" s="97">
        <v>1.0179E-3</v>
      </c>
      <c r="E218" s="92">
        <v>1300406.4099999999</v>
      </c>
      <c r="F218" s="92">
        <f t="shared" si="12"/>
        <v>1193407.4468511001</v>
      </c>
      <c r="G218" s="92">
        <v>3790963</v>
      </c>
      <c r="H218" s="92"/>
      <c r="I218" s="93">
        <v>0</v>
      </c>
      <c r="J218" s="93">
        <v>2645432</v>
      </c>
      <c r="K218" s="93">
        <v>0</v>
      </c>
      <c r="L218" s="92">
        <v>47031</v>
      </c>
      <c r="M218" s="92"/>
      <c r="N218" s="93">
        <v>431033</v>
      </c>
      <c r="O218" s="93">
        <v>3056150</v>
      </c>
      <c r="P218" s="93">
        <v>0</v>
      </c>
      <c r="Q218" s="92">
        <v>87966</v>
      </c>
      <c r="R218" s="92"/>
      <c r="S218" s="93">
        <v>369391</v>
      </c>
      <c r="T218" s="94">
        <v>-18501</v>
      </c>
      <c r="U218" s="94">
        <v>350890</v>
      </c>
      <c r="X218" s="95">
        <v>1.0179E-3</v>
      </c>
      <c r="Y218" s="96">
        <f t="shared" si="13"/>
        <v>0</v>
      </c>
      <c r="Z218" s="88">
        <f t="shared" si="14"/>
        <v>0</v>
      </c>
      <c r="AB218" s="75">
        <f t="shared" si="15"/>
        <v>-410718</v>
      </c>
      <c r="AC218" s="75">
        <v>1</v>
      </c>
    </row>
    <row r="219" spans="1:29">
      <c r="A219" s="89">
        <v>36800</v>
      </c>
      <c r="B219" s="90" t="s">
        <v>205</v>
      </c>
      <c r="C219" s="97">
        <v>3.3264000000000002E-3</v>
      </c>
      <c r="D219" s="97">
        <v>3.2799000000000001E-3</v>
      </c>
      <c r="E219" s="92">
        <v>4228423.5599999996</v>
      </c>
      <c r="F219" s="92">
        <f t="shared" si="12"/>
        <v>3845423.9954091003</v>
      </c>
      <c r="G219" s="92">
        <v>12258443</v>
      </c>
      <c r="H219" s="92"/>
      <c r="I219" s="93">
        <v>0</v>
      </c>
      <c r="J219" s="93">
        <v>8554257</v>
      </c>
      <c r="K219" s="93">
        <v>0</v>
      </c>
      <c r="L219" s="92">
        <v>219448</v>
      </c>
      <c r="M219" s="92"/>
      <c r="N219" s="93">
        <v>1393785</v>
      </c>
      <c r="O219" s="93">
        <v>9882355</v>
      </c>
      <c r="P219" s="93">
        <v>0</v>
      </c>
      <c r="Q219" s="92">
        <v>107871</v>
      </c>
      <c r="R219" s="92"/>
      <c r="S219" s="93">
        <v>1194460</v>
      </c>
      <c r="T219" s="94">
        <v>22125</v>
      </c>
      <c r="U219" s="94">
        <v>1216586</v>
      </c>
      <c r="X219" s="95">
        <v>3.2799000000000001E-3</v>
      </c>
      <c r="Y219" s="96">
        <f t="shared" si="13"/>
        <v>0</v>
      </c>
      <c r="Z219" s="88">
        <f t="shared" si="14"/>
        <v>-1</v>
      </c>
      <c r="AB219" s="75">
        <f t="shared" si="15"/>
        <v>-1328098</v>
      </c>
      <c r="AC219" s="75">
        <v>1</v>
      </c>
    </row>
    <row r="220" spans="1:29">
      <c r="A220" s="89">
        <v>36801</v>
      </c>
      <c r="B220" s="90" t="s">
        <v>206</v>
      </c>
      <c r="C220" s="97">
        <v>5.8400000000000003E-5</v>
      </c>
      <c r="D220" s="97">
        <v>6.2199999999999994E-5</v>
      </c>
      <c r="E220" s="92">
        <v>53525.04</v>
      </c>
      <c r="F220" s="92">
        <f t="shared" si="12"/>
        <v>72924.5929798</v>
      </c>
      <c r="G220" s="92">
        <v>215216</v>
      </c>
      <c r="H220" s="92"/>
      <c r="I220" s="93">
        <v>0</v>
      </c>
      <c r="J220" s="93">
        <v>150183</v>
      </c>
      <c r="K220" s="93">
        <v>0</v>
      </c>
      <c r="L220" s="92">
        <v>0</v>
      </c>
      <c r="M220" s="92"/>
      <c r="N220" s="93">
        <v>24470</v>
      </c>
      <c r="O220" s="93">
        <v>173500</v>
      </c>
      <c r="P220" s="93">
        <v>0</v>
      </c>
      <c r="Q220" s="92">
        <v>41012</v>
      </c>
      <c r="R220" s="92"/>
      <c r="S220" s="93">
        <v>20971</v>
      </c>
      <c r="T220" s="94">
        <v>-12102</v>
      </c>
      <c r="U220" s="94">
        <v>8869</v>
      </c>
      <c r="X220" s="95">
        <v>6.2199999999999994E-5</v>
      </c>
      <c r="Y220" s="96">
        <f t="shared" si="13"/>
        <v>0</v>
      </c>
      <c r="Z220" s="88">
        <f t="shared" si="14"/>
        <v>0</v>
      </c>
      <c r="AB220" s="75">
        <f t="shared" si="15"/>
        <v>-23317</v>
      </c>
      <c r="AC220" s="75">
        <v>0</v>
      </c>
    </row>
    <row r="221" spans="1:29">
      <c r="A221" s="89">
        <v>36802</v>
      </c>
      <c r="B221" s="90" t="s">
        <v>207</v>
      </c>
      <c r="C221" s="97">
        <v>8.42E-5</v>
      </c>
      <c r="D221" s="97">
        <v>8.6799999999999996E-5</v>
      </c>
      <c r="E221" s="92">
        <v>86043.53</v>
      </c>
      <c r="F221" s="92">
        <f t="shared" si="12"/>
        <v>101766.1522612</v>
      </c>
      <c r="G221" s="92">
        <v>310294</v>
      </c>
      <c r="H221" s="92"/>
      <c r="I221" s="93">
        <v>0</v>
      </c>
      <c r="J221" s="93">
        <v>216531</v>
      </c>
      <c r="K221" s="93">
        <v>0</v>
      </c>
      <c r="L221" s="92">
        <v>0</v>
      </c>
      <c r="M221" s="92"/>
      <c r="N221" s="93">
        <v>35280</v>
      </c>
      <c r="O221" s="93">
        <v>250149</v>
      </c>
      <c r="P221" s="93">
        <v>0</v>
      </c>
      <c r="Q221" s="92">
        <v>65012</v>
      </c>
      <c r="R221" s="92"/>
      <c r="S221" s="93">
        <v>30235</v>
      </c>
      <c r="T221" s="94">
        <v>-21114</v>
      </c>
      <c r="U221" s="94">
        <v>9121</v>
      </c>
      <c r="X221" s="95">
        <v>8.6799999999999996E-5</v>
      </c>
      <c r="Y221" s="96">
        <f t="shared" si="13"/>
        <v>0</v>
      </c>
      <c r="Z221" s="88">
        <f t="shared" si="14"/>
        <v>0</v>
      </c>
      <c r="AB221" s="75">
        <f t="shared" si="15"/>
        <v>-33618</v>
      </c>
      <c r="AC221" s="75">
        <v>-1</v>
      </c>
    </row>
    <row r="222" spans="1:29">
      <c r="A222" s="89">
        <v>36810</v>
      </c>
      <c r="B222" s="90" t="s">
        <v>208</v>
      </c>
      <c r="C222" s="97">
        <v>6.4930999999999999E-3</v>
      </c>
      <c r="D222" s="97">
        <v>6.2889E-3</v>
      </c>
      <c r="E222" s="92">
        <v>7826560.7300000004</v>
      </c>
      <c r="F222" s="92">
        <f t="shared" si="12"/>
        <v>7373239.1123901</v>
      </c>
      <c r="G222" s="92">
        <v>23928359</v>
      </c>
      <c r="H222" s="92"/>
      <c r="I222" s="93">
        <v>0</v>
      </c>
      <c r="J222" s="93">
        <v>16697825</v>
      </c>
      <c r="K222" s="93">
        <v>0</v>
      </c>
      <c r="L222" s="92">
        <v>601866</v>
      </c>
      <c r="M222" s="92"/>
      <c r="N222" s="93">
        <v>2720654</v>
      </c>
      <c r="O222" s="93">
        <v>19290260</v>
      </c>
      <c r="P222" s="93">
        <v>0</v>
      </c>
      <c r="Q222" s="92">
        <v>0</v>
      </c>
      <c r="R222" s="92"/>
      <c r="S222" s="93">
        <v>2331575</v>
      </c>
      <c r="T222" s="94">
        <v>168987</v>
      </c>
      <c r="U222" s="94">
        <v>2500562</v>
      </c>
      <c r="X222" s="95">
        <v>6.2889E-3</v>
      </c>
      <c r="Y222" s="96">
        <f t="shared" si="13"/>
        <v>0</v>
      </c>
      <c r="Z222" s="88">
        <f t="shared" si="14"/>
        <v>0</v>
      </c>
      <c r="AB222" s="75">
        <f t="shared" si="15"/>
        <v>-2592435</v>
      </c>
      <c r="AC222" s="75">
        <v>2</v>
      </c>
    </row>
    <row r="223" spans="1:29">
      <c r="A223" s="89">
        <v>36900</v>
      </c>
      <c r="B223" s="90" t="s">
        <v>209</v>
      </c>
      <c r="C223" s="97">
        <v>6.3560000000000005E-4</v>
      </c>
      <c r="D223" s="97">
        <v>6.3590000000000001E-4</v>
      </c>
      <c r="E223" s="92">
        <v>808708.63</v>
      </c>
      <c r="F223" s="92">
        <f t="shared" si="12"/>
        <v>745542.58321309998</v>
      </c>
      <c r="G223" s="92">
        <v>2342312</v>
      </c>
      <c r="H223" s="92"/>
      <c r="I223" s="93">
        <v>0</v>
      </c>
      <c r="J223" s="93">
        <v>1634525</v>
      </c>
      <c r="K223" s="93">
        <v>0</v>
      </c>
      <c r="L223" s="92">
        <v>14372</v>
      </c>
      <c r="M223" s="92"/>
      <c r="N223" s="93">
        <v>266321</v>
      </c>
      <c r="O223" s="93">
        <v>1888295</v>
      </c>
      <c r="P223" s="93">
        <v>0</v>
      </c>
      <c r="Q223" s="92">
        <v>0</v>
      </c>
      <c r="R223" s="92"/>
      <c r="S223" s="93">
        <v>228234</v>
      </c>
      <c r="T223" s="94">
        <v>4856</v>
      </c>
      <c r="U223" s="94">
        <v>233090</v>
      </c>
      <c r="X223" s="95">
        <v>6.3590000000000001E-4</v>
      </c>
      <c r="Y223" s="96">
        <f t="shared" si="13"/>
        <v>0</v>
      </c>
      <c r="Z223" s="88">
        <f t="shared" si="14"/>
        <v>0</v>
      </c>
      <c r="AB223" s="75">
        <f t="shared" si="15"/>
        <v>-253770</v>
      </c>
      <c r="AC223" s="75">
        <v>-1</v>
      </c>
    </row>
    <row r="224" spans="1:29">
      <c r="A224" s="89">
        <v>36901</v>
      </c>
      <c r="B224" s="90" t="s">
        <v>210</v>
      </c>
      <c r="C224" s="97">
        <v>1.983E-4</v>
      </c>
      <c r="D224" s="97">
        <v>1.84E-4</v>
      </c>
      <c r="E224" s="92">
        <v>231342.2</v>
      </c>
      <c r="F224" s="92">
        <f t="shared" si="12"/>
        <v>215725.48405599999</v>
      </c>
      <c r="G224" s="92">
        <v>730775</v>
      </c>
      <c r="H224" s="92"/>
      <c r="I224" s="93">
        <v>0</v>
      </c>
      <c r="J224" s="93">
        <v>509953</v>
      </c>
      <c r="K224" s="93">
        <v>0</v>
      </c>
      <c r="L224" s="92">
        <v>45658</v>
      </c>
      <c r="M224" s="92"/>
      <c r="N224" s="93">
        <v>83089</v>
      </c>
      <c r="O224" s="93">
        <v>589127</v>
      </c>
      <c r="P224" s="93">
        <v>0</v>
      </c>
      <c r="Q224" s="92">
        <v>1380</v>
      </c>
      <c r="R224" s="92"/>
      <c r="S224" s="93">
        <v>71207</v>
      </c>
      <c r="T224" s="94">
        <v>12153</v>
      </c>
      <c r="U224" s="94">
        <v>83360</v>
      </c>
      <c r="X224" s="95">
        <v>1.84E-4</v>
      </c>
      <c r="Y224" s="96">
        <f t="shared" si="13"/>
        <v>0</v>
      </c>
      <c r="Z224" s="88">
        <f t="shared" si="14"/>
        <v>0</v>
      </c>
      <c r="AB224" s="75">
        <f t="shared" si="15"/>
        <v>-79174</v>
      </c>
      <c r="AC224" s="75">
        <v>-1</v>
      </c>
    </row>
    <row r="225" spans="1:29">
      <c r="A225" s="89">
        <v>36905</v>
      </c>
      <c r="B225" s="90" t="s">
        <v>211</v>
      </c>
      <c r="C225" s="97">
        <v>1.9870000000000001E-4</v>
      </c>
      <c r="D225" s="97">
        <v>2.0880000000000001E-4</v>
      </c>
      <c r="E225" s="92">
        <v>304477.94</v>
      </c>
      <c r="F225" s="92">
        <f t="shared" si="12"/>
        <v>244801.52755920001</v>
      </c>
      <c r="G225" s="92">
        <v>732249</v>
      </c>
      <c r="H225" s="92"/>
      <c r="I225" s="93">
        <v>0</v>
      </c>
      <c r="J225" s="93">
        <v>510982</v>
      </c>
      <c r="K225" s="93">
        <v>0</v>
      </c>
      <c r="L225" s="92">
        <v>29645</v>
      </c>
      <c r="M225" s="92"/>
      <c r="N225" s="93">
        <v>83257</v>
      </c>
      <c r="O225" s="93">
        <v>590315</v>
      </c>
      <c r="P225" s="93">
        <v>0</v>
      </c>
      <c r="Q225" s="92">
        <v>777</v>
      </c>
      <c r="R225" s="92"/>
      <c r="S225" s="93">
        <v>71350</v>
      </c>
      <c r="T225" s="94">
        <v>10410</v>
      </c>
      <c r="U225" s="94">
        <v>81760</v>
      </c>
      <c r="X225" s="95">
        <v>2.0880000000000001E-4</v>
      </c>
      <c r="Y225" s="96">
        <f t="shared" si="13"/>
        <v>0</v>
      </c>
      <c r="Z225" s="88">
        <f t="shared" si="14"/>
        <v>0</v>
      </c>
      <c r="AB225" s="75">
        <f t="shared" si="15"/>
        <v>-79333</v>
      </c>
      <c r="AC225" s="75">
        <v>0</v>
      </c>
    </row>
    <row r="226" spans="1:29">
      <c r="A226" s="89">
        <v>37000</v>
      </c>
      <c r="B226" s="90" t="s">
        <v>212</v>
      </c>
      <c r="C226" s="97">
        <v>2.1697000000000001E-3</v>
      </c>
      <c r="D226" s="97">
        <v>2.1253000000000001E-3</v>
      </c>
      <c r="E226" s="92">
        <v>2768233.77</v>
      </c>
      <c r="F226" s="92">
        <f t="shared" si="12"/>
        <v>2491746.5829576999</v>
      </c>
      <c r="G226" s="92">
        <v>7995774</v>
      </c>
      <c r="H226" s="92"/>
      <c r="I226" s="93">
        <v>0</v>
      </c>
      <c r="J226" s="93">
        <v>5579657</v>
      </c>
      <c r="K226" s="93">
        <v>0</v>
      </c>
      <c r="L226" s="92">
        <v>210677</v>
      </c>
      <c r="M226" s="92"/>
      <c r="N226" s="93">
        <v>909119</v>
      </c>
      <c r="O226" s="93">
        <v>6445931</v>
      </c>
      <c r="P226" s="93">
        <v>0</v>
      </c>
      <c r="Q226" s="92">
        <v>276411</v>
      </c>
      <c r="R226" s="92"/>
      <c r="S226" s="93">
        <v>779107</v>
      </c>
      <c r="T226" s="94">
        <v>-40713</v>
      </c>
      <c r="U226" s="94">
        <v>738394</v>
      </c>
      <c r="X226" s="95">
        <v>2.1253000000000001E-3</v>
      </c>
      <c r="Y226" s="96">
        <f t="shared" si="13"/>
        <v>0</v>
      </c>
      <c r="Z226" s="88">
        <f t="shared" si="14"/>
        <v>0</v>
      </c>
      <c r="AB226" s="75">
        <f t="shared" si="15"/>
        <v>-866274</v>
      </c>
      <c r="AC226" s="75">
        <v>1</v>
      </c>
    </row>
    <row r="227" spans="1:29">
      <c r="A227" s="89">
        <v>37001</v>
      </c>
      <c r="B227" s="90" t="s">
        <v>525</v>
      </c>
      <c r="C227" s="97">
        <v>0</v>
      </c>
      <c r="D227" s="97">
        <v>0</v>
      </c>
      <c r="E227" s="92">
        <v>0</v>
      </c>
      <c r="F227" s="92">
        <f t="shared" si="12"/>
        <v>0</v>
      </c>
      <c r="G227" s="92">
        <v>0</v>
      </c>
      <c r="H227" s="92"/>
      <c r="I227" s="93">
        <v>0</v>
      </c>
      <c r="J227" s="93">
        <v>0</v>
      </c>
      <c r="K227" s="93">
        <v>0</v>
      </c>
      <c r="L227" s="92">
        <v>0</v>
      </c>
      <c r="M227" s="92"/>
      <c r="N227" s="93">
        <v>0</v>
      </c>
      <c r="O227" s="93">
        <v>0</v>
      </c>
      <c r="P227" s="93">
        <v>0</v>
      </c>
      <c r="Q227" s="92">
        <v>0</v>
      </c>
      <c r="R227" s="92"/>
      <c r="S227" s="93">
        <v>0</v>
      </c>
      <c r="T227" s="94">
        <v>0</v>
      </c>
      <c r="U227" s="94">
        <v>0</v>
      </c>
      <c r="X227" s="95"/>
      <c r="Y227" s="96"/>
      <c r="Z227" s="88">
        <f t="shared" si="14"/>
        <v>0</v>
      </c>
      <c r="AB227" s="75">
        <f t="shared" si="15"/>
        <v>0</v>
      </c>
      <c r="AC227" s="75"/>
    </row>
    <row r="228" spans="1:29">
      <c r="A228" s="89">
        <v>37005</v>
      </c>
      <c r="B228" s="90" t="s">
        <v>213</v>
      </c>
      <c r="C228" s="97">
        <v>5.4609999999999999E-4</v>
      </c>
      <c r="D228" s="97">
        <v>5.4750000000000003E-4</v>
      </c>
      <c r="E228" s="92">
        <v>745783.57</v>
      </c>
      <c r="F228" s="92">
        <f t="shared" si="12"/>
        <v>641900.55717749998</v>
      </c>
      <c r="G228" s="92">
        <v>2012487</v>
      </c>
      <c r="H228" s="92"/>
      <c r="I228" s="93">
        <v>0</v>
      </c>
      <c r="J228" s="93">
        <v>1404365</v>
      </c>
      <c r="K228" s="93">
        <v>0</v>
      </c>
      <c r="L228" s="92">
        <v>58958</v>
      </c>
      <c r="M228" s="92"/>
      <c r="N228" s="93">
        <v>228820</v>
      </c>
      <c r="O228" s="93">
        <v>1622401</v>
      </c>
      <c r="P228" s="93">
        <v>0</v>
      </c>
      <c r="Q228" s="92">
        <v>0</v>
      </c>
      <c r="R228" s="92"/>
      <c r="S228" s="93">
        <v>196096</v>
      </c>
      <c r="T228" s="94">
        <v>18023</v>
      </c>
      <c r="U228" s="94">
        <v>214120</v>
      </c>
      <c r="X228" s="95">
        <v>5.4750000000000003E-4</v>
      </c>
      <c r="Y228" s="96">
        <f t="shared" si="13"/>
        <v>0</v>
      </c>
      <c r="Z228" s="88">
        <f t="shared" si="14"/>
        <v>-1</v>
      </c>
      <c r="AB228" s="75">
        <f t="shared" si="15"/>
        <v>-218036</v>
      </c>
      <c r="AC228" s="75">
        <v>0</v>
      </c>
    </row>
    <row r="229" spans="1:29">
      <c r="A229" s="89">
        <v>37100</v>
      </c>
      <c r="B229" s="90" t="s">
        <v>214</v>
      </c>
      <c r="C229" s="97">
        <v>3.0909000000000002E-3</v>
      </c>
      <c r="D229" s="97">
        <v>2.9372000000000001E-3</v>
      </c>
      <c r="E229" s="92">
        <v>3686656.29</v>
      </c>
      <c r="F229" s="92">
        <f t="shared" si="12"/>
        <v>3443635.2813547999</v>
      </c>
      <c r="G229" s="92">
        <v>11390578</v>
      </c>
      <c r="H229" s="92"/>
      <c r="I229" s="93">
        <v>0</v>
      </c>
      <c r="J229" s="93">
        <v>7948639</v>
      </c>
      <c r="K229" s="93">
        <v>0</v>
      </c>
      <c r="L229" s="92">
        <v>481915</v>
      </c>
      <c r="M229" s="92"/>
      <c r="N229" s="93">
        <v>1295109</v>
      </c>
      <c r="O229" s="93">
        <v>9182712</v>
      </c>
      <c r="P229" s="93">
        <v>0</v>
      </c>
      <c r="Q229" s="92">
        <v>525611</v>
      </c>
      <c r="R229" s="92"/>
      <c r="S229" s="93">
        <v>1109896</v>
      </c>
      <c r="T229" s="94">
        <v>-54897</v>
      </c>
      <c r="U229" s="94">
        <v>1054999</v>
      </c>
      <c r="X229" s="95">
        <v>2.9372000000000001E-3</v>
      </c>
      <c r="Y229" s="96">
        <f t="shared" si="13"/>
        <v>0</v>
      </c>
      <c r="Z229" s="88">
        <f t="shared" si="14"/>
        <v>0</v>
      </c>
      <c r="AB229" s="75">
        <f t="shared" si="15"/>
        <v>-1234073</v>
      </c>
      <c r="AC229" s="75">
        <v>0</v>
      </c>
    </row>
    <row r="230" spans="1:29">
      <c r="A230" s="89">
        <v>37200</v>
      </c>
      <c r="B230" s="90" t="s">
        <v>215</v>
      </c>
      <c r="C230" s="97">
        <v>7.4390000000000003E-4</v>
      </c>
      <c r="D230" s="97">
        <v>7.1929999999999997E-4</v>
      </c>
      <c r="E230" s="92">
        <v>939897.55</v>
      </c>
      <c r="F230" s="92">
        <f t="shared" si="12"/>
        <v>843322.50370369991</v>
      </c>
      <c r="G230" s="92">
        <v>2741419</v>
      </c>
      <c r="H230" s="92"/>
      <c r="I230" s="93">
        <v>0</v>
      </c>
      <c r="J230" s="93">
        <v>1913033</v>
      </c>
      <c r="K230" s="93">
        <v>0</v>
      </c>
      <c r="L230" s="92">
        <v>104719</v>
      </c>
      <c r="M230" s="92"/>
      <c r="N230" s="93">
        <v>311699</v>
      </c>
      <c r="O230" s="93">
        <v>2210042</v>
      </c>
      <c r="P230" s="93">
        <v>0</v>
      </c>
      <c r="Q230" s="92">
        <v>76957</v>
      </c>
      <c r="R230" s="92"/>
      <c r="S230" s="93">
        <v>267123</v>
      </c>
      <c r="T230" s="94">
        <v>1425</v>
      </c>
      <c r="U230" s="94">
        <v>268548</v>
      </c>
      <c r="X230" s="95">
        <v>7.1929999999999997E-4</v>
      </c>
      <c r="Y230" s="96">
        <f t="shared" si="13"/>
        <v>0</v>
      </c>
      <c r="Z230" s="88">
        <f t="shared" si="14"/>
        <v>0</v>
      </c>
      <c r="AB230" s="75">
        <f t="shared" si="15"/>
        <v>-297009</v>
      </c>
      <c r="AC230" s="75">
        <v>1</v>
      </c>
    </row>
    <row r="231" spans="1:29">
      <c r="A231" s="89">
        <v>37300</v>
      </c>
      <c r="B231" s="90" t="s">
        <v>216</v>
      </c>
      <c r="C231" s="97">
        <v>1.8423000000000001E-3</v>
      </c>
      <c r="D231" s="97">
        <v>1.8791999999999999E-3</v>
      </c>
      <c r="E231" s="92">
        <v>2304784.6</v>
      </c>
      <c r="F231" s="92">
        <f t="shared" si="12"/>
        <v>2203213.7480327999</v>
      </c>
      <c r="G231" s="92">
        <v>6789240</v>
      </c>
      <c r="H231" s="92"/>
      <c r="I231" s="93">
        <v>0</v>
      </c>
      <c r="J231" s="93">
        <v>4737707</v>
      </c>
      <c r="K231" s="93">
        <v>0</v>
      </c>
      <c r="L231" s="92">
        <v>0</v>
      </c>
      <c r="M231" s="92"/>
      <c r="N231" s="93">
        <v>771937</v>
      </c>
      <c r="O231" s="93">
        <v>5473263</v>
      </c>
      <c r="P231" s="93">
        <v>0</v>
      </c>
      <c r="Q231" s="92">
        <v>537733</v>
      </c>
      <c r="R231" s="92"/>
      <c r="S231" s="93">
        <v>661542</v>
      </c>
      <c r="T231" s="94">
        <v>-178669</v>
      </c>
      <c r="U231" s="94">
        <v>482874</v>
      </c>
      <c r="X231" s="95">
        <v>1.8791999999999999E-3</v>
      </c>
      <c r="Y231" s="96">
        <f t="shared" si="13"/>
        <v>0</v>
      </c>
      <c r="Z231" s="88">
        <f t="shared" si="14"/>
        <v>-1</v>
      </c>
      <c r="AB231" s="75">
        <f t="shared" si="15"/>
        <v>-735556</v>
      </c>
      <c r="AC231" s="75">
        <v>1</v>
      </c>
    </row>
    <row r="232" spans="1:29">
      <c r="A232" s="89">
        <v>37301</v>
      </c>
      <c r="B232" s="90" t="s">
        <v>217</v>
      </c>
      <c r="C232" s="97">
        <v>1.941E-4</v>
      </c>
      <c r="D232" s="97">
        <v>1.6890000000000001E-4</v>
      </c>
      <c r="E232" s="92">
        <v>229923.37</v>
      </c>
      <c r="F232" s="92">
        <f t="shared" si="12"/>
        <v>198021.92531010002</v>
      </c>
      <c r="G232" s="92">
        <v>715297</v>
      </c>
      <c r="H232" s="92"/>
      <c r="I232" s="93">
        <v>0</v>
      </c>
      <c r="J232" s="93">
        <v>499153</v>
      </c>
      <c r="K232" s="93">
        <v>0</v>
      </c>
      <c r="L232" s="92">
        <v>115962</v>
      </c>
      <c r="M232" s="92"/>
      <c r="N232" s="93">
        <v>81329</v>
      </c>
      <c r="O232" s="93">
        <v>576649</v>
      </c>
      <c r="P232" s="93">
        <v>0</v>
      </c>
      <c r="Q232" s="92">
        <v>0</v>
      </c>
      <c r="R232" s="92"/>
      <c r="S232" s="93">
        <v>69698</v>
      </c>
      <c r="T232" s="94">
        <v>33841</v>
      </c>
      <c r="U232" s="94">
        <v>103540</v>
      </c>
      <c r="X232" s="95">
        <v>1.6890000000000001E-4</v>
      </c>
      <c r="Y232" s="96">
        <f t="shared" si="13"/>
        <v>0</v>
      </c>
      <c r="Z232" s="88">
        <f t="shared" si="14"/>
        <v>-1</v>
      </c>
      <c r="AB232" s="75">
        <f t="shared" si="15"/>
        <v>-77496</v>
      </c>
      <c r="AC232" s="75">
        <v>0</v>
      </c>
    </row>
    <row r="233" spans="1:29">
      <c r="A233" s="89">
        <v>37305</v>
      </c>
      <c r="B233" s="90" t="s">
        <v>218</v>
      </c>
      <c r="C233" s="97">
        <v>6.1359999999999995E-4</v>
      </c>
      <c r="D233" s="97">
        <v>7.136E-4</v>
      </c>
      <c r="E233" s="92">
        <v>871189.01</v>
      </c>
      <c r="F233" s="92">
        <f t="shared" si="12"/>
        <v>836639.70338239998</v>
      </c>
      <c r="G233" s="92">
        <v>2261237</v>
      </c>
      <c r="H233" s="92"/>
      <c r="I233" s="93">
        <v>0</v>
      </c>
      <c r="J233" s="93">
        <v>1577950</v>
      </c>
      <c r="K233" s="93">
        <v>0</v>
      </c>
      <c r="L233" s="92">
        <v>0</v>
      </c>
      <c r="M233" s="92"/>
      <c r="N233" s="93">
        <v>257103</v>
      </c>
      <c r="O233" s="93">
        <v>1822936</v>
      </c>
      <c r="P233" s="93">
        <v>0</v>
      </c>
      <c r="Q233" s="92">
        <v>412112</v>
      </c>
      <c r="R233" s="92"/>
      <c r="S233" s="93">
        <v>220335</v>
      </c>
      <c r="T233" s="94">
        <v>-119393</v>
      </c>
      <c r="U233" s="94">
        <v>100942</v>
      </c>
      <c r="X233" s="95">
        <v>7.136E-4</v>
      </c>
      <c r="Y233" s="96">
        <f t="shared" si="13"/>
        <v>0</v>
      </c>
      <c r="Z233" s="88">
        <f t="shared" si="14"/>
        <v>0</v>
      </c>
      <c r="AB233" s="75">
        <f t="shared" si="15"/>
        <v>-244986</v>
      </c>
      <c r="AC233" s="75">
        <v>0</v>
      </c>
    </row>
    <row r="234" spans="1:29">
      <c r="A234" s="89">
        <v>37400</v>
      </c>
      <c r="B234" s="90" t="s">
        <v>219</v>
      </c>
      <c r="C234" s="97">
        <v>9.2087999999999996E-3</v>
      </c>
      <c r="D234" s="97">
        <v>9.0300999999999992E-3</v>
      </c>
      <c r="E234" s="92">
        <v>10840697.560000001</v>
      </c>
      <c r="F234" s="92">
        <f t="shared" si="12"/>
        <v>10587079.856380899</v>
      </c>
      <c r="G234" s="92">
        <v>33936251</v>
      </c>
      <c r="H234" s="92"/>
      <c r="I234" s="93">
        <v>0</v>
      </c>
      <c r="J234" s="93">
        <v>23681590</v>
      </c>
      <c r="K234" s="93">
        <v>0</v>
      </c>
      <c r="L234" s="92">
        <v>141522</v>
      </c>
      <c r="M234" s="92"/>
      <c r="N234" s="93">
        <v>3858552</v>
      </c>
      <c r="O234" s="93">
        <v>27358295</v>
      </c>
      <c r="P234" s="93">
        <v>0</v>
      </c>
      <c r="Q234" s="92">
        <v>504876</v>
      </c>
      <c r="R234" s="92"/>
      <c r="S234" s="93">
        <v>3306742</v>
      </c>
      <c r="T234" s="94">
        <v>-141756</v>
      </c>
      <c r="U234" s="94">
        <v>3164985</v>
      </c>
      <c r="X234" s="95">
        <v>9.0300999999999992E-3</v>
      </c>
      <c r="Y234" s="96">
        <f t="shared" si="13"/>
        <v>0</v>
      </c>
      <c r="Z234" s="88">
        <f t="shared" si="14"/>
        <v>1</v>
      </c>
      <c r="AB234" s="75">
        <f t="shared" si="15"/>
        <v>-3676705</v>
      </c>
      <c r="AC234" s="75">
        <v>0</v>
      </c>
    </row>
    <row r="235" spans="1:29">
      <c r="A235" s="89">
        <v>37405</v>
      </c>
      <c r="B235" s="90" t="s">
        <v>220</v>
      </c>
      <c r="C235" s="97">
        <v>1.9784E-3</v>
      </c>
      <c r="D235" s="97">
        <v>1.885E-3</v>
      </c>
      <c r="E235" s="92">
        <v>2393501.91</v>
      </c>
      <c r="F235" s="92">
        <f t="shared" si="12"/>
        <v>2210013.7904650001</v>
      </c>
      <c r="G235" s="92">
        <v>7290796</v>
      </c>
      <c r="H235" s="92"/>
      <c r="I235" s="93">
        <v>0</v>
      </c>
      <c r="J235" s="93">
        <v>5087705</v>
      </c>
      <c r="K235" s="93">
        <v>0</v>
      </c>
      <c r="L235" s="92">
        <v>502686</v>
      </c>
      <c r="M235" s="92"/>
      <c r="N235" s="93">
        <v>828963</v>
      </c>
      <c r="O235" s="93">
        <v>5877601</v>
      </c>
      <c r="P235" s="93">
        <v>0</v>
      </c>
      <c r="Q235" s="92">
        <v>0</v>
      </c>
      <c r="R235" s="92"/>
      <c r="S235" s="93">
        <v>710414</v>
      </c>
      <c r="T235" s="94">
        <v>154624</v>
      </c>
      <c r="U235" s="94">
        <v>865038</v>
      </c>
      <c r="X235" s="95">
        <v>1.885E-3</v>
      </c>
      <c r="Y235" s="96">
        <f t="shared" si="13"/>
        <v>0</v>
      </c>
      <c r="Z235" s="88">
        <f t="shared" si="14"/>
        <v>0</v>
      </c>
      <c r="AB235" s="75">
        <f t="shared" si="15"/>
        <v>-789896</v>
      </c>
      <c r="AC235" s="75">
        <v>-1</v>
      </c>
    </row>
    <row r="236" spans="1:29">
      <c r="A236" s="89">
        <v>37500</v>
      </c>
      <c r="B236" s="90" t="s">
        <v>221</v>
      </c>
      <c r="C236" s="97">
        <v>1.0656000000000001E-3</v>
      </c>
      <c r="D236" s="97">
        <v>1.0281999999999999E-3</v>
      </c>
      <c r="E236" s="92">
        <v>1408022.18</v>
      </c>
      <c r="F236" s="92">
        <f t="shared" si="12"/>
        <v>1205483.3842737998</v>
      </c>
      <c r="G236" s="92">
        <v>3926947</v>
      </c>
      <c r="H236" s="92"/>
      <c r="I236" s="93">
        <v>0</v>
      </c>
      <c r="J236" s="93">
        <v>2740325</v>
      </c>
      <c r="K236" s="93">
        <v>0</v>
      </c>
      <c r="L236" s="92">
        <v>333403</v>
      </c>
      <c r="M236" s="92"/>
      <c r="N236" s="93">
        <v>446494</v>
      </c>
      <c r="O236" s="93">
        <v>3165776</v>
      </c>
      <c r="P236" s="93">
        <v>0</v>
      </c>
      <c r="Q236" s="92">
        <v>0</v>
      </c>
      <c r="R236" s="92"/>
      <c r="S236" s="93">
        <v>382641</v>
      </c>
      <c r="T236" s="94">
        <v>102610</v>
      </c>
      <c r="U236" s="94">
        <v>485251</v>
      </c>
      <c r="X236" s="95">
        <v>1.0281999999999999E-3</v>
      </c>
      <c r="Y236" s="96">
        <f t="shared" si="13"/>
        <v>0</v>
      </c>
      <c r="Z236" s="88">
        <f t="shared" si="14"/>
        <v>0</v>
      </c>
      <c r="AB236" s="75">
        <f t="shared" si="15"/>
        <v>-425451</v>
      </c>
      <c r="AC236" s="75">
        <v>1</v>
      </c>
    </row>
    <row r="237" spans="1:29">
      <c r="A237" s="89">
        <v>37600</v>
      </c>
      <c r="B237" s="90" t="s">
        <v>222</v>
      </c>
      <c r="C237" s="97">
        <v>6.4326000000000001E-3</v>
      </c>
      <c r="D237" s="97">
        <v>6.5849999999999997E-3</v>
      </c>
      <c r="E237" s="92">
        <v>7795506.29</v>
      </c>
      <c r="F237" s="92">
        <f t="shared" si="12"/>
        <v>7720393.0027649999</v>
      </c>
      <c r="G237" s="92">
        <v>23705405</v>
      </c>
      <c r="H237" s="92"/>
      <c r="I237" s="93">
        <v>0</v>
      </c>
      <c r="J237" s="93">
        <v>16542241</v>
      </c>
      <c r="K237" s="93">
        <v>0</v>
      </c>
      <c r="L237" s="92">
        <v>0</v>
      </c>
      <c r="M237" s="92"/>
      <c r="N237" s="93">
        <v>2695304</v>
      </c>
      <c r="O237" s="93">
        <v>19110521</v>
      </c>
      <c r="P237" s="93">
        <v>0</v>
      </c>
      <c r="Q237" s="92">
        <v>1059957</v>
      </c>
      <c r="R237" s="92"/>
      <c r="S237" s="93">
        <v>2309850</v>
      </c>
      <c r="T237" s="94">
        <v>-306614</v>
      </c>
      <c r="U237" s="94">
        <v>2003236</v>
      </c>
      <c r="X237" s="95">
        <v>6.5849999999999997E-3</v>
      </c>
      <c r="Y237" s="96">
        <f t="shared" si="13"/>
        <v>0</v>
      </c>
      <c r="Z237" s="88">
        <f t="shared" si="14"/>
        <v>0</v>
      </c>
      <c r="AB237" s="75">
        <f t="shared" si="15"/>
        <v>-2568280</v>
      </c>
      <c r="AC237" s="75">
        <v>-1</v>
      </c>
    </row>
    <row r="238" spans="1:29">
      <c r="A238" s="89">
        <v>37601</v>
      </c>
      <c r="B238" s="90" t="s">
        <v>223</v>
      </c>
      <c r="C238" s="97">
        <v>8.25E-5</v>
      </c>
      <c r="D238" s="97">
        <v>4.21E-5</v>
      </c>
      <c r="E238" s="92">
        <v>88563.35</v>
      </c>
      <c r="F238" s="92">
        <f t="shared" si="12"/>
        <v>49358.9286889</v>
      </c>
      <c r="G238" s="92">
        <v>304029</v>
      </c>
      <c r="H238" s="92"/>
      <c r="I238" s="93">
        <v>0</v>
      </c>
      <c r="J238" s="93">
        <v>212159</v>
      </c>
      <c r="K238" s="93">
        <v>0</v>
      </c>
      <c r="L238" s="92">
        <v>304477</v>
      </c>
      <c r="M238" s="92"/>
      <c r="N238" s="93">
        <v>34568</v>
      </c>
      <c r="O238" s="93">
        <v>245098</v>
      </c>
      <c r="P238" s="93">
        <v>0</v>
      </c>
      <c r="Q238" s="92">
        <v>0</v>
      </c>
      <c r="R238" s="92"/>
      <c r="S238" s="93">
        <v>29625</v>
      </c>
      <c r="T238" s="94">
        <v>96199</v>
      </c>
      <c r="U238" s="94">
        <v>125824</v>
      </c>
      <c r="X238" s="95">
        <v>4.21E-5</v>
      </c>
      <c r="Y238" s="96">
        <f t="shared" si="13"/>
        <v>0</v>
      </c>
      <c r="Z238" s="88">
        <f t="shared" si="14"/>
        <v>0</v>
      </c>
      <c r="AB238" s="75">
        <f t="shared" si="15"/>
        <v>-32939</v>
      </c>
      <c r="AC238" s="75">
        <v>0</v>
      </c>
    </row>
    <row r="239" spans="1:29">
      <c r="A239" s="89">
        <v>37605</v>
      </c>
      <c r="B239" s="90" t="s">
        <v>224</v>
      </c>
      <c r="C239" s="97">
        <v>7.3910000000000002E-4</v>
      </c>
      <c r="D239" s="97">
        <v>7.4439999999999999E-4</v>
      </c>
      <c r="E239" s="92">
        <v>930939.71</v>
      </c>
      <c r="F239" s="92">
        <f t="shared" si="12"/>
        <v>872750.27353959996</v>
      </c>
      <c r="G239" s="92">
        <v>2723730</v>
      </c>
      <c r="H239" s="92"/>
      <c r="I239" s="93">
        <v>0</v>
      </c>
      <c r="J239" s="93">
        <v>1900689</v>
      </c>
      <c r="K239" s="93">
        <v>0</v>
      </c>
      <c r="L239" s="92">
        <v>0</v>
      </c>
      <c r="M239" s="92"/>
      <c r="N239" s="93">
        <v>309688</v>
      </c>
      <c r="O239" s="93">
        <v>2195782</v>
      </c>
      <c r="P239" s="93">
        <v>0</v>
      </c>
      <c r="Q239" s="92">
        <v>28756</v>
      </c>
      <c r="R239" s="92"/>
      <c r="S239" s="93">
        <v>265400</v>
      </c>
      <c r="T239" s="94">
        <v>-8341</v>
      </c>
      <c r="U239" s="94">
        <v>257059</v>
      </c>
      <c r="X239" s="95">
        <v>7.4439999999999999E-4</v>
      </c>
      <c r="Y239" s="96">
        <f t="shared" si="13"/>
        <v>0</v>
      </c>
      <c r="Z239" s="88">
        <f t="shared" si="14"/>
        <v>0</v>
      </c>
      <c r="AB239" s="75">
        <f t="shared" si="15"/>
        <v>-295093</v>
      </c>
      <c r="AC239" s="75">
        <v>0</v>
      </c>
    </row>
    <row r="240" spans="1:29">
      <c r="A240" s="89">
        <v>37610</v>
      </c>
      <c r="B240" s="90" t="s">
        <v>225</v>
      </c>
      <c r="C240" s="97">
        <v>2.0593E-3</v>
      </c>
      <c r="D240" s="97">
        <v>2.0812000000000001E-3</v>
      </c>
      <c r="E240" s="92">
        <v>2316046.94</v>
      </c>
      <c r="F240" s="92">
        <f t="shared" si="12"/>
        <v>2440042.8120508003</v>
      </c>
      <c r="G240" s="92">
        <v>7588928</v>
      </c>
      <c r="H240" s="92"/>
      <c r="I240" s="93">
        <v>0</v>
      </c>
      <c r="J240" s="93">
        <v>5295749</v>
      </c>
      <c r="K240" s="93">
        <v>0</v>
      </c>
      <c r="L240" s="92">
        <v>16229</v>
      </c>
      <c r="M240" s="92"/>
      <c r="N240" s="93">
        <v>862861</v>
      </c>
      <c r="O240" s="93">
        <v>6117946</v>
      </c>
      <c r="P240" s="93">
        <v>0</v>
      </c>
      <c r="Q240" s="92">
        <v>314991</v>
      </c>
      <c r="R240" s="92"/>
      <c r="S240" s="93">
        <v>739464</v>
      </c>
      <c r="T240" s="94">
        <v>-81438</v>
      </c>
      <c r="U240" s="94">
        <v>658025</v>
      </c>
      <c r="X240" s="95">
        <v>2.0812000000000001E-3</v>
      </c>
      <c r="Y240" s="96">
        <f t="shared" si="13"/>
        <v>0</v>
      </c>
      <c r="Z240" s="88">
        <f t="shared" si="14"/>
        <v>1</v>
      </c>
      <c r="AB240" s="75">
        <f t="shared" si="15"/>
        <v>-822197</v>
      </c>
      <c r="AC240" s="75">
        <v>-1</v>
      </c>
    </row>
    <row r="241" spans="1:29">
      <c r="A241" s="89">
        <v>37700</v>
      </c>
      <c r="B241" s="90" t="s">
        <v>226</v>
      </c>
      <c r="C241" s="97">
        <v>2.7039999999999998E-3</v>
      </c>
      <c r="D241" s="97">
        <v>2.7109999999999999E-3</v>
      </c>
      <c r="E241" s="92">
        <v>3389033.61</v>
      </c>
      <c r="F241" s="92">
        <f t="shared" si="12"/>
        <v>3178433.626499</v>
      </c>
      <c r="G241" s="92">
        <v>9964775</v>
      </c>
      <c r="H241" s="92"/>
      <c r="I241" s="93">
        <v>0</v>
      </c>
      <c r="J241" s="93">
        <v>6953677</v>
      </c>
      <c r="K241" s="93">
        <v>0</v>
      </c>
      <c r="L241" s="92">
        <v>0</v>
      </c>
      <c r="M241" s="92"/>
      <c r="N241" s="93">
        <v>1132995</v>
      </c>
      <c r="O241" s="93">
        <v>8033276</v>
      </c>
      <c r="P241" s="93">
        <v>0</v>
      </c>
      <c r="Q241" s="92">
        <v>262078</v>
      </c>
      <c r="R241" s="92"/>
      <c r="S241" s="93">
        <v>970965.84</v>
      </c>
      <c r="T241" s="94">
        <v>-89941</v>
      </c>
      <c r="U241" s="94">
        <v>881025</v>
      </c>
      <c r="X241" s="95">
        <v>2.7109999999999999E-3</v>
      </c>
      <c r="Y241" s="96">
        <f t="shared" si="13"/>
        <v>0</v>
      </c>
      <c r="Z241" s="88">
        <f t="shared" si="14"/>
        <v>-0.16000000003259629</v>
      </c>
      <c r="AB241" s="75">
        <f t="shared" si="15"/>
        <v>-1079599</v>
      </c>
      <c r="AC241" s="75">
        <v>0</v>
      </c>
    </row>
    <row r="242" spans="1:29">
      <c r="A242" s="89">
        <v>37705</v>
      </c>
      <c r="B242" s="90" t="s">
        <v>227</v>
      </c>
      <c r="C242" s="97">
        <v>7.9880000000000001E-4</v>
      </c>
      <c r="D242" s="97">
        <v>7.8149999999999997E-4</v>
      </c>
      <c r="E242" s="92">
        <v>980021.79</v>
      </c>
      <c r="F242" s="92">
        <f t="shared" si="12"/>
        <v>916247.09668349999</v>
      </c>
      <c r="G242" s="92">
        <v>2943736</v>
      </c>
      <c r="H242" s="92"/>
      <c r="I242" s="93">
        <v>0</v>
      </c>
      <c r="J242" s="93">
        <v>2054215</v>
      </c>
      <c r="K242" s="93">
        <v>0</v>
      </c>
      <c r="L242" s="92">
        <v>306197</v>
      </c>
      <c r="M242" s="92"/>
      <c r="N242" s="93">
        <v>334703</v>
      </c>
      <c r="O242" s="93">
        <v>2373144</v>
      </c>
      <c r="P242" s="93">
        <v>0</v>
      </c>
      <c r="Q242" s="92">
        <v>0</v>
      </c>
      <c r="R242" s="92"/>
      <c r="S242" s="93">
        <v>286837</v>
      </c>
      <c r="T242" s="94">
        <v>105599</v>
      </c>
      <c r="U242" s="94">
        <v>392436</v>
      </c>
      <c r="X242" s="95">
        <v>7.8149999999999997E-4</v>
      </c>
      <c r="Y242" s="96">
        <f t="shared" si="13"/>
        <v>0</v>
      </c>
      <c r="Z242" s="88">
        <f t="shared" si="14"/>
        <v>0</v>
      </c>
      <c r="AB242" s="75">
        <f t="shared" si="15"/>
        <v>-318929</v>
      </c>
      <c r="AC242" s="75">
        <v>-1</v>
      </c>
    </row>
    <row r="243" spans="1:29">
      <c r="A243" s="89">
        <v>37800</v>
      </c>
      <c r="B243" s="90" t="s">
        <v>228</v>
      </c>
      <c r="C243" s="97">
        <v>8.3140999999999996E-3</v>
      </c>
      <c r="D243" s="97">
        <v>8.3456999999999993E-3</v>
      </c>
      <c r="E243" s="92">
        <v>10519118.720000001</v>
      </c>
      <c r="F243" s="92">
        <f t="shared" si="12"/>
        <v>9784674.8493812997</v>
      </c>
      <c r="G243" s="92">
        <v>30639105</v>
      </c>
      <c r="H243" s="92"/>
      <c r="I243" s="93">
        <v>0</v>
      </c>
      <c r="J243" s="93">
        <v>21380756</v>
      </c>
      <c r="K243" s="93">
        <v>0</v>
      </c>
      <c r="L243" s="92">
        <v>362672</v>
      </c>
      <c r="M243" s="92"/>
      <c r="N243" s="93">
        <v>3483666</v>
      </c>
      <c r="O243" s="93">
        <v>24700243</v>
      </c>
      <c r="P243" s="93">
        <v>0</v>
      </c>
      <c r="Q243" s="92">
        <v>116175</v>
      </c>
      <c r="R243" s="92"/>
      <c r="S243" s="93">
        <v>2985469</v>
      </c>
      <c r="T243" s="94">
        <v>97809</v>
      </c>
      <c r="U243" s="94">
        <v>3083277</v>
      </c>
      <c r="X243" s="95">
        <v>8.3456999999999993E-3</v>
      </c>
      <c r="Y243" s="96">
        <f t="shared" si="13"/>
        <v>0</v>
      </c>
      <c r="Z243" s="88">
        <f t="shared" si="14"/>
        <v>1</v>
      </c>
      <c r="AB243" s="75">
        <f t="shared" si="15"/>
        <v>-3319487</v>
      </c>
      <c r="AC243" s="75">
        <v>1</v>
      </c>
    </row>
    <row r="244" spans="1:29">
      <c r="A244" s="89">
        <v>37801</v>
      </c>
      <c r="B244" s="90" t="s">
        <v>229</v>
      </c>
      <c r="C244" s="97">
        <v>5.6499999999999998E-5</v>
      </c>
      <c r="D244" s="97">
        <v>3.1099999999999997E-5</v>
      </c>
      <c r="E244" s="92">
        <v>55934.97</v>
      </c>
      <c r="F244" s="92">
        <f t="shared" si="12"/>
        <v>36462.2964899</v>
      </c>
      <c r="G244" s="92">
        <v>208214</v>
      </c>
      <c r="H244" s="92"/>
      <c r="I244" s="93">
        <v>0</v>
      </c>
      <c r="J244" s="93">
        <v>145297</v>
      </c>
      <c r="K244" s="93">
        <v>0</v>
      </c>
      <c r="L244" s="92">
        <v>207699</v>
      </c>
      <c r="M244" s="92"/>
      <c r="N244" s="93">
        <v>23674</v>
      </c>
      <c r="O244" s="93">
        <v>167855</v>
      </c>
      <c r="P244" s="93">
        <v>0</v>
      </c>
      <c r="Q244" s="92">
        <v>0</v>
      </c>
      <c r="R244" s="92"/>
      <c r="S244" s="93">
        <v>20288</v>
      </c>
      <c r="T244" s="94">
        <v>66670</v>
      </c>
      <c r="U244" s="94">
        <v>86958</v>
      </c>
      <c r="X244" s="95">
        <v>3.1099999999999997E-5</v>
      </c>
      <c r="Y244" s="96">
        <f t="shared" si="13"/>
        <v>0</v>
      </c>
      <c r="Z244" s="88">
        <f t="shared" si="14"/>
        <v>0</v>
      </c>
      <c r="AB244" s="75">
        <f t="shared" si="15"/>
        <v>-22558</v>
      </c>
      <c r="AC244" s="75">
        <v>-1</v>
      </c>
    </row>
    <row r="245" spans="1:29">
      <c r="A245" s="89">
        <v>37805</v>
      </c>
      <c r="B245" s="90" t="s">
        <v>230</v>
      </c>
      <c r="C245" s="97">
        <v>7.4660000000000004E-4</v>
      </c>
      <c r="D245" s="97">
        <v>8.2100000000000001E-4</v>
      </c>
      <c r="E245" s="92">
        <v>984479.53</v>
      </c>
      <c r="F245" s="92">
        <f t="shared" si="12"/>
        <v>962557.73048899998</v>
      </c>
      <c r="G245" s="92">
        <v>2751369</v>
      </c>
      <c r="H245" s="92"/>
      <c r="I245" s="93">
        <v>0</v>
      </c>
      <c r="J245" s="93">
        <v>1919976</v>
      </c>
      <c r="K245" s="93">
        <v>0</v>
      </c>
      <c r="L245" s="92">
        <v>123558</v>
      </c>
      <c r="M245" s="92"/>
      <c r="N245" s="93">
        <v>312831</v>
      </c>
      <c r="O245" s="93">
        <v>2218063</v>
      </c>
      <c r="P245" s="93">
        <v>0</v>
      </c>
      <c r="Q245" s="92">
        <v>282208</v>
      </c>
      <c r="R245" s="92"/>
      <c r="S245" s="93">
        <v>268093</v>
      </c>
      <c r="T245" s="94">
        <v>-33888</v>
      </c>
      <c r="U245" s="94">
        <v>234205</v>
      </c>
      <c r="X245" s="95">
        <v>8.2100000000000001E-4</v>
      </c>
      <c r="Y245" s="96">
        <f t="shared" si="13"/>
        <v>0</v>
      </c>
      <c r="Z245" s="88">
        <f t="shared" si="14"/>
        <v>0</v>
      </c>
      <c r="AB245" s="75">
        <f t="shared" si="15"/>
        <v>-298087</v>
      </c>
      <c r="AC245" s="75">
        <v>1</v>
      </c>
    </row>
    <row r="246" spans="1:29">
      <c r="A246" s="89">
        <v>37900</v>
      </c>
      <c r="B246" s="90" t="s">
        <v>231</v>
      </c>
      <c r="C246" s="97">
        <v>4.7647999999999996E-3</v>
      </c>
      <c r="D246" s="97">
        <v>4.9563000000000003E-3</v>
      </c>
      <c r="E246" s="92">
        <v>6098419.3399999999</v>
      </c>
      <c r="F246" s="92">
        <f t="shared" si="12"/>
        <v>5810870.7425367003</v>
      </c>
      <c r="G246" s="92">
        <v>17559231</v>
      </c>
      <c r="H246" s="92"/>
      <c r="I246" s="93">
        <v>0</v>
      </c>
      <c r="J246" s="93">
        <v>12253284</v>
      </c>
      <c r="K246" s="93">
        <v>0</v>
      </c>
      <c r="L246" s="92">
        <v>137504</v>
      </c>
      <c r="M246" s="92"/>
      <c r="N246" s="93">
        <v>1996485</v>
      </c>
      <c r="O246" s="93">
        <v>14155678</v>
      </c>
      <c r="P246" s="93">
        <v>0</v>
      </c>
      <c r="Q246" s="92">
        <v>745961</v>
      </c>
      <c r="R246" s="92"/>
      <c r="S246" s="93">
        <v>1710968</v>
      </c>
      <c r="T246" s="94">
        <v>-157353</v>
      </c>
      <c r="U246" s="94">
        <v>1553615</v>
      </c>
      <c r="X246" s="95">
        <v>4.9563000000000003E-3</v>
      </c>
      <c r="Y246" s="96">
        <f t="shared" si="13"/>
        <v>0</v>
      </c>
      <c r="Z246" s="88">
        <f t="shared" si="14"/>
        <v>0</v>
      </c>
      <c r="AB246" s="75">
        <f t="shared" si="15"/>
        <v>-1902394</v>
      </c>
      <c r="AC246" s="75">
        <v>0</v>
      </c>
    </row>
    <row r="247" spans="1:29">
      <c r="A247" s="89">
        <v>37901</v>
      </c>
      <c r="B247" s="90" t="s">
        <v>232</v>
      </c>
      <c r="C247" s="97">
        <v>6.3499999999999999E-5</v>
      </c>
      <c r="D247" s="97">
        <v>6.2299999999999996E-5</v>
      </c>
      <c r="E247" s="92">
        <v>73951.850000000006</v>
      </c>
      <c r="F247" s="92">
        <f t="shared" si="12"/>
        <v>73041.835090699999</v>
      </c>
      <c r="G247" s="92">
        <v>234010</v>
      </c>
      <c r="H247" s="92"/>
      <c r="I247" s="93">
        <v>0</v>
      </c>
      <c r="J247" s="93">
        <v>163298</v>
      </c>
      <c r="K247" s="93">
        <v>0</v>
      </c>
      <c r="L247" s="92">
        <v>863</v>
      </c>
      <c r="M247" s="92"/>
      <c r="N247" s="93">
        <v>26607</v>
      </c>
      <c r="O247" s="93">
        <v>188651</v>
      </c>
      <c r="P247" s="93">
        <v>0</v>
      </c>
      <c r="Q247" s="92">
        <v>0</v>
      </c>
      <c r="R247" s="92"/>
      <c r="S247" s="93">
        <v>22802</v>
      </c>
      <c r="T247" s="94">
        <v>292</v>
      </c>
      <c r="U247" s="94">
        <v>23094</v>
      </c>
      <c r="X247" s="95">
        <v>6.2299999999999996E-5</v>
      </c>
      <c r="Y247" s="96">
        <f t="shared" si="13"/>
        <v>0</v>
      </c>
      <c r="Z247" s="88">
        <f t="shared" si="14"/>
        <v>0</v>
      </c>
      <c r="AB247" s="75">
        <f t="shared" si="15"/>
        <v>-25353</v>
      </c>
      <c r="AC247" s="75">
        <v>0</v>
      </c>
    </row>
    <row r="248" spans="1:29">
      <c r="A248" s="89">
        <v>37905</v>
      </c>
      <c r="B248" s="90" t="s">
        <v>233</v>
      </c>
      <c r="C248" s="97">
        <v>5.2079999999999997E-4</v>
      </c>
      <c r="D248" s="97">
        <v>5.5029999999999999E-4</v>
      </c>
      <c r="E248" s="92">
        <v>738438.37</v>
      </c>
      <c r="F248" s="92">
        <f t="shared" si="12"/>
        <v>645183.33628269995</v>
      </c>
      <c r="G248" s="92">
        <v>1919251</v>
      </c>
      <c r="H248" s="92"/>
      <c r="I248" s="93">
        <v>0</v>
      </c>
      <c r="J248" s="93">
        <v>1339303</v>
      </c>
      <c r="K248" s="93">
        <v>0</v>
      </c>
      <c r="L248" s="92">
        <v>3413</v>
      </c>
      <c r="M248" s="92"/>
      <c r="N248" s="93">
        <v>218219</v>
      </c>
      <c r="O248" s="93">
        <v>1547237</v>
      </c>
      <c r="P248" s="93">
        <v>0</v>
      </c>
      <c r="Q248" s="92">
        <v>61534</v>
      </c>
      <c r="R248" s="92"/>
      <c r="S248" s="93">
        <v>187011</v>
      </c>
      <c r="T248" s="94">
        <v>-15822</v>
      </c>
      <c r="U248" s="94">
        <v>171189</v>
      </c>
      <c r="X248" s="95">
        <v>5.5029999999999999E-4</v>
      </c>
      <c r="Y248" s="96">
        <f t="shared" si="13"/>
        <v>0</v>
      </c>
      <c r="Z248" s="88">
        <f t="shared" si="14"/>
        <v>0</v>
      </c>
      <c r="AB248" s="75">
        <f t="shared" si="15"/>
        <v>-207934</v>
      </c>
      <c r="AC248" s="75">
        <v>0</v>
      </c>
    </row>
    <row r="249" spans="1:29">
      <c r="A249" s="89">
        <v>38000</v>
      </c>
      <c r="B249" s="90" t="s">
        <v>234</v>
      </c>
      <c r="C249" s="97">
        <v>7.1176E-3</v>
      </c>
      <c r="D249" s="97">
        <v>7.2354999999999997E-3</v>
      </c>
      <c r="E249" s="92">
        <v>8881051.3800000008</v>
      </c>
      <c r="F249" s="92">
        <f t="shared" si="12"/>
        <v>8483052.9341694992</v>
      </c>
      <c r="G249" s="92">
        <v>26229765</v>
      </c>
      <c r="H249" s="92"/>
      <c r="I249" s="93">
        <v>0</v>
      </c>
      <c r="J249" s="93">
        <v>18303805</v>
      </c>
      <c r="K249" s="93">
        <v>0</v>
      </c>
      <c r="L249" s="92">
        <v>0</v>
      </c>
      <c r="M249" s="92"/>
      <c r="N249" s="93">
        <v>2982324</v>
      </c>
      <c r="O249" s="93">
        <v>21145578</v>
      </c>
      <c r="P249" s="93">
        <v>0</v>
      </c>
      <c r="Q249" s="92">
        <v>2162545</v>
      </c>
      <c r="R249" s="92"/>
      <c r="S249" s="93">
        <v>2555823</v>
      </c>
      <c r="T249" s="94">
        <v>-727772</v>
      </c>
      <c r="U249" s="94">
        <v>1828052</v>
      </c>
      <c r="X249" s="95">
        <v>7.2354999999999997E-3</v>
      </c>
      <c r="Y249" s="96">
        <f t="shared" si="13"/>
        <v>0</v>
      </c>
      <c r="Z249" s="88">
        <f t="shared" si="14"/>
        <v>-1</v>
      </c>
      <c r="AB249" s="75">
        <f t="shared" si="15"/>
        <v>-2841773</v>
      </c>
      <c r="AC249" s="75">
        <v>0</v>
      </c>
    </row>
    <row r="250" spans="1:29">
      <c r="A250" s="89">
        <v>38005</v>
      </c>
      <c r="B250" s="90" t="s">
        <v>235</v>
      </c>
      <c r="C250" s="97">
        <v>1.4445E-3</v>
      </c>
      <c r="D250" s="97">
        <v>1.4295E-3</v>
      </c>
      <c r="E250" s="92">
        <v>1921468.34</v>
      </c>
      <c r="F250" s="92">
        <f t="shared" si="12"/>
        <v>1675975.9753155001</v>
      </c>
      <c r="G250" s="92">
        <v>5323269</v>
      </c>
      <c r="H250" s="92"/>
      <c r="I250" s="93">
        <v>0</v>
      </c>
      <c r="J250" s="93">
        <v>3714714</v>
      </c>
      <c r="K250" s="93">
        <v>0</v>
      </c>
      <c r="L250" s="92">
        <v>307275</v>
      </c>
      <c r="M250" s="92"/>
      <c r="N250" s="93">
        <v>605256</v>
      </c>
      <c r="O250" s="93">
        <v>4291445</v>
      </c>
      <c r="P250" s="93">
        <v>0</v>
      </c>
      <c r="Q250" s="92">
        <v>0</v>
      </c>
      <c r="R250" s="92"/>
      <c r="S250" s="93">
        <v>518698</v>
      </c>
      <c r="T250" s="94">
        <v>98730</v>
      </c>
      <c r="U250" s="94">
        <v>617429</v>
      </c>
      <c r="X250" s="95">
        <v>1.4295E-3</v>
      </c>
      <c r="Y250" s="96">
        <f t="shared" si="13"/>
        <v>0</v>
      </c>
      <c r="Z250" s="88">
        <f t="shared" si="14"/>
        <v>-1</v>
      </c>
      <c r="AB250" s="75">
        <f t="shared" si="15"/>
        <v>-576731</v>
      </c>
      <c r="AC250" s="75">
        <v>0</v>
      </c>
    </row>
    <row r="251" spans="1:29">
      <c r="A251" s="89">
        <v>38100</v>
      </c>
      <c r="B251" s="90" t="s">
        <v>236</v>
      </c>
      <c r="C251" s="97">
        <v>3.3126000000000002E-3</v>
      </c>
      <c r="D251" s="97">
        <v>3.3475000000000002E-3</v>
      </c>
      <c r="E251" s="92">
        <v>4187418.75</v>
      </c>
      <c r="F251" s="92">
        <f t="shared" si="12"/>
        <v>3924679.6623775004</v>
      </c>
      <c r="G251" s="92">
        <v>12207587</v>
      </c>
      <c r="H251" s="92"/>
      <c r="I251" s="93">
        <v>0</v>
      </c>
      <c r="J251" s="93">
        <v>8518768</v>
      </c>
      <c r="K251" s="93">
        <v>0</v>
      </c>
      <c r="L251" s="92">
        <v>0</v>
      </c>
      <c r="M251" s="92"/>
      <c r="N251" s="93">
        <v>1388003</v>
      </c>
      <c r="O251" s="93">
        <v>9841357</v>
      </c>
      <c r="P251" s="93">
        <v>0</v>
      </c>
      <c r="Q251" s="92">
        <v>737957</v>
      </c>
      <c r="R251" s="92"/>
      <c r="S251" s="93">
        <v>1189505</v>
      </c>
      <c r="T251" s="94">
        <v>-252804</v>
      </c>
      <c r="U251" s="94">
        <v>936701</v>
      </c>
      <c r="X251" s="95">
        <v>3.3475000000000002E-3</v>
      </c>
      <c r="Y251" s="96">
        <f t="shared" si="13"/>
        <v>0</v>
      </c>
      <c r="Z251" s="88">
        <f t="shared" si="14"/>
        <v>0</v>
      </c>
      <c r="AB251" s="75">
        <f t="shared" si="15"/>
        <v>-1322589</v>
      </c>
      <c r="AC251" s="75">
        <v>0</v>
      </c>
    </row>
    <row r="252" spans="1:29">
      <c r="A252" s="89">
        <v>38105</v>
      </c>
      <c r="B252" s="90" t="s">
        <v>237</v>
      </c>
      <c r="C252" s="97">
        <v>6.8559999999999997E-4</v>
      </c>
      <c r="D252" s="97">
        <v>7.0240000000000005E-4</v>
      </c>
      <c r="E252" s="92">
        <v>862431.33</v>
      </c>
      <c r="F252" s="92">
        <f t="shared" si="12"/>
        <v>823508.58696160011</v>
      </c>
      <c r="G252" s="92">
        <v>2526572</v>
      </c>
      <c r="H252" s="92"/>
      <c r="I252" s="93">
        <v>0</v>
      </c>
      <c r="J252" s="93">
        <v>1763107</v>
      </c>
      <c r="K252" s="93">
        <v>0</v>
      </c>
      <c r="L252" s="92">
        <v>0</v>
      </c>
      <c r="M252" s="92"/>
      <c r="N252" s="93">
        <v>287271</v>
      </c>
      <c r="O252" s="93">
        <v>2036839</v>
      </c>
      <c r="P252" s="93">
        <v>0</v>
      </c>
      <c r="Q252" s="92">
        <v>96242</v>
      </c>
      <c r="R252" s="92"/>
      <c r="S252" s="93">
        <v>246189</v>
      </c>
      <c r="T252" s="94">
        <v>-28504</v>
      </c>
      <c r="U252" s="94">
        <v>217685</v>
      </c>
      <c r="X252" s="95">
        <v>7.0240000000000005E-4</v>
      </c>
      <c r="Y252" s="96">
        <f t="shared" si="13"/>
        <v>0</v>
      </c>
      <c r="Z252" s="88">
        <f t="shared" si="14"/>
        <v>0</v>
      </c>
      <c r="AB252" s="75">
        <f t="shared" si="15"/>
        <v>-273732</v>
      </c>
      <c r="AC252" s="75">
        <v>1</v>
      </c>
    </row>
    <row r="253" spans="1:29">
      <c r="A253" s="89">
        <v>38200</v>
      </c>
      <c r="B253" s="90" t="s">
        <v>238</v>
      </c>
      <c r="C253" s="97">
        <v>3.2916E-3</v>
      </c>
      <c r="D253" s="97">
        <v>3.2772999999999999E-3</v>
      </c>
      <c r="E253" s="92">
        <v>3982111.89</v>
      </c>
      <c r="F253" s="92">
        <f t="shared" si="12"/>
        <v>3842375.7005257001</v>
      </c>
      <c r="G253" s="92">
        <v>12130198</v>
      </c>
      <c r="H253" s="92"/>
      <c r="I253" s="93">
        <v>0</v>
      </c>
      <c r="J253" s="93">
        <v>8464764</v>
      </c>
      <c r="K253" s="93">
        <v>0</v>
      </c>
      <c r="L253" s="92">
        <v>78323</v>
      </c>
      <c r="M253" s="92"/>
      <c r="N253" s="93">
        <v>1379203</v>
      </c>
      <c r="O253" s="93">
        <v>9778968</v>
      </c>
      <c r="P253" s="93">
        <v>0</v>
      </c>
      <c r="Q253" s="92">
        <v>75364</v>
      </c>
      <c r="R253" s="92"/>
      <c r="S253" s="93">
        <v>1181964</v>
      </c>
      <c r="T253" s="94">
        <v>7196</v>
      </c>
      <c r="U253" s="94">
        <v>1189160</v>
      </c>
      <c r="X253" s="95">
        <v>3.2772999999999999E-3</v>
      </c>
      <c r="Y253" s="96">
        <f t="shared" si="13"/>
        <v>0</v>
      </c>
      <c r="Z253" s="88">
        <f t="shared" si="14"/>
        <v>0</v>
      </c>
      <c r="AB253" s="75">
        <f t="shared" si="15"/>
        <v>-1314204</v>
      </c>
      <c r="AC253" s="75">
        <v>1</v>
      </c>
    </row>
    <row r="254" spans="1:29">
      <c r="A254" s="89">
        <v>38205</v>
      </c>
      <c r="B254" s="90" t="s">
        <v>239</v>
      </c>
      <c r="C254" s="97">
        <v>4.5619999999999998E-4</v>
      </c>
      <c r="D254" s="97">
        <v>4.9180000000000003E-4</v>
      </c>
      <c r="E254" s="92">
        <v>641452.85</v>
      </c>
      <c r="F254" s="92">
        <f t="shared" si="12"/>
        <v>576596.70140620007</v>
      </c>
      <c r="G254" s="92">
        <v>1681187</v>
      </c>
      <c r="H254" s="92"/>
      <c r="I254" s="93">
        <v>0</v>
      </c>
      <c r="J254" s="93">
        <v>1173176</v>
      </c>
      <c r="K254" s="93">
        <v>0</v>
      </c>
      <c r="L254" s="92">
        <v>0</v>
      </c>
      <c r="M254" s="92"/>
      <c r="N254" s="93">
        <v>191151</v>
      </c>
      <c r="O254" s="93">
        <v>1355318</v>
      </c>
      <c r="P254" s="93">
        <v>0</v>
      </c>
      <c r="Q254" s="92">
        <v>119662</v>
      </c>
      <c r="R254" s="92"/>
      <c r="S254" s="93">
        <v>163815</v>
      </c>
      <c r="T254" s="94">
        <v>-34794</v>
      </c>
      <c r="U254" s="94">
        <v>129021</v>
      </c>
      <c r="X254" s="95">
        <v>4.9180000000000003E-4</v>
      </c>
      <c r="Y254" s="96">
        <f t="shared" si="13"/>
        <v>0</v>
      </c>
      <c r="Z254" s="88">
        <f t="shared" si="14"/>
        <v>0</v>
      </c>
      <c r="AB254" s="75">
        <f t="shared" si="15"/>
        <v>-182142</v>
      </c>
      <c r="AC254" s="75">
        <v>1</v>
      </c>
    </row>
    <row r="255" spans="1:29">
      <c r="A255" s="89">
        <v>38210</v>
      </c>
      <c r="B255" s="90" t="s">
        <v>240</v>
      </c>
      <c r="C255" s="97">
        <v>1.1485E-3</v>
      </c>
      <c r="D255" s="97">
        <v>1.1677E-3</v>
      </c>
      <c r="E255" s="92">
        <v>1442882.37</v>
      </c>
      <c r="F255" s="92">
        <f t="shared" si="12"/>
        <v>1369036.1289793001</v>
      </c>
      <c r="G255" s="92">
        <v>4232450</v>
      </c>
      <c r="H255" s="92"/>
      <c r="I255" s="93">
        <v>0</v>
      </c>
      <c r="J255" s="93">
        <v>2953512</v>
      </c>
      <c r="K255" s="93">
        <v>0</v>
      </c>
      <c r="L255" s="92">
        <v>68977</v>
      </c>
      <c r="M255" s="92"/>
      <c r="N255" s="93">
        <v>481230</v>
      </c>
      <c r="O255" s="93">
        <v>3412063</v>
      </c>
      <c r="P255" s="93">
        <v>0</v>
      </c>
      <c r="Q255" s="92">
        <v>86860</v>
      </c>
      <c r="R255" s="92"/>
      <c r="S255" s="93">
        <v>412409</v>
      </c>
      <c r="T255" s="94">
        <v>662</v>
      </c>
      <c r="U255" s="94">
        <v>413071</v>
      </c>
      <c r="X255" s="95">
        <v>1.1677E-3</v>
      </c>
      <c r="Y255" s="96">
        <f t="shared" si="13"/>
        <v>0</v>
      </c>
      <c r="Z255" s="88">
        <f t="shared" si="14"/>
        <v>0</v>
      </c>
      <c r="AB255" s="75">
        <f t="shared" si="15"/>
        <v>-458551</v>
      </c>
      <c r="AC255" s="75">
        <v>-1</v>
      </c>
    </row>
    <row r="256" spans="1:29">
      <c r="A256" s="89">
        <v>38300</v>
      </c>
      <c r="B256" s="90" t="s">
        <v>241</v>
      </c>
      <c r="C256" s="97">
        <v>2.5233E-3</v>
      </c>
      <c r="D256" s="97">
        <v>2.5320999999999998E-3</v>
      </c>
      <c r="E256" s="92">
        <v>3200446.49</v>
      </c>
      <c r="F256" s="92">
        <f t="shared" si="12"/>
        <v>2968687.4900988997</v>
      </c>
      <c r="G256" s="92">
        <v>9298860</v>
      </c>
      <c r="H256" s="92"/>
      <c r="I256" s="93">
        <v>0</v>
      </c>
      <c r="J256" s="93">
        <v>6488984</v>
      </c>
      <c r="K256" s="93">
        <v>0</v>
      </c>
      <c r="L256" s="92">
        <v>0</v>
      </c>
      <c r="M256" s="92"/>
      <c r="N256" s="93">
        <v>1057280</v>
      </c>
      <c r="O256" s="93">
        <v>7496437</v>
      </c>
      <c r="P256" s="93">
        <v>0</v>
      </c>
      <c r="Q256" s="92">
        <v>681392</v>
      </c>
      <c r="R256" s="92"/>
      <c r="S256" s="93">
        <v>906079</v>
      </c>
      <c r="T256" s="94">
        <v>-242134</v>
      </c>
      <c r="U256" s="94">
        <v>663945</v>
      </c>
      <c r="X256" s="95">
        <v>2.5320999999999998E-3</v>
      </c>
      <c r="Y256" s="96">
        <f t="shared" si="13"/>
        <v>0</v>
      </c>
      <c r="Z256" s="88">
        <f t="shared" si="14"/>
        <v>0</v>
      </c>
      <c r="AB256" s="75">
        <f t="shared" si="15"/>
        <v>-1007453</v>
      </c>
      <c r="AC256" s="75">
        <v>1</v>
      </c>
    </row>
    <row r="257" spans="1:29">
      <c r="A257" s="89">
        <v>38400</v>
      </c>
      <c r="B257" s="90" t="s">
        <v>242</v>
      </c>
      <c r="C257" s="97">
        <v>3.2049000000000001E-3</v>
      </c>
      <c r="D257" s="97">
        <v>3.1813000000000002E-3</v>
      </c>
      <c r="E257" s="92">
        <v>3933510.83</v>
      </c>
      <c r="F257" s="92">
        <f t="shared" si="12"/>
        <v>3729823.2740617003</v>
      </c>
      <c r="G257" s="92">
        <v>11810691</v>
      </c>
      <c r="H257" s="92"/>
      <c r="I257" s="93">
        <v>0</v>
      </c>
      <c r="J257" s="93">
        <v>8241804</v>
      </c>
      <c r="K257" s="93">
        <v>0</v>
      </c>
      <c r="L257" s="92">
        <v>11669</v>
      </c>
      <c r="M257" s="92"/>
      <c r="N257" s="93">
        <v>1342876</v>
      </c>
      <c r="O257" s="93">
        <v>9521393</v>
      </c>
      <c r="P257" s="93">
        <v>0</v>
      </c>
      <c r="Q257" s="92">
        <v>643119</v>
      </c>
      <c r="R257" s="92"/>
      <c r="S257" s="93">
        <v>1150832</v>
      </c>
      <c r="T257" s="94">
        <v>-227276</v>
      </c>
      <c r="U257" s="94">
        <v>923555</v>
      </c>
      <c r="X257" s="95">
        <v>3.1813000000000002E-3</v>
      </c>
      <c r="Y257" s="96">
        <f t="shared" si="13"/>
        <v>0</v>
      </c>
      <c r="Z257" s="88">
        <f t="shared" si="14"/>
        <v>1</v>
      </c>
      <c r="AB257" s="75">
        <f t="shared" si="15"/>
        <v>-1279589</v>
      </c>
      <c r="AC257" s="75">
        <v>0</v>
      </c>
    </row>
    <row r="258" spans="1:29">
      <c r="A258" s="89">
        <v>38402</v>
      </c>
      <c r="B258" s="90" t="s">
        <v>243</v>
      </c>
      <c r="C258" s="97">
        <v>1.086E-4</v>
      </c>
      <c r="D258" s="97">
        <v>1.0900000000000001E-4</v>
      </c>
      <c r="E258" s="92">
        <v>119890.82</v>
      </c>
      <c r="F258" s="92">
        <f t="shared" si="12"/>
        <v>127793.90088100001</v>
      </c>
      <c r="G258" s="92">
        <v>400213</v>
      </c>
      <c r="H258" s="92"/>
      <c r="I258" s="93">
        <v>0</v>
      </c>
      <c r="J258" s="93">
        <v>279279</v>
      </c>
      <c r="K258" s="93">
        <v>0</v>
      </c>
      <c r="L258" s="92">
        <v>31845</v>
      </c>
      <c r="M258" s="92"/>
      <c r="N258" s="93">
        <v>45504</v>
      </c>
      <c r="O258" s="93">
        <v>322638</v>
      </c>
      <c r="P258" s="93">
        <v>0</v>
      </c>
      <c r="Q258" s="92">
        <v>15176</v>
      </c>
      <c r="R258" s="92"/>
      <c r="S258" s="93">
        <v>38997</v>
      </c>
      <c r="T258" s="94">
        <v>7210</v>
      </c>
      <c r="U258" s="94">
        <v>46207</v>
      </c>
      <c r="X258" s="95">
        <v>1.0900000000000001E-4</v>
      </c>
      <c r="Y258" s="96">
        <f t="shared" si="13"/>
        <v>0</v>
      </c>
      <c r="Z258" s="88">
        <f t="shared" si="14"/>
        <v>0</v>
      </c>
      <c r="AB258" s="75">
        <f t="shared" si="15"/>
        <v>-43359</v>
      </c>
      <c r="AC258" s="75">
        <v>0</v>
      </c>
    </row>
    <row r="259" spans="1:29">
      <c r="A259" s="89">
        <v>38405</v>
      </c>
      <c r="B259" s="90" t="s">
        <v>244</v>
      </c>
      <c r="C259" s="97">
        <v>7.5730000000000003E-4</v>
      </c>
      <c r="D259" s="97">
        <v>7.762E-4</v>
      </c>
      <c r="E259" s="92">
        <v>914340.69</v>
      </c>
      <c r="F259" s="92">
        <f t="shared" si="12"/>
        <v>910033.26480580005</v>
      </c>
      <c r="G259" s="92">
        <v>2790800</v>
      </c>
      <c r="H259" s="92"/>
      <c r="I259" s="93">
        <v>0</v>
      </c>
      <c r="J259" s="93">
        <v>1947492</v>
      </c>
      <c r="K259" s="93">
        <v>0</v>
      </c>
      <c r="L259" s="92">
        <v>0</v>
      </c>
      <c r="M259" s="92"/>
      <c r="N259" s="93">
        <v>317314</v>
      </c>
      <c r="O259" s="93">
        <v>2249852</v>
      </c>
      <c r="P259" s="93">
        <v>0</v>
      </c>
      <c r="Q259" s="92">
        <v>179246</v>
      </c>
      <c r="R259" s="92"/>
      <c r="S259" s="93">
        <v>271935</v>
      </c>
      <c r="T259" s="94">
        <v>-55069</v>
      </c>
      <c r="U259" s="94">
        <v>216867</v>
      </c>
      <c r="X259" s="95">
        <v>7.762E-4</v>
      </c>
      <c r="Y259" s="96">
        <f t="shared" si="13"/>
        <v>0</v>
      </c>
      <c r="Z259" s="88">
        <f t="shared" si="14"/>
        <v>-1</v>
      </c>
      <c r="AB259" s="75">
        <f t="shared" si="15"/>
        <v>-302360</v>
      </c>
      <c r="AC259" s="75">
        <v>0</v>
      </c>
    </row>
    <row r="260" spans="1:29">
      <c r="A260" s="89">
        <v>38500</v>
      </c>
      <c r="B260" s="90" t="s">
        <v>245</v>
      </c>
      <c r="C260" s="97">
        <v>2.5734E-3</v>
      </c>
      <c r="D260" s="97">
        <v>2.6243E-3</v>
      </c>
      <c r="E260" s="92">
        <v>3155489.47</v>
      </c>
      <c r="F260" s="92">
        <f t="shared" ref="F260:F295" si="16">D260*$F$298</f>
        <v>3076784.7163486998</v>
      </c>
      <c r="G260" s="92">
        <v>9483489</v>
      </c>
      <c r="H260" s="92"/>
      <c r="I260" s="93">
        <v>0</v>
      </c>
      <c r="J260" s="93">
        <v>6617822</v>
      </c>
      <c r="K260" s="93">
        <v>0</v>
      </c>
      <c r="L260" s="92">
        <v>0</v>
      </c>
      <c r="M260" s="92"/>
      <c r="N260" s="93">
        <v>1078273</v>
      </c>
      <c r="O260" s="93">
        <v>7645278</v>
      </c>
      <c r="P260" s="93">
        <v>0</v>
      </c>
      <c r="Q260" s="92">
        <v>464058</v>
      </c>
      <c r="R260" s="92"/>
      <c r="S260" s="93">
        <v>924069</v>
      </c>
      <c r="T260" s="94">
        <v>-142826</v>
      </c>
      <c r="U260" s="94">
        <v>781244</v>
      </c>
      <c r="X260" s="95">
        <v>2.6243E-3</v>
      </c>
      <c r="Y260" s="96">
        <f t="shared" si="13"/>
        <v>0</v>
      </c>
      <c r="Z260" s="88">
        <f t="shared" si="14"/>
        <v>-1</v>
      </c>
      <c r="AB260" s="75">
        <f t="shared" si="15"/>
        <v>-1027456</v>
      </c>
      <c r="AC260" s="75">
        <v>0</v>
      </c>
    </row>
    <row r="261" spans="1:29">
      <c r="A261" s="89">
        <v>38600</v>
      </c>
      <c r="B261" s="90" t="s">
        <v>246</v>
      </c>
      <c r="C261" s="97">
        <v>3.1337000000000001E-3</v>
      </c>
      <c r="D261" s="97">
        <v>3.1055000000000002E-3</v>
      </c>
      <c r="E261" s="92">
        <v>3811168</v>
      </c>
      <c r="F261" s="92">
        <f t="shared" si="16"/>
        <v>3640953.7539995001</v>
      </c>
      <c r="G261" s="92">
        <v>11548305</v>
      </c>
      <c r="H261" s="92"/>
      <c r="I261" s="93">
        <v>0</v>
      </c>
      <c r="J261" s="93">
        <v>8058704</v>
      </c>
      <c r="K261" s="93">
        <v>0</v>
      </c>
      <c r="L261" s="92">
        <v>5733</v>
      </c>
      <c r="M261" s="92"/>
      <c r="N261" s="93">
        <v>1313042</v>
      </c>
      <c r="O261" s="93">
        <v>9309865</v>
      </c>
      <c r="P261" s="93">
        <v>0</v>
      </c>
      <c r="Q261" s="92">
        <v>597515</v>
      </c>
      <c r="R261" s="92"/>
      <c r="S261" s="93">
        <v>1125265</v>
      </c>
      <c r="T261" s="94">
        <v>-212575</v>
      </c>
      <c r="U261" s="94">
        <v>912689</v>
      </c>
      <c r="X261" s="95">
        <v>3.1055000000000002E-3</v>
      </c>
      <c r="Y261" s="96">
        <f t="shared" ref="Y261:Y296" si="17">+X261-D261</f>
        <v>0</v>
      </c>
      <c r="Z261" s="88">
        <f t="shared" ref="Z261:Z296" si="18">+S261+T261-U261</f>
        <v>1</v>
      </c>
      <c r="AB261" s="75">
        <f t="shared" si="15"/>
        <v>-1251161</v>
      </c>
      <c r="AC261" s="75">
        <v>1</v>
      </c>
    </row>
    <row r="262" spans="1:29">
      <c r="A262" s="89">
        <v>38601</v>
      </c>
      <c r="B262" s="90" t="s">
        <v>247</v>
      </c>
      <c r="C262" s="97">
        <v>4.0399999999999999E-5</v>
      </c>
      <c r="D262" s="97">
        <v>3.43E-5</v>
      </c>
      <c r="E262" s="92">
        <v>43611.76</v>
      </c>
      <c r="F262" s="92">
        <f t="shared" si="16"/>
        <v>40214.044038699998</v>
      </c>
      <c r="G262" s="92">
        <v>148882</v>
      </c>
      <c r="H262" s="92"/>
      <c r="I262" s="93">
        <v>0</v>
      </c>
      <c r="J262" s="93">
        <v>103894</v>
      </c>
      <c r="K262" s="93">
        <v>0</v>
      </c>
      <c r="L262" s="92">
        <v>34271</v>
      </c>
      <c r="M262" s="92"/>
      <c r="N262" s="93">
        <v>16928</v>
      </c>
      <c r="O262" s="93">
        <v>120024</v>
      </c>
      <c r="P262" s="93">
        <v>0</v>
      </c>
      <c r="Q262" s="92">
        <v>0</v>
      </c>
      <c r="R262" s="92"/>
      <c r="S262" s="93">
        <v>14507</v>
      </c>
      <c r="T262" s="94">
        <v>10652</v>
      </c>
      <c r="U262" s="94">
        <v>25159</v>
      </c>
      <c r="X262" s="95">
        <v>3.43E-5</v>
      </c>
      <c r="Y262" s="96">
        <f t="shared" si="17"/>
        <v>0</v>
      </c>
      <c r="Z262" s="88">
        <f t="shared" si="18"/>
        <v>0</v>
      </c>
      <c r="AB262" s="75">
        <f t="shared" ref="AB262:AB296" si="19">+J262-O262</f>
        <v>-16130</v>
      </c>
      <c r="AC262" s="75">
        <v>1</v>
      </c>
    </row>
    <row r="263" spans="1:29">
      <c r="A263" s="89">
        <v>38602</v>
      </c>
      <c r="B263" s="90" t="s">
        <v>248</v>
      </c>
      <c r="C263" s="97">
        <v>1.717E-4</v>
      </c>
      <c r="D263" s="97">
        <v>1.4970000000000001E-4</v>
      </c>
      <c r="E263" s="92">
        <v>205036.65</v>
      </c>
      <c r="F263" s="92">
        <f t="shared" si="16"/>
        <v>175511.44001730002</v>
      </c>
      <c r="G263" s="92">
        <v>632748</v>
      </c>
      <c r="H263" s="92"/>
      <c r="I263" s="93">
        <v>0</v>
      </c>
      <c r="J263" s="93">
        <v>441548</v>
      </c>
      <c r="K263" s="93">
        <v>0</v>
      </c>
      <c r="L263" s="92">
        <v>86722</v>
      </c>
      <c r="M263" s="92"/>
      <c r="N263" s="93">
        <v>71944</v>
      </c>
      <c r="O263" s="93">
        <v>510101</v>
      </c>
      <c r="P263" s="93">
        <v>0</v>
      </c>
      <c r="Q263" s="92">
        <v>0</v>
      </c>
      <c r="R263" s="92"/>
      <c r="S263" s="93">
        <v>61655</v>
      </c>
      <c r="T263" s="94">
        <v>24248</v>
      </c>
      <c r="U263" s="94">
        <v>85903</v>
      </c>
      <c r="X263" s="95">
        <v>1.4970000000000001E-4</v>
      </c>
      <c r="Y263" s="96">
        <f t="shared" si="17"/>
        <v>0</v>
      </c>
      <c r="Z263" s="88">
        <f t="shared" si="18"/>
        <v>0</v>
      </c>
      <c r="AB263" s="75">
        <f t="shared" si="19"/>
        <v>-68553</v>
      </c>
      <c r="AC263" s="75">
        <v>0</v>
      </c>
    </row>
    <row r="264" spans="1:29">
      <c r="A264" s="89">
        <v>38605</v>
      </c>
      <c r="B264" s="90" t="s">
        <v>249</v>
      </c>
      <c r="C264" s="97">
        <v>8.4349999999999996E-4</v>
      </c>
      <c r="D264" s="97">
        <v>8.5879999999999995E-4</v>
      </c>
      <c r="E264" s="92">
        <v>1072655.74</v>
      </c>
      <c r="F264" s="92">
        <f t="shared" si="16"/>
        <v>1006875.2484092</v>
      </c>
      <c r="G264" s="92">
        <v>3108465</v>
      </c>
      <c r="H264" s="92"/>
      <c r="I264" s="93">
        <v>0</v>
      </c>
      <c r="J264" s="93">
        <v>2169167</v>
      </c>
      <c r="K264" s="93">
        <v>0</v>
      </c>
      <c r="L264" s="92">
        <v>58489</v>
      </c>
      <c r="M264" s="92"/>
      <c r="N264" s="93">
        <v>353432</v>
      </c>
      <c r="O264" s="93">
        <v>2505942</v>
      </c>
      <c r="P264" s="93">
        <v>0</v>
      </c>
      <c r="Q264" s="92">
        <v>58727</v>
      </c>
      <c r="R264" s="92"/>
      <c r="S264" s="93">
        <v>302888</v>
      </c>
      <c r="T264" s="94">
        <v>4696</v>
      </c>
      <c r="U264" s="94">
        <v>307584</v>
      </c>
      <c r="X264" s="95">
        <v>8.5879999999999995E-4</v>
      </c>
      <c r="Y264" s="96">
        <f t="shared" si="17"/>
        <v>0</v>
      </c>
      <c r="Z264" s="88">
        <f t="shared" si="18"/>
        <v>0</v>
      </c>
      <c r="AB264" s="75">
        <f t="shared" si="19"/>
        <v>-336775</v>
      </c>
      <c r="AC264" s="75">
        <v>2</v>
      </c>
    </row>
    <row r="265" spans="1:29">
      <c r="A265" s="89">
        <v>38610</v>
      </c>
      <c r="B265" s="90" t="s">
        <v>250</v>
      </c>
      <c r="C265" s="97">
        <v>6.401E-4</v>
      </c>
      <c r="D265" s="97">
        <v>6.4579999999999998E-4</v>
      </c>
      <c r="E265" s="92">
        <v>835938.91</v>
      </c>
      <c r="F265" s="92">
        <f t="shared" si="16"/>
        <v>757149.55219219998</v>
      </c>
      <c r="G265" s="92">
        <v>2358895</v>
      </c>
      <c r="H265" s="92"/>
      <c r="I265" s="93">
        <v>0</v>
      </c>
      <c r="J265" s="93">
        <v>1646098</v>
      </c>
      <c r="K265" s="93">
        <v>0</v>
      </c>
      <c r="L265" s="92">
        <v>57055</v>
      </c>
      <c r="M265" s="92"/>
      <c r="N265" s="93">
        <v>268206</v>
      </c>
      <c r="O265" s="93">
        <v>1901664</v>
      </c>
      <c r="P265" s="93">
        <v>0</v>
      </c>
      <c r="Q265" s="92">
        <v>2358</v>
      </c>
      <c r="R265" s="92"/>
      <c r="S265" s="93">
        <v>229850</v>
      </c>
      <c r="T265" s="94">
        <v>19797</v>
      </c>
      <c r="U265" s="94">
        <v>249647</v>
      </c>
      <c r="X265" s="95">
        <v>6.4579999999999998E-4</v>
      </c>
      <c r="Y265" s="96">
        <f t="shared" si="17"/>
        <v>0</v>
      </c>
      <c r="Z265" s="88">
        <f t="shared" si="18"/>
        <v>0</v>
      </c>
      <c r="AB265" s="75">
        <f t="shared" si="19"/>
        <v>-255566</v>
      </c>
      <c r="AC265" s="75">
        <v>1</v>
      </c>
    </row>
    <row r="266" spans="1:29">
      <c r="A266" s="89">
        <v>38620</v>
      </c>
      <c r="B266" s="90" t="s">
        <v>251</v>
      </c>
      <c r="C266" s="97">
        <v>5.2720000000000002E-4</v>
      </c>
      <c r="D266" s="97">
        <v>5.0140000000000004E-4</v>
      </c>
      <c r="E266" s="92">
        <v>656370.73</v>
      </c>
      <c r="F266" s="92">
        <f t="shared" si="16"/>
        <v>587851.94405260007</v>
      </c>
      <c r="G266" s="92">
        <v>1942836</v>
      </c>
      <c r="H266" s="92"/>
      <c r="I266" s="93">
        <v>0</v>
      </c>
      <c r="J266" s="93">
        <v>1355761</v>
      </c>
      <c r="K266" s="93">
        <v>0</v>
      </c>
      <c r="L266" s="92">
        <v>119701</v>
      </c>
      <c r="M266" s="92"/>
      <c r="N266" s="93">
        <v>220900</v>
      </c>
      <c r="O266" s="93">
        <v>1566251</v>
      </c>
      <c r="P266" s="93">
        <v>0</v>
      </c>
      <c r="Q266" s="92">
        <v>0</v>
      </c>
      <c r="R266" s="92"/>
      <c r="S266" s="93">
        <v>189310</v>
      </c>
      <c r="T266" s="94">
        <v>34598</v>
      </c>
      <c r="U266" s="94">
        <v>223908</v>
      </c>
      <c r="X266" s="95">
        <v>5.0140000000000004E-4</v>
      </c>
      <c r="Y266" s="96">
        <f t="shared" si="17"/>
        <v>0</v>
      </c>
      <c r="Z266" s="88">
        <f t="shared" si="18"/>
        <v>0</v>
      </c>
      <c r="AB266" s="75">
        <f t="shared" si="19"/>
        <v>-210490</v>
      </c>
      <c r="AC266" s="75">
        <v>-2</v>
      </c>
    </row>
    <row r="267" spans="1:29">
      <c r="A267" s="89">
        <v>38700</v>
      </c>
      <c r="B267" s="90" t="s">
        <v>252</v>
      </c>
      <c r="C267" s="97">
        <v>8.9820000000000004E-4</v>
      </c>
      <c r="D267" s="97">
        <v>8.4749999999999995E-4</v>
      </c>
      <c r="E267" s="92">
        <v>1109327.75</v>
      </c>
      <c r="F267" s="92">
        <f t="shared" si="16"/>
        <v>993626.8898774999</v>
      </c>
      <c r="G267" s="92">
        <v>3310045</v>
      </c>
      <c r="H267" s="92"/>
      <c r="I267" s="93">
        <v>0</v>
      </c>
      <c r="J267" s="93">
        <v>2309834</v>
      </c>
      <c r="K267" s="93">
        <v>0</v>
      </c>
      <c r="L267" s="92">
        <v>256954</v>
      </c>
      <c r="M267" s="92"/>
      <c r="N267" s="93">
        <v>376352</v>
      </c>
      <c r="O267" s="93">
        <v>2668450</v>
      </c>
      <c r="P267" s="93">
        <v>0</v>
      </c>
      <c r="Q267" s="92">
        <v>0</v>
      </c>
      <c r="R267" s="92"/>
      <c r="S267" s="93">
        <v>322530</v>
      </c>
      <c r="T267" s="94">
        <v>76193</v>
      </c>
      <c r="U267" s="94">
        <v>398724</v>
      </c>
      <c r="X267" s="95">
        <v>8.4749999999999995E-4</v>
      </c>
      <c r="Y267" s="96">
        <f t="shared" si="17"/>
        <v>0</v>
      </c>
      <c r="Z267" s="88">
        <f t="shared" si="18"/>
        <v>-1</v>
      </c>
      <c r="AB267" s="75">
        <f t="shared" si="19"/>
        <v>-358616</v>
      </c>
      <c r="AC267" s="75">
        <v>0</v>
      </c>
    </row>
    <row r="268" spans="1:29">
      <c r="A268" s="89">
        <v>38701</v>
      </c>
      <c r="B268" s="90" t="s">
        <v>253</v>
      </c>
      <c r="C268" s="97">
        <v>6.0099999999999997E-5</v>
      </c>
      <c r="D268" s="97">
        <v>6.4599999999999998E-5</v>
      </c>
      <c r="E268" s="92">
        <v>75728.210000000006</v>
      </c>
      <c r="F268" s="92">
        <f t="shared" si="16"/>
        <v>75738.4036414</v>
      </c>
      <c r="G268" s="92">
        <v>221480</v>
      </c>
      <c r="H268" s="92"/>
      <c r="I268" s="93">
        <v>0</v>
      </c>
      <c r="J268" s="93">
        <v>154555</v>
      </c>
      <c r="K268" s="93">
        <v>0</v>
      </c>
      <c r="L268" s="92">
        <v>0</v>
      </c>
      <c r="M268" s="92"/>
      <c r="N268" s="93">
        <v>25182</v>
      </c>
      <c r="O268" s="93">
        <v>178550</v>
      </c>
      <c r="P268" s="93">
        <v>0</v>
      </c>
      <c r="Q268" s="92">
        <v>51320</v>
      </c>
      <c r="R268" s="92"/>
      <c r="S268" s="93">
        <v>21581</v>
      </c>
      <c r="T268" s="94">
        <v>-16834</v>
      </c>
      <c r="U268" s="94">
        <v>4747</v>
      </c>
      <c r="X268" s="95">
        <v>6.4599999999999998E-5</v>
      </c>
      <c r="Y268" s="96">
        <f t="shared" si="17"/>
        <v>0</v>
      </c>
      <c r="Z268" s="88">
        <f t="shared" si="18"/>
        <v>0</v>
      </c>
      <c r="AB268" s="75">
        <f t="shared" si="19"/>
        <v>-23995</v>
      </c>
      <c r="AC268" s="75">
        <v>0</v>
      </c>
    </row>
    <row r="269" spans="1:29">
      <c r="A269" s="89">
        <v>38800</v>
      </c>
      <c r="B269" s="90" t="s">
        <v>254</v>
      </c>
      <c r="C269" s="97">
        <v>1.5524E-3</v>
      </c>
      <c r="D269" s="97">
        <v>1.5125E-3</v>
      </c>
      <c r="E269" s="92">
        <v>1938891.02</v>
      </c>
      <c r="F269" s="92">
        <f t="shared" si="16"/>
        <v>1773286.9273625</v>
      </c>
      <c r="G269" s="92">
        <v>5720901</v>
      </c>
      <c r="H269" s="92"/>
      <c r="I269" s="93">
        <v>0</v>
      </c>
      <c r="J269" s="93">
        <v>3992192</v>
      </c>
      <c r="K269" s="93">
        <v>0</v>
      </c>
      <c r="L269" s="92">
        <v>152472</v>
      </c>
      <c r="M269" s="92"/>
      <c r="N269" s="93">
        <v>650466</v>
      </c>
      <c r="O269" s="93">
        <v>4612003</v>
      </c>
      <c r="P269" s="93">
        <v>0</v>
      </c>
      <c r="Q269" s="92">
        <v>35394</v>
      </c>
      <c r="R269" s="92"/>
      <c r="S269" s="93">
        <v>557444</v>
      </c>
      <c r="T269" s="94">
        <v>29550</v>
      </c>
      <c r="U269" s="94">
        <v>586994</v>
      </c>
      <c r="X269" s="95">
        <v>1.5125E-3</v>
      </c>
      <c r="Y269" s="96">
        <f t="shared" si="17"/>
        <v>0</v>
      </c>
      <c r="Z269" s="88">
        <f t="shared" si="18"/>
        <v>0</v>
      </c>
      <c r="AB269" s="75">
        <f t="shared" si="19"/>
        <v>-619811</v>
      </c>
      <c r="AC269" s="75">
        <v>1</v>
      </c>
    </row>
    <row r="270" spans="1:29">
      <c r="A270" s="89">
        <v>38801</v>
      </c>
      <c r="B270" s="90" t="s">
        <v>255</v>
      </c>
      <c r="C270" s="97">
        <v>8.8300000000000005E-5</v>
      </c>
      <c r="D270" s="97">
        <v>9.4599999999999996E-5</v>
      </c>
      <c r="E270" s="92">
        <v>87795.32</v>
      </c>
      <c r="F270" s="92">
        <f t="shared" si="16"/>
        <v>110911.03691139999</v>
      </c>
      <c r="G270" s="92">
        <v>325403</v>
      </c>
      <c r="H270" s="92"/>
      <c r="I270" s="93">
        <v>0</v>
      </c>
      <c r="J270" s="93">
        <v>227075</v>
      </c>
      <c r="K270" s="93">
        <v>0</v>
      </c>
      <c r="L270" s="92">
        <v>84876</v>
      </c>
      <c r="M270" s="92"/>
      <c r="N270" s="93">
        <v>36998</v>
      </c>
      <c r="O270" s="93">
        <v>262329</v>
      </c>
      <c r="P270" s="93">
        <v>0</v>
      </c>
      <c r="Q270" s="92">
        <v>45221</v>
      </c>
      <c r="R270" s="92"/>
      <c r="S270" s="93">
        <v>31707</v>
      </c>
      <c r="T270" s="94">
        <v>17895</v>
      </c>
      <c r="U270" s="94">
        <v>49602</v>
      </c>
      <c r="X270" s="95">
        <v>9.4599999999999996E-5</v>
      </c>
      <c r="Y270" s="96">
        <f t="shared" si="17"/>
        <v>0</v>
      </c>
      <c r="Z270" s="88">
        <f t="shared" si="18"/>
        <v>0</v>
      </c>
      <c r="AB270" s="75">
        <f t="shared" si="19"/>
        <v>-35254</v>
      </c>
      <c r="AC270" s="75">
        <v>-1</v>
      </c>
    </row>
    <row r="271" spans="1:29">
      <c r="A271" s="89">
        <v>38900</v>
      </c>
      <c r="B271" s="90" t="s">
        <v>256</v>
      </c>
      <c r="C271" s="97">
        <v>3.3260000000000001E-4</v>
      </c>
      <c r="D271" s="97">
        <v>3.2969999999999999E-4</v>
      </c>
      <c r="E271" s="92">
        <v>435232.47</v>
      </c>
      <c r="F271" s="92">
        <f t="shared" si="16"/>
        <v>386547.23963729996</v>
      </c>
      <c r="G271" s="92">
        <v>1225697</v>
      </c>
      <c r="H271" s="92"/>
      <c r="I271" s="93">
        <v>0</v>
      </c>
      <c r="J271" s="93">
        <v>855323</v>
      </c>
      <c r="K271" s="93">
        <v>0</v>
      </c>
      <c r="L271" s="92">
        <v>24277</v>
      </c>
      <c r="M271" s="92"/>
      <c r="N271" s="93">
        <v>139362</v>
      </c>
      <c r="O271" s="93">
        <v>988117</v>
      </c>
      <c r="P271" s="93">
        <v>0</v>
      </c>
      <c r="Q271" s="92">
        <v>75969</v>
      </c>
      <c r="R271" s="92"/>
      <c r="S271" s="93">
        <v>119432</v>
      </c>
      <c r="T271" s="94">
        <v>-20504</v>
      </c>
      <c r="U271" s="94">
        <v>98928</v>
      </c>
      <c r="X271" s="95">
        <v>3.2969999999999999E-4</v>
      </c>
      <c r="Y271" s="96">
        <f t="shared" si="17"/>
        <v>0</v>
      </c>
      <c r="Z271" s="88">
        <f t="shared" si="18"/>
        <v>0</v>
      </c>
      <c r="AB271" s="75">
        <f t="shared" si="19"/>
        <v>-132794</v>
      </c>
      <c r="AC271" s="75">
        <v>1</v>
      </c>
    </row>
    <row r="272" spans="1:29">
      <c r="A272" s="89">
        <v>39000</v>
      </c>
      <c r="B272" s="90" t="s">
        <v>257</v>
      </c>
      <c r="C272" s="97">
        <v>1.5730299999999999E-2</v>
      </c>
      <c r="D272" s="97">
        <v>1.5272300000000001E-2</v>
      </c>
      <c r="E272" s="92">
        <v>18520199.379999999</v>
      </c>
      <c r="F272" s="92">
        <f t="shared" si="16"/>
        <v>17905566.9029807</v>
      </c>
      <c r="G272" s="92">
        <v>57969270</v>
      </c>
      <c r="H272" s="92"/>
      <c r="I272" s="93">
        <v>0</v>
      </c>
      <c r="J272" s="93">
        <v>40452448</v>
      </c>
      <c r="K272" s="93">
        <v>0</v>
      </c>
      <c r="L272" s="92">
        <v>890303</v>
      </c>
      <c r="M272" s="92"/>
      <c r="N272" s="93">
        <v>6591106</v>
      </c>
      <c r="O272" s="93">
        <v>46732928</v>
      </c>
      <c r="P272" s="93">
        <v>0</v>
      </c>
      <c r="Q272" s="92">
        <v>1457794</v>
      </c>
      <c r="R272" s="92"/>
      <c r="S272" s="93">
        <v>5648515</v>
      </c>
      <c r="T272" s="94">
        <v>-275885</v>
      </c>
      <c r="U272" s="94">
        <v>5372629</v>
      </c>
      <c r="X272" s="95">
        <v>1.5272300000000001E-2</v>
      </c>
      <c r="Y272" s="96">
        <f t="shared" si="17"/>
        <v>0</v>
      </c>
      <c r="Z272" s="88">
        <f t="shared" si="18"/>
        <v>1</v>
      </c>
      <c r="AB272" s="75">
        <f t="shared" si="19"/>
        <v>-6280480</v>
      </c>
      <c r="AC272" s="75">
        <v>-1</v>
      </c>
    </row>
    <row r="273" spans="1:29">
      <c r="A273" s="89">
        <v>39100</v>
      </c>
      <c r="B273" s="90" t="s">
        <v>258</v>
      </c>
      <c r="C273" s="97">
        <v>2.5027999999999999E-3</v>
      </c>
      <c r="D273" s="97">
        <v>2.5463999999999999E-3</v>
      </c>
      <c r="E273" s="92">
        <v>3386535.1</v>
      </c>
      <c r="F273" s="92">
        <f t="shared" si="16"/>
        <v>2985453.1119575999</v>
      </c>
      <c r="G273" s="92">
        <v>9223314</v>
      </c>
      <c r="H273" s="92"/>
      <c r="I273" s="93">
        <v>0</v>
      </c>
      <c r="J273" s="93">
        <v>6436266</v>
      </c>
      <c r="K273" s="93">
        <v>0</v>
      </c>
      <c r="L273" s="92">
        <v>0</v>
      </c>
      <c r="M273" s="92"/>
      <c r="N273" s="93">
        <v>1048691</v>
      </c>
      <c r="O273" s="93">
        <v>7435533</v>
      </c>
      <c r="P273" s="93">
        <v>0</v>
      </c>
      <c r="Q273" s="92">
        <v>199931</v>
      </c>
      <c r="R273" s="92"/>
      <c r="S273" s="93">
        <v>898718</v>
      </c>
      <c r="T273" s="94">
        <v>-71085</v>
      </c>
      <c r="U273" s="94">
        <v>827633</v>
      </c>
      <c r="X273" s="95">
        <v>2.5463999999999999E-3</v>
      </c>
      <c r="Y273" s="96">
        <f t="shared" si="17"/>
        <v>0</v>
      </c>
      <c r="Z273" s="88">
        <f t="shared" si="18"/>
        <v>0</v>
      </c>
      <c r="AB273" s="75">
        <f t="shared" si="19"/>
        <v>-999267</v>
      </c>
      <c r="AC273" s="75">
        <v>0</v>
      </c>
    </row>
    <row r="274" spans="1:29">
      <c r="A274" s="89">
        <v>39101</v>
      </c>
      <c r="B274" s="90" t="s">
        <v>259</v>
      </c>
      <c r="C274" s="97">
        <v>1.75E-4</v>
      </c>
      <c r="D274" s="97">
        <v>1.785E-4</v>
      </c>
      <c r="E274" s="92">
        <v>212134.9</v>
      </c>
      <c r="F274" s="92">
        <f t="shared" si="16"/>
        <v>209277.16795649999</v>
      </c>
      <c r="G274" s="92">
        <v>644909.65</v>
      </c>
      <c r="H274" s="92"/>
      <c r="I274" s="93">
        <v>0</v>
      </c>
      <c r="J274" s="93">
        <v>450034.55</v>
      </c>
      <c r="K274" s="93">
        <v>0</v>
      </c>
      <c r="L274" s="92">
        <v>0</v>
      </c>
      <c r="M274" s="92"/>
      <c r="N274" s="93">
        <v>73326</v>
      </c>
      <c r="O274" s="93">
        <v>519905.05</v>
      </c>
      <c r="P274" s="93">
        <v>0</v>
      </c>
      <c r="Q274" s="92">
        <v>31380</v>
      </c>
      <c r="R274" s="92"/>
      <c r="S274" s="93">
        <v>62839.875</v>
      </c>
      <c r="T274" s="94">
        <v>-9479</v>
      </c>
      <c r="U274" s="94">
        <v>53360</v>
      </c>
      <c r="X274" s="95">
        <v>1.785E-4</v>
      </c>
      <c r="Y274" s="96">
        <f t="shared" si="17"/>
        <v>0</v>
      </c>
      <c r="Z274" s="88">
        <f t="shared" si="18"/>
        <v>0.875</v>
      </c>
      <c r="AB274" s="75">
        <f t="shared" si="19"/>
        <v>-69870.5</v>
      </c>
      <c r="AC274" s="75">
        <v>0.5</v>
      </c>
    </row>
    <row r="275" spans="1:29">
      <c r="A275" s="89">
        <v>39105</v>
      </c>
      <c r="B275" s="90" t="s">
        <v>260</v>
      </c>
      <c r="C275" s="97">
        <v>1.0374E-3</v>
      </c>
      <c r="D275" s="97">
        <v>1.024E-3</v>
      </c>
      <c r="E275" s="92">
        <v>1311255.8</v>
      </c>
      <c r="F275" s="92">
        <f t="shared" si="16"/>
        <v>1200559.2156159999</v>
      </c>
      <c r="G275" s="92">
        <v>3823024</v>
      </c>
      <c r="H275" s="92"/>
      <c r="I275" s="93">
        <v>0</v>
      </c>
      <c r="J275" s="93">
        <v>2667805</v>
      </c>
      <c r="K275" s="93">
        <v>0</v>
      </c>
      <c r="L275" s="92">
        <v>132944</v>
      </c>
      <c r="M275" s="92"/>
      <c r="N275" s="93">
        <v>434678</v>
      </c>
      <c r="O275" s="93">
        <v>3081997</v>
      </c>
      <c r="P275" s="93">
        <v>0</v>
      </c>
      <c r="Q275" s="92">
        <v>0</v>
      </c>
      <c r="R275" s="92"/>
      <c r="S275" s="93">
        <v>372515</v>
      </c>
      <c r="T275" s="94">
        <v>42933</v>
      </c>
      <c r="U275" s="94">
        <v>415448</v>
      </c>
      <c r="X275" s="95">
        <v>1.024E-3</v>
      </c>
      <c r="Y275" s="96">
        <f t="shared" si="17"/>
        <v>0</v>
      </c>
      <c r="Z275" s="88">
        <f t="shared" si="18"/>
        <v>0</v>
      </c>
      <c r="AB275" s="75">
        <f t="shared" si="19"/>
        <v>-414192</v>
      </c>
      <c r="AC275" s="75">
        <v>-1</v>
      </c>
    </row>
    <row r="276" spans="1:29">
      <c r="A276" s="89">
        <v>39200</v>
      </c>
      <c r="B276" s="90" t="s">
        <v>261</v>
      </c>
      <c r="C276" s="97">
        <v>6.1601799999999998E-2</v>
      </c>
      <c r="D276" s="97">
        <v>5.9755799999999998E-2</v>
      </c>
      <c r="E276" s="92">
        <v>73180297.290000007</v>
      </c>
      <c r="F276" s="92">
        <f t="shared" si="16"/>
        <v>70058961.305182204</v>
      </c>
      <c r="G276" s="92">
        <v>227014830</v>
      </c>
      <c r="H276" s="92"/>
      <c r="I276" s="93">
        <v>0</v>
      </c>
      <c r="J276" s="93">
        <v>158416791</v>
      </c>
      <c r="K276" s="93">
        <v>0</v>
      </c>
      <c r="L276" s="92">
        <v>4777210</v>
      </c>
      <c r="M276" s="92"/>
      <c r="N276" s="93">
        <v>25811585</v>
      </c>
      <c r="O276" s="93">
        <v>183011925</v>
      </c>
      <c r="P276" s="93">
        <v>0</v>
      </c>
      <c r="Q276" s="92">
        <v>0</v>
      </c>
      <c r="R276" s="92"/>
      <c r="S276" s="93">
        <v>22120282</v>
      </c>
      <c r="T276" s="94">
        <v>1368713</v>
      </c>
      <c r="U276" s="94">
        <v>23488995</v>
      </c>
      <c r="X276" s="95">
        <v>5.9755799999999998E-2</v>
      </c>
      <c r="Y276" s="96">
        <f t="shared" si="17"/>
        <v>0</v>
      </c>
      <c r="Z276" s="88">
        <f t="shared" si="18"/>
        <v>0</v>
      </c>
      <c r="AB276" s="75">
        <f t="shared" si="19"/>
        <v>-24595134</v>
      </c>
      <c r="AC276" s="75">
        <v>1</v>
      </c>
    </row>
    <row r="277" spans="1:29">
      <c r="A277" s="89">
        <v>39201</v>
      </c>
      <c r="B277" s="90" t="s">
        <v>262</v>
      </c>
      <c r="C277" s="97">
        <v>1.8990000000000001E-4</v>
      </c>
      <c r="D277" s="97">
        <v>1.6440000000000001E-4</v>
      </c>
      <c r="E277" s="92">
        <v>183511.66</v>
      </c>
      <c r="F277" s="92">
        <f t="shared" si="16"/>
        <v>192746.03031960002</v>
      </c>
      <c r="G277" s="92">
        <v>699819</v>
      </c>
      <c r="H277" s="92"/>
      <c r="I277" s="93">
        <v>0</v>
      </c>
      <c r="J277" s="93">
        <v>488352</v>
      </c>
      <c r="K277" s="93">
        <v>0</v>
      </c>
      <c r="L277" s="92">
        <v>63928</v>
      </c>
      <c r="M277" s="92"/>
      <c r="N277" s="93">
        <v>79569</v>
      </c>
      <c r="O277" s="93">
        <v>564171</v>
      </c>
      <c r="P277" s="93">
        <v>0</v>
      </c>
      <c r="Q277" s="92">
        <v>15294</v>
      </c>
      <c r="R277" s="92"/>
      <c r="S277" s="93">
        <v>68190</v>
      </c>
      <c r="T277" s="94">
        <v>12227</v>
      </c>
      <c r="U277" s="94">
        <v>80417</v>
      </c>
      <c r="X277" s="95">
        <v>1.6440000000000001E-4</v>
      </c>
      <c r="Y277" s="96">
        <f t="shared" si="17"/>
        <v>0</v>
      </c>
      <c r="Z277" s="88">
        <f t="shared" si="18"/>
        <v>0</v>
      </c>
      <c r="AB277" s="75">
        <f t="shared" si="19"/>
        <v>-75819</v>
      </c>
      <c r="AC277" s="75">
        <v>0</v>
      </c>
    </row>
    <row r="278" spans="1:29">
      <c r="A278" s="89">
        <v>39204</v>
      </c>
      <c r="B278" s="90" t="s">
        <v>263</v>
      </c>
      <c r="C278" s="97">
        <v>1.167E-4</v>
      </c>
      <c r="D278" s="97">
        <v>7.3499999999999998E-5</v>
      </c>
      <c r="E278" s="92">
        <v>124810.3</v>
      </c>
      <c r="F278" s="92">
        <f t="shared" si="16"/>
        <v>86172.951511499996</v>
      </c>
      <c r="G278" s="92">
        <v>430063</v>
      </c>
      <c r="H278" s="92"/>
      <c r="I278" s="93">
        <v>0</v>
      </c>
      <c r="J278" s="93">
        <v>300109</v>
      </c>
      <c r="K278" s="93">
        <v>0</v>
      </c>
      <c r="L278" s="92">
        <v>230359</v>
      </c>
      <c r="M278" s="92"/>
      <c r="N278" s="93">
        <v>48898</v>
      </c>
      <c r="O278" s="93">
        <v>346702</v>
      </c>
      <c r="P278" s="93">
        <v>0</v>
      </c>
      <c r="Q278" s="92">
        <v>0</v>
      </c>
      <c r="R278" s="92"/>
      <c r="S278" s="93">
        <v>41905</v>
      </c>
      <c r="T278" s="94">
        <v>69110</v>
      </c>
      <c r="U278" s="94">
        <v>111016</v>
      </c>
      <c r="X278" s="95">
        <v>7.3499999999999998E-5</v>
      </c>
      <c r="Y278" s="96">
        <f t="shared" si="17"/>
        <v>0</v>
      </c>
      <c r="Z278" s="88">
        <f t="shared" si="18"/>
        <v>-1</v>
      </c>
      <c r="AB278" s="75">
        <f t="shared" si="19"/>
        <v>-46593</v>
      </c>
      <c r="AC278" s="75">
        <v>0</v>
      </c>
    </row>
    <row r="279" spans="1:29">
      <c r="A279" s="89">
        <v>39205</v>
      </c>
      <c r="B279" s="90" t="s">
        <v>264</v>
      </c>
      <c r="C279" s="97">
        <v>4.8887000000000002E-3</v>
      </c>
      <c r="D279" s="97">
        <v>4.4313E-3</v>
      </c>
      <c r="E279" s="92">
        <v>6296075.6100000003</v>
      </c>
      <c r="F279" s="92">
        <f t="shared" si="16"/>
        <v>5195349.6603116998</v>
      </c>
      <c r="G279" s="92">
        <v>18015827</v>
      </c>
      <c r="H279" s="92"/>
      <c r="I279" s="93">
        <v>0</v>
      </c>
      <c r="J279" s="93">
        <v>12571908</v>
      </c>
      <c r="K279" s="93">
        <v>0</v>
      </c>
      <c r="L279" s="92">
        <v>3165824</v>
      </c>
      <c r="M279" s="92"/>
      <c r="N279" s="93">
        <v>2048400</v>
      </c>
      <c r="O279" s="93">
        <v>14523770</v>
      </c>
      <c r="P279" s="93">
        <v>0</v>
      </c>
      <c r="Q279" s="92">
        <v>0</v>
      </c>
      <c r="R279" s="92"/>
      <c r="S279" s="93">
        <v>1755459</v>
      </c>
      <c r="T279" s="94">
        <v>969124</v>
      </c>
      <c r="U279" s="94">
        <v>2724583</v>
      </c>
      <c r="X279" s="95">
        <v>4.4313E-3</v>
      </c>
      <c r="Y279" s="96">
        <f t="shared" si="17"/>
        <v>0</v>
      </c>
      <c r="Z279" s="88">
        <f t="shared" si="18"/>
        <v>0</v>
      </c>
      <c r="AB279" s="75">
        <f t="shared" si="19"/>
        <v>-1951862</v>
      </c>
      <c r="AC279" s="75">
        <v>1</v>
      </c>
    </row>
    <row r="280" spans="1:29">
      <c r="A280" s="89">
        <v>39208</v>
      </c>
      <c r="B280" s="90" t="s">
        <v>292</v>
      </c>
      <c r="C280" s="97">
        <v>3.926E-4</v>
      </c>
      <c r="D280" s="97">
        <v>3.859E-4</v>
      </c>
      <c r="E280" s="92">
        <v>397671.23</v>
      </c>
      <c r="F280" s="92">
        <f t="shared" si="16"/>
        <v>452437.30596309999</v>
      </c>
      <c r="G280" s="92">
        <v>1446809</v>
      </c>
      <c r="H280" s="92"/>
      <c r="I280" s="93">
        <v>0</v>
      </c>
      <c r="J280" s="93">
        <v>1009620</v>
      </c>
      <c r="K280" s="93">
        <v>0</v>
      </c>
      <c r="L280" s="92">
        <v>0</v>
      </c>
      <c r="M280" s="92"/>
      <c r="N280" s="93">
        <v>164502</v>
      </c>
      <c r="O280" s="93">
        <v>1166370</v>
      </c>
      <c r="P280" s="93">
        <v>0</v>
      </c>
      <c r="Q280" s="92">
        <v>170540</v>
      </c>
      <c r="R280" s="92"/>
      <c r="S280" s="93">
        <v>140977</v>
      </c>
      <c r="T280" s="94">
        <v>-57188</v>
      </c>
      <c r="U280" s="94">
        <v>83789</v>
      </c>
      <c r="X280" s="95">
        <v>3.859E-4</v>
      </c>
      <c r="Y280" s="96">
        <f t="shared" si="17"/>
        <v>0</v>
      </c>
      <c r="Z280" s="88">
        <f t="shared" si="18"/>
        <v>0</v>
      </c>
      <c r="AB280" s="75">
        <f t="shared" si="19"/>
        <v>-156750</v>
      </c>
      <c r="AC280" s="75">
        <v>-1</v>
      </c>
    </row>
    <row r="281" spans="1:29">
      <c r="A281" s="89">
        <v>39209</v>
      </c>
      <c r="B281" s="90" t="s">
        <v>265</v>
      </c>
      <c r="C281" s="97">
        <v>1.7799999999999999E-4</v>
      </c>
      <c r="D281" s="97">
        <v>1.6000000000000001E-4</v>
      </c>
      <c r="E281" s="92">
        <v>184627.69</v>
      </c>
      <c r="F281" s="92">
        <f t="shared" si="16"/>
        <v>187587.37744000001</v>
      </c>
      <c r="G281" s="92">
        <v>655965</v>
      </c>
      <c r="H281" s="92"/>
      <c r="I281" s="93">
        <v>0</v>
      </c>
      <c r="J281" s="93">
        <v>457749</v>
      </c>
      <c r="K281" s="93">
        <v>0</v>
      </c>
      <c r="L281" s="92">
        <v>44812</v>
      </c>
      <c r="M281" s="92"/>
      <c r="N281" s="93">
        <v>74583</v>
      </c>
      <c r="O281" s="93">
        <v>528818</v>
      </c>
      <c r="P281" s="93">
        <v>0</v>
      </c>
      <c r="Q281" s="92">
        <v>50263</v>
      </c>
      <c r="R281" s="92"/>
      <c r="S281" s="93">
        <v>63917.13</v>
      </c>
      <c r="T281" s="94">
        <v>-5602</v>
      </c>
      <c r="U281" s="94">
        <v>58315</v>
      </c>
      <c r="X281" s="95">
        <v>1.6000000000000001E-4</v>
      </c>
      <c r="Y281" s="96">
        <f t="shared" si="17"/>
        <v>0</v>
      </c>
      <c r="Z281" s="88">
        <f t="shared" si="18"/>
        <v>0.12999999999738066</v>
      </c>
      <c r="AB281" s="75">
        <f t="shared" si="19"/>
        <v>-71069</v>
      </c>
      <c r="AC281" s="75">
        <v>-1.0899999999965075</v>
      </c>
    </row>
    <row r="282" spans="1:29">
      <c r="A282" s="89">
        <v>39300</v>
      </c>
      <c r="B282" s="90" t="s">
        <v>266</v>
      </c>
      <c r="C282" s="97">
        <v>9.5180000000000004E-4</v>
      </c>
      <c r="D282" s="97">
        <v>9.4499999999999998E-4</v>
      </c>
      <c r="E282" s="92">
        <v>1264556.25</v>
      </c>
      <c r="F282" s="92">
        <f t="shared" si="16"/>
        <v>1107937.9480049999</v>
      </c>
      <c r="G282" s="92">
        <v>3507571</v>
      </c>
      <c r="H282" s="92"/>
      <c r="I282" s="93">
        <v>0</v>
      </c>
      <c r="J282" s="93">
        <v>2447674</v>
      </c>
      <c r="K282" s="93">
        <v>0</v>
      </c>
      <c r="L282" s="92">
        <v>78048</v>
      </c>
      <c r="M282" s="92"/>
      <c r="N282" s="93">
        <v>398811</v>
      </c>
      <c r="O282" s="93">
        <v>2827689</v>
      </c>
      <c r="P282" s="93">
        <v>0</v>
      </c>
      <c r="Q282" s="92">
        <v>48476</v>
      </c>
      <c r="R282" s="92"/>
      <c r="S282" s="93">
        <v>341777</v>
      </c>
      <c r="T282" s="94">
        <v>4245</v>
      </c>
      <c r="U282" s="94">
        <v>346022</v>
      </c>
      <c r="X282" s="95">
        <v>9.4499999999999998E-4</v>
      </c>
      <c r="Y282" s="96">
        <f t="shared" si="17"/>
        <v>0</v>
      </c>
      <c r="Z282" s="88">
        <f t="shared" si="18"/>
        <v>0</v>
      </c>
      <c r="AB282" s="75">
        <f t="shared" si="19"/>
        <v>-380015</v>
      </c>
      <c r="AC282" s="75">
        <v>1</v>
      </c>
    </row>
    <row r="283" spans="1:29">
      <c r="A283" s="89">
        <v>39301</v>
      </c>
      <c r="B283" s="90" t="s">
        <v>267</v>
      </c>
      <c r="C283" s="97">
        <v>6.4499999999999996E-5</v>
      </c>
      <c r="D283" s="97">
        <v>7.1600000000000006E-5</v>
      </c>
      <c r="E283" s="92">
        <v>73913.899999999994</v>
      </c>
      <c r="F283" s="92">
        <f t="shared" si="16"/>
        <v>83945.351404400004</v>
      </c>
      <c r="G283" s="92">
        <v>237695</v>
      </c>
      <c r="H283" s="92"/>
      <c r="I283" s="93">
        <v>0</v>
      </c>
      <c r="J283" s="93">
        <v>165870</v>
      </c>
      <c r="K283" s="93">
        <v>0</v>
      </c>
      <c r="L283" s="92">
        <v>51716</v>
      </c>
      <c r="M283" s="92"/>
      <c r="N283" s="93">
        <v>27026</v>
      </c>
      <c r="O283" s="93">
        <v>191622</v>
      </c>
      <c r="P283" s="93">
        <v>0</v>
      </c>
      <c r="Q283" s="92">
        <v>35949</v>
      </c>
      <c r="R283" s="92"/>
      <c r="S283" s="93">
        <v>23161</v>
      </c>
      <c r="T283" s="94">
        <v>8578</v>
      </c>
      <c r="U283" s="94">
        <v>31739</v>
      </c>
      <c r="X283" s="95">
        <v>7.1600000000000006E-5</v>
      </c>
      <c r="Y283" s="96">
        <f t="shared" si="17"/>
        <v>0</v>
      </c>
      <c r="Z283" s="88">
        <f t="shared" si="18"/>
        <v>0</v>
      </c>
      <c r="AB283" s="75">
        <f t="shared" si="19"/>
        <v>-25752</v>
      </c>
      <c r="AC283" s="75">
        <v>1</v>
      </c>
    </row>
    <row r="284" spans="1:29">
      <c r="A284" s="89">
        <v>39400</v>
      </c>
      <c r="B284" s="90" t="s">
        <v>268</v>
      </c>
      <c r="C284" s="97">
        <v>6.8510000000000001E-4</v>
      </c>
      <c r="D284" s="97">
        <v>7.1540000000000004E-4</v>
      </c>
      <c r="E284" s="92">
        <v>932073.51</v>
      </c>
      <c r="F284" s="92">
        <f t="shared" si="16"/>
        <v>838750.06137860008</v>
      </c>
      <c r="G284" s="92">
        <v>2524729</v>
      </c>
      <c r="H284" s="92"/>
      <c r="I284" s="93">
        <v>0</v>
      </c>
      <c r="J284" s="93">
        <v>1761821</v>
      </c>
      <c r="K284" s="93">
        <v>0</v>
      </c>
      <c r="L284" s="92">
        <v>237195</v>
      </c>
      <c r="M284" s="92"/>
      <c r="N284" s="93">
        <v>287062</v>
      </c>
      <c r="O284" s="93">
        <v>2035354</v>
      </c>
      <c r="P284" s="93">
        <v>0</v>
      </c>
      <c r="Q284" s="92">
        <v>75723</v>
      </c>
      <c r="R284" s="92"/>
      <c r="S284" s="93">
        <v>246009</v>
      </c>
      <c r="T284" s="94">
        <v>64040</v>
      </c>
      <c r="U284" s="94">
        <v>310049</v>
      </c>
      <c r="X284" s="95">
        <v>7.1540000000000004E-4</v>
      </c>
      <c r="Y284" s="96">
        <f t="shared" si="17"/>
        <v>0</v>
      </c>
      <c r="Z284" s="88">
        <f t="shared" si="18"/>
        <v>0</v>
      </c>
      <c r="AB284" s="75">
        <f t="shared" si="19"/>
        <v>-273533</v>
      </c>
      <c r="AC284" s="75">
        <v>0</v>
      </c>
    </row>
    <row r="285" spans="1:29">
      <c r="A285" s="89">
        <v>39401</v>
      </c>
      <c r="B285" s="90" t="s">
        <v>269</v>
      </c>
      <c r="C285" s="97">
        <v>1.6760000000000001E-4</v>
      </c>
      <c r="D285" s="97">
        <v>1.111E-4</v>
      </c>
      <c r="E285" s="92">
        <v>163043.01</v>
      </c>
      <c r="F285" s="92">
        <f t="shared" si="16"/>
        <v>130255.9852099</v>
      </c>
      <c r="G285" s="92">
        <v>617639</v>
      </c>
      <c r="H285" s="92"/>
      <c r="I285" s="93">
        <v>0</v>
      </c>
      <c r="J285" s="93">
        <v>431005</v>
      </c>
      <c r="K285" s="93">
        <v>0</v>
      </c>
      <c r="L285" s="92">
        <v>293291</v>
      </c>
      <c r="M285" s="92"/>
      <c r="N285" s="93">
        <v>70226</v>
      </c>
      <c r="O285" s="93">
        <v>497920</v>
      </c>
      <c r="P285" s="93">
        <v>0</v>
      </c>
      <c r="Q285" s="92">
        <v>0</v>
      </c>
      <c r="R285" s="92"/>
      <c r="S285" s="93">
        <v>60183</v>
      </c>
      <c r="T285" s="94">
        <v>88742</v>
      </c>
      <c r="U285" s="94">
        <v>148924</v>
      </c>
      <c r="X285" s="95">
        <v>1.111E-4</v>
      </c>
      <c r="Y285" s="96">
        <f t="shared" si="17"/>
        <v>0</v>
      </c>
      <c r="Z285" s="88">
        <f t="shared" si="18"/>
        <v>1</v>
      </c>
      <c r="AB285" s="75">
        <f t="shared" si="19"/>
        <v>-66915</v>
      </c>
      <c r="AC285" s="75">
        <v>0</v>
      </c>
    </row>
    <row r="286" spans="1:29">
      <c r="A286" s="89">
        <v>39500</v>
      </c>
      <c r="B286" s="90" t="s">
        <v>270</v>
      </c>
      <c r="C286" s="97">
        <v>1.9558000000000002E-3</v>
      </c>
      <c r="D286" s="97">
        <v>1.9694999999999999E-3</v>
      </c>
      <c r="E286" s="92">
        <v>2452927.7200000002</v>
      </c>
      <c r="F286" s="92">
        <f t="shared" si="16"/>
        <v>2309083.3741754997</v>
      </c>
      <c r="G286" s="92">
        <v>7207510</v>
      </c>
      <c r="H286" s="92"/>
      <c r="I286" s="93">
        <v>0</v>
      </c>
      <c r="J286" s="93">
        <v>5029586</v>
      </c>
      <c r="K286" s="93">
        <v>0</v>
      </c>
      <c r="L286" s="92">
        <v>61039</v>
      </c>
      <c r="M286" s="92"/>
      <c r="N286" s="93">
        <v>819494</v>
      </c>
      <c r="O286" s="93">
        <v>5810459</v>
      </c>
      <c r="P286" s="93">
        <v>0</v>
      </c>
      <c r="Q286" s="92">
        <v>70759</v>
      </c>
      <c r="R286" s="92"/>
      <c r="S286" s="93">
        <v>702298</v>
      </c>
      <c r="T286" s="94">
        <v>2277</v>
      </c>
      <c r="U286" s="94">
        <v>704575</v>
      </c>
      <c r="X286" s="95">
        <v>1.9694999999999999E-3</v>
      </c>
      <c r="Y286" s="96">
        <f t="shared" si="17"/>
        <v>0</v>
      </c>
      <c r="Z286" s="88">
        <f t="shared" si="18"/>
        <v>0</v>
      </c>
      <c r="AB286" s="75">
        <f t="shared" si="19"/>
        <v>-780873</v>
      </c>
      <c r="AC286" s="75">
        <v>-2</v>
      </c>
    </row>
    <row r="287" spans="1:29">
      <c r="A287" s="89">
        <v>39501</v>
      </c>
      <c r="B287" s="90" t="s">
        <v>271</v>
      </c>
      <c r="C287" s="97">
        <v>6.7199999999999994E-5</v>
      </c>
      <c r="D287" s="97">
        <v>7.0699999999999997E-5</v>
      </c>
      <c r="E287" s="92">
        <v>75281.899999999994</v>
      </c>
      <c r="F287" s="92">
        <f t="shared" si="16"/>
        <v>82890.1724063</v>
      </c>
      <c r="G287" s="92">
        <v>247645</v>
      </c>
      <c r="H287" s="92"/>
      <c r="I287" s="93">
        <v>0</v>
      </c>
      <c r="J287" s="93">
        <v>172813</v>
      </c>
      <c r="K287" s="93">
        <v>0</v>
      </c>
      <c r="L287" s="92">
        <v>9458</v>
      </c>
      <c r="M287" s="92"/>
      <c r="N287" s="93">
        <v>28157</v>
      </c>
      <c r="O287" s="93">
        <v>199644</v>
      </c>
      <c r="P287" s="93">
        <v>0</v>
      </c>
      <c r="Q287" s="92">
        <v>22304</v>
      </c>
      <c r="R287" s="92"/>
      <c r="S287" s="93">
        <v>24131</v>
      </c>
      <c r="T287" s="94">
        <v>-2788</v>
      </c>
      <c r="U287" s="94">
        <v>21342</v>
      </c>
      <c r="X287" s="95">
        <v>7.0699999999999997E-5</v>
      </c>
      <c r="Y287" s="96">
        <f t="shared" si="17"/>
        <v>0</v>
      </c>
      <c r="Z287" s="88">
        <f t="shared" si="18"/>
        <v>1</v>
      </c>
      <c r="AB287" s="75">
        <f t="shared" si="19"/>
        <v>-26831</v>
      </c>
      <c r="AC287" s="75">
        <v>0</v>
      </c>
    </row>
    <row r="288" spans="1:29">
      <c r="A288" s="89">
        <v>39600</v>
      </c>
      <c r="B288" s="90" t="s">
        <v>272</v>
      </c>
      <c r="C288" s="97">
        <v>6.4853000000000003E-3</v>
      </c>
      <c r="D288" s="97">
        <v>6.476E-3</v>
      </c>
      <c r="E288" s="92">
        <v>8287714.04</v>
      </c>
      <c r="F288" s="92">
        <f t="shared" si="16"/>
        <v>7592599.101884</v>
      </c>
      <c r="G288" s="92">
        <v>23899615</v>
      </c>
      <c r="H288" s="92"/>
      <c r="I288" s="93">
        <v>0</v>
      </c>
      <c r="J288" s="93">
        <v>16677766</v>
      </c>
      <c r="K288" s="93">
        <v>0</v>
      </c>
      <c r="L288" s="92">
        <v>117662</v>
      </c>
      <c r="M288" s="92"/>
      <c r="N288" s="93">
        <v>2717386</v>
      </c>
      <c r="O288" s="93">
        <v>19267087</v>
      </c>
      <c r="P288" s="93">
        <v>0</v>
      </c>
      <c r="Q288" s="92">
        <v>971701</v>
      </c>
      <c r="R288" s="92"/>
      <c r="S288" s="93">
        <v>2328774</v>
      </c>
      <c r="T288" s="94">
        <v>-315687</v>
      </c>
      <c r="U288" s="94">
        <v>2013087</v>
      </c>
      <c r="X288" s="95">
        <v>6.476E-3</v>
      </c>
      <c r="Y288" s="96">
        <f t="shared" si="17"/>
        <v>0</v>
      </c>
      <c r="Z288" s="88">
        <f t="shared" si="18"/>
        <v>0</v>
      </c>
      <c r="AB288" s="75">
        <f t="shared" si="19"/>
        <v>-2589321</v>
      </c>
      <c r="AC288" s="75">
        <v>0</v>
      </c>
    </row>
    <row r="289" spans="1:31">
      <c r="A289" s="89">
        <v>39605</v>
      </c>
      <c r="B289" s="90" t="s">
        <v>273</v>
      </c>
      <c r="C289" s="97">
        <v>9.5520000000000002E-4</v>
      </c>
      <c r="D289" s="97">
        <v>9.3320000000000002E-4</v>
      </c>
      <c r="E289" s="92">
        <v>1254446.01</v>
      </c>
      <c r="F289" s="92">
        <f t="shared" si="16"/>
        <v>1094103.3789188</v>
      </c>
      <c r="G289" s="92">
        <v>3520101</v>
      </c>
      <c r="H289" s="92"/>
      <c r="I289" s="93">
        <v>0</v>
      </c>
      <c r="J289" s="93">
        <v>2456417</v>
      </c>
      <c r="K289" s="93">
        <v>0</v>
      </c>
      <c r="L289" s="92">
        <v>246500</v>
      </c>
      <c r="M289" s="92"/>
      <c r="N289" s="93">
        <v>400235</v>
      </c>
      <c r="O289" s="93">
        <v>2837790</v>
      </c>
      <c r="P289" s="93">
        <v>0</v>
      </c>
      <c r="Q289" s="92">
        <v>0</v>
      </c>
      <c r="R289" s="92"/>
      <c r="S289" s="93">
        <v>342998</v>
      </c>
      <c r="T289" s="94">
        <v>77676</v>
      </c>
      <c r="U289" s="94">
        <v>420674</v>
      </c>
      <c r="X289" s="95">
        <v>9.3320000000000002E-4</v>
      </c>
      <c r="Y289" s="96">
        <f t="shared" si="17"/>
        <v>0</v>
      </c>
      <c r="Z289" s="88">
        <f t="shared" si="18"/>
        <v>0</v>
      </c>
      <c r="AB289" s="75">
        <f t="shared" si="19"/>
        <v>-381373</v>
      </c>
      <c r="AC289" s="75">
        <v>0</v>
      </c>
    </row>
    <row r="290" spans="1:31">
      <c r="A290" s="89">
        <v>39700</v>
      </c>
      <c r="B290" s="90" t="s">
        <v>274</v>
      </c>
      <c r="C290" s="97">
        <v>3.9490999999999997E-3</v>
      </c>
      <c r="D290" s="97">
        <v>3.8141E-3</v>
      </c>
      <c r="E290" s="92">
        <v>4730180.04</v>
      </c>
      <c r="F290" s="92">
        <f t="shared" si="16"/>
        <v>4471731.3518369002</v>
      </c>
      <c r="G290" s="92">
        <v>14553215</v>
      </c>
      <c r="H290" s="92"/>
      <c r="I290" s="93">
        <v>0</v>
      </c>
      <c r="J290" s="93">
        <v>10155608</v>
      </c>
      <c r="K290" s="93">
        <v>0</v>
      </c>
      <c r="L290" s="92">
        <v>371446</v>
      </c>
      <c r="M290" s="92"/>
      <c r="N290" s="93">
        <v>1654701</v>
      </c>
      <c r="O290" s="93">
        <v>11732326</v>
      </c>
      <c r="P290" s="93">
        <v>0</v>
      </c>
      <c r="Q290" s="92">
        <v>269235</v>
      </c>
      <c r="R290" s="92"/>
      <c r="S290" s="93">
        <v>1418063</v>
      </c>
      <c r="T290" s="94">
        <v>6393</v>
      </c>
      <c r="U290" s="94">
        <v>1424456</v>
      </c>
      <c r="X290" s="95">
        <v>3.8141E-3</v>
      </c>
      <c r="Y290" s="96">
        <f t="shared" si="17"/>
        <v>0</v>
      </c>
      <c r="Z290" s="88">
        <f t="shared" si="18"/>
        <v>0</v>
      </c>
      <c r="AB290" s="75">
        <f t="shared" si="19"/>
        <v>-1576718</v>
      </c>
      <c r="AC290" s="75">
        <v>0</v>
      </c>
    </row>
    <row r="291" spans="1:31">
      <c r="A291" s="89">
        <v>39703</v>
      </c>
      <c r="B291" s="90" t="s">
        <v>275</v>
      </c>
      <c r="C291" s="97">
        <v>8.6700000000000007E-5</v>
      </c>
      <c r="D291" s="97">
        <v>6.4399999999999993E-5</v>
      </c>
      <c r="E291" s="92">
        <v>92553.5</v>
      </c>
      <c r="F291" s="92">
        <f t="shared" si="16"/>
        <v>75503.919419599988</v>
      </c>
      <c r="G291" s="92">
        <v>319507</v>
      </c>
      <c r="H291" s="92"/>
      <c r="I291" s="93">
        <v>0</v>
      </c>
      <c r="J291" s="93">
        <v>222960</v>
      </c>
      <c r="K291" s="93">
        <v>0</v>
      </c>
      <c r="L291" s="92">
        <v>304039</v>
      </c>
      <c r="M291" s="92"/>
      <c r="N291" s="93">
        <v>36328</v>
      </c>
      <c r="O291" s="93">
        <v>257576</v>
      </c>
      <c r="P291" s="93">
        <v>0</v>
      </c>
      <c r="Q291" s="92">
        <v>0</v>
      </c>
      <c r="R291" s="92"/>
      <c r="S291" s="93">
        <v>31133</v>
      </c>
      <c r="T291" s="94">
        <v>102365</v>
      </c>
      <c r="U291" s="94">
        <v>133498</v>
      </c>
      <c r="X291" s="95">
        <v>6.4399999999999993E-5</v>
      </c>
      <c r="Y291" s="96">
        <f t="shared" si="17"/>
        <v>0</v>
      </c>
      <c r="Z291" s="88">
        <f t="shared" si="18"/>
        <v>0</v>
      </c>
      <c r="AB291" s="75">
        <f t="shared" si="19"/>
        <v>-34616</v>
      </c>
      <c r="AC291" s="75">
        <v>0</v>
      </c>
    </row>
    <row r="292" spans="1:31">
      <c r="A292" s="89">
        <v>39705</v>
      </c>
      <c r="B292" s="90" t="s">
        <v>276</v>
      </c>
      <c r="C292" s="97">
        <v>9.142E-4</v>
      </c>
      <c r="D292" s="97">
        <v>8.8699999999999998E-4</v>
      </c>
      <c r="E292" s="92">
        <v>1197977.07</v>
      </c>
      <c r="F292" s="92">
        <f t="shared" si="16"/>
        <v>1039937.523683</v>
      </c>
      <c r="G292" s="92">
        <v>3369008</v>
      </c>
      <c r="H292" s="92"/>
      <c r="I292" s="93">
        <v>0</v>
      </c>
      <c r="J292" s="93">
        <v>2350980</v>
      </c>
      <c r="K292" s="93">
        <v>0</v>
      </c>
      <c r="L292" s="92">
        <v>307594</v>
      </c>
      <c r="M292" s="92"/>
      <c r="N292" s="93">
        <v>383056</v>
      </c>
      <c r="O292" s="93">
        <v>2715984</v>
      </c>
      <c r="P292" s="93">
        <v>0</v>
      </c>
      <c r="Q292" s="92">
        <v>0</v>
      </c>
      <c r="R292" s="92"/>
      <c r="S292" s="93">
        <v>328276</v>
      </c>
      <c r="T292" s="94">
        <v>98081</v>
      </c>
      <c r="U292" s="94">
        <v>426356</v>
      </c>
      <c r="X292" s="95">
        <v>8.8699999999999998E-4</v>
      </c>
      <c r="Y292" s="96">
        <f t="shared" si="17"/>
        <v>0</v>
      </c>
      <c r="Z292" s="88">
        <f t="shared" si="18"/>
        <v>1</v>
      </c>
      <c r="AB292" s="75">
        <f t="shared" si="19"/>
        <v>-365004</v>
      </c>
      <c r="AC292" s="75">
        <v>-1</v>
      </c>
    </row>
    <row r="293" spans="1:31">
      <c r="A293" s="89">
        <v>39800</v>
      </c>
      <c r="B293" s="90" t="s">
        <v>277</v>
      </c>
      <c r="C293" s="97">
        <v>4.3731000000000004E-3</v>
      </c>
      <c r="D293" s="97">
        <v>4.3539E-3</v>
      </c>
      <c r="E293" s="92">
        <v>5404374.3300000001</v>
      </c>
      <c r="F293" s="92">
        <f t="shared" si="16"/>
        <v>5104604.2664751001</v>
      </c>
      <c r="G293" s="92">
        <v>16115739</v>
      </c>
      <c r="H293" s="92"/>
      <c r="I293" s="93">
        <v>0</v>
      </c>
      <c r="J293" s="93">
        <v>11245978</v>
      </c>
      <c r="K293" s="93">
        <v>0</v>
      </c>
      <c r="L293" s="92">
        <v>0</v>
      </c>
      <c r="M293" s="92"/>
      <c r="N293" s="93">
        <v>1832360</v>
      </c>
      <c r="O293" s="93">
        <v>12991982</v>
      </c>
      <c r="P293" s="93">
        <v>0</v>
      </c>
      <c r="Q293" s="92">
        <v>751893</v>
      </c>
      <c r="R293" s="92"/>
      <c r="S293" s="93">
        <v>1570315</v>
      </c>
      <c r="T293" s="94">
        <v>-268674</v>
      </c>
      <c r="U293" s="94">
        <v>1301640</v>
      </c>
      <c r="X293" s="95">
        <v>4.3539E-3</v>
      </c>
      <c r="Y293" s="96">
        <f t="shared" si="17"/>
        <v>0</v>
      </c>
      <c r="Z293" s="88">
        <f t="shared" si="18"/>
        <v>1</v>
      </c>
      <c r="AB293" s="75">
        <f t="shared" si="19"/>
        <v>-1746004</v>
      </c>
      <c r="AC293" s="75">
        <v>0</v>
      </c>
    </row>
    <row r="294" spans="1:31">
      <c r="A294" s="89">
        <v>39805</v>
      </c>
      <c r="B294" s="90" t="s">
        <v>278</v>
      </c>
      <c r="C294" s="97">
        <v>4.8930000000000002E-4</v>
      </c>
      <c r="D294" s="97">
        <v>4.9120000000000001E-4</v>
      </c>
      <c r="E294" s="92">
        <v>668351.77</v>
      </c>
      <c r="F294" s="92">
        <f t="shared" si="16"/>
        <v>575893.24874079996</v>
      </c>
      <c r="G294" s="92">
        <v>1803167</v>
      </c>
      <c r="H294" s="92"/>
      <c r="I294" s="93">
        <v>0</v>
      </c>
      <c r="J294" s="93">
        <v>1258297</v>
      </c>
      <c r="K294" s="93">
        <v>0</v>
      </c>
      <c r="L294" s="92">
        <v>31584</v>
      </c>
      <c r="M294" s="92"/>
      <c r="N294" s="93">
        <v>205020</v>
      </c>
      <c r="O294" s="93">
        <v>1453655</v>
      </c>
      <c r="P294" s="93">
        <v>0</v>
      </c>
      <c r="Q294" s="92">
        <v>55524</v>
      </c>
      <c r="R294" s="92"/>
      <c r="S294" s="93">
        <v>175700</v>
      </c>
      <c r="T294" s="94">
        <v>-11152</v>
      </c>
      <c r="U294" s="94">
        <v>164548</v>
      </c>
      <c r="X294" s="95">
        <v>4.9120000000000001E-4</v>
      </c>
      <c r="Y294" s="96">
        <f t="shared" si="17"/>
        <v>0</v>
      </c>
      <c r="Z294" s="88">
        <f t="shared" si="18"/>
        <v>0</v>
      </c>
      <c r="AB294" s="75">
        <f t="shared" si="19"/>
        <v>-195358</v>
      </c>
      <c r="AC294" s="75">
        <v>-1</v>
      </c>
    </row>
    <row r="295" spans="1:31">
      <c r="A295" s="89">
        <v>39900</v>
      </c>
      <c r="B295" s="90" t="s">
        <v>279</v>
      </c>
      <c r="C295" s="97">
        <v>2.1565E-3</v>
      </c>
      <c r="D295" s="97">
        <v>2.1189E-3</v>
      </c>
      <c r="E295" s="92">
        <v>2699442.55</v>
      </c>
      <c r="F295" s="92">
        <f t="shared" si="16"/>
        <v>2484243.0878601</v>
      </c>
      <c r="G295" s="92">
        <v>7947129</v>
      </c>
      <c r="H295" s="92"/>
      <c r="I295" s="93">
        <v>0</v>
      </c>
      <c r="J295" s="93">
        <v>5545711</v>
      </c>
      <c r="K295" s="93">
        <v>0</v>
      </c>
      <c r="L295" s="92">
        <v>141066</v>
      </c>
      <c r="M295" s="92"/>
      <c r="N295" s="93">
        <v>903589</v>
      </c>
      <c r="O295" s="93">
        <v>6406716</v>
      </c>
      <c r="P295" s="93">
        <v>0</v>
      </c>
      <c r="Q295" s="92">
        <v>346939</v>
      </c>
      <c r="R295" s="92"/>
      <c r="S295" s="93">
        <v>774367</v>
      </c>
      <c r="T295" s="94">
        <v>-85274</v>
      </c>
      <c r="U295" s="94">
        <v>689093</v>
      </c>
      <c r="X295" s="95">
        <v>2.1189E-3</v>
      </c>
      <c r="Y295" s="96">
        <f t="shared" si="17"/>
        <v>0</v>
      </c>
      <c r="Z295" s="88">
        <f t="shared" si="18"/>
        <v>0</v>
      </c>
      <c r="AB295" s="75">
        <f t="shared" si="19"/>
        <v>-861005</v>
      </c>
      <c r="AC295" s="75">
        <v>-2</v>
      </c>
    </row>
    <row r="296" spans="1:31">
      <c r="A296" s="89">
        <v>51000</v>
      </c>
      <c r="B296" s="90" t="s">
        <v>280</v>
      </c>
      <c r="C296" s="97">
        <v>3.5939600000000002E-2</v>
      </c>
      <c r="D296" s="97">
        <v>3.7027900000000002E-2</v>
      </c>
      <c r="E296" s="92">
        <v>49463056.939999998</v>
      </c>
      <c r="F296" s="92">
        <f>D296*$F$298</f>
        <v>43412291.581941105</v>
      </c>
      <c r="G296" s="92">
        <v>132444542</v>
      </c>
      <c r="H296" s="92"/>
      <c r="I296" s="93">
        <v>0</v>
      </c>
      <c r="J296" s="93">
        <v>92423210</v>
      </c>
      <c r="K296" s="93">
        <v>0</v>
      </c>
      <c r="L296" s="92">
        <v>3686935</v>
      </c>
      <c r="M296" s="92"/>
      <c r="N296" s="93">
        <v>15058944</v>
      </c>
      <c r="O296" s="93">
        <v>106772454</v>
      </c>
      <c r="P296" s="93">
        <v>0</v>
      </c>
      <c r="Q296" s="92">
        <v>1405858</v>
      </c>
      <c r="R296" s="92"/>
      <c r="S296" s="93">
        <v>12905371</v>
      </c>
      <c r="T296" s="94">
        <v>932048</v>
      </c>
      <c r="U296" s="94">
        <v>13837419</v>
      </c>
      <c r="X296" s="95">
        <v>3.7027900000000002E-2</v>
      </c>
      <c r="Y296" s="96">
        <f t="shared" si="17"/>
        <v>0</v>
      </c>
      <c r="Z296" s="88">
        <f t="shared" si="18"/>
        <v>0</v>
      </c>
      <c r="AB296" s="75">
        <f t="shared" si="19"/>
        <v>-14349244</v>
      </c>
      <c r="AC296" s="75">
        <v>1</v>
      </c>
    </row>
    <row r="297" spans="1:31">
      <c r="X297" s="5"/>
      <c r="Y297" s="5"/>
      <c r="AC297" s="75"/>
    </row>
    <row r="298" spans="1:31" s="85" customFormat="1">
      <c r="B298" s="85" t="s">
        <v>293</v>
      </c>
      <c r="E298" s="99">
        <f>SUM(E3:E297)</f>
        <v>1262508389.2500007</v>
      </c>
      <c r="F298" s="108">
        <v>1172421109</v>
      </c>
      <c r="G298" s="99">
        <f>SUM(G3:G296)</f>
        <v>3685197998.6500001</v>
      </c>
      <c r="H298" s="100"/>
      <c r="I298" s="99">
        <f>SUM(I3:I296)</f>
        <v>0</v>
      </c>
      <c r="J298" s="99">
        <f>SUM(J3:J296)</f>
        <v>2571626006.5500002</v>
      </c>
      <c r="K298" s="99">
        <f>SUM(K3:K296)</f>
        <v>0</v>
      </c>
      <c r="L298" s="99">
        <f>SUM(L3:L296)</f>
        <v>90295984</v>
      </c>
      <c r="M298" s="100"/>
      <c r="N298" s="99">
        <f>SUM(N3:N296)</f>
        <v>419007001</v>
      </c>
      <c r="O298" s="99">
        <f>SUM(O3:O296)</f>
        <v>2970886000.0500002</v>
      </c>
      <c r="P298" s="99">
        <f>SUM(P3:P296)</f>
        <v>0</v>
      </c>
      <c r="Q298" s="99">
        <f>SUM(Q3:Q296)</f>
        <v>90295817</v>
      </c>
      <c r="R298" s="100"/>
      <c r="S298" s="99">
        <f>SUM(S3:S296)</f>
        <v>359085000.17499995</v>
      </c>
      <c r="T298" s="99">
        <f>SUM(T3:T296)</f>
        <v>69</v>
      </c>
      <c r="U298" s="99">
        <f>SUM(U3:U296)</f>
        <v>359085071</v>
      </c>
      <c r="X298" s="88"/>
      <c r="Y298" s="88"/>
      <c r="AA298" s="88"/>
      <c r="AB298" s="88"/>
      <c r="AC298" s="75"/>
      <c r="AD298" s="99"/>
      <c r="AE298" s="99"/>
    </row>
    <row r="299" spans="1:31">
      <c r="G299" s="101" t="s">
        <v>365</v>
      </c>
      <c r="H299" s="101"/>
      <c r="I299" s="101" t="s">
        <v>366</v>
      </c>
      <c r="J299" s="101" t="s">
        <v>367</v>
      </c>
      <c r="K299" s="101" t="s">
        <v>366</v>
      </c>
      <c r="L299" s="102" t="s">
        <v>368</v>
      </c>
      <c r="M299" s="101"/>
      <c r="N299" s="101" t="s">
        <v>369</v>
      </c>
      <c r="O299" s="101" t="s">
        <v>367</v>
      </c>
      <c r="P299" s="101" t="s">
        <v>366</v>
      </c>
      <c r="Q299" s="101" t="s">
        <v>368</v>
      </c>
      <c r="R299" s="101"/>
      <c r="S299" s="101" t="s">
        <v>370</v>
      </c>
      <c r="T299" s="101" t="s">
        <v>366</v>
      </c>
      <c r="U299" s="101" t="s">
        <v>371</v>
      </c>
      <c r="X299" s="5"/>
      <c r="Y299" s="5"/>
      <c r="AC299" s="75"/>
      <c r="AD299" s="88"/>
      <c r="AE299" s="88"/>
    </row>
    <row r="300" spans="1:31">
      <c r="L300" s="88"/>
      <c r="Q300" s="103"/>
      <c r="X300" s="5">
        <v>-103</v>
      </c>
      <c r="Y300" s="7"/>
      <c r="AC300" s="75"/>
      <c r="AD300" s="88"/>
    </row>
    <row r="301" spans="1:31">
      <c r="Q301" s="103"/>
      <c r="X301" s="88"/>
      <c r="Y301" s="88"/>
      <c r="AC301" s="75"/>
      <c r="AD301" s="88"/>
      <c r="AE301" s="88"/>
    </row>
    <row r="302" spans="1:31">
      <c r="A302" s="89"/>
      <c r="B302" s="90" t="s">
        <v>131</v>
      </c>
      <c r="C302" s="98">
        <v>33501</v>
      </c>
      <c r="K302" s="104" t="s">
        <v>372</v>
      </c>
      <c r="L302" s="105">
        <v>57864283</v>
      </c>
      <c r="P302" s="104" t="s">
        <v>372</v>
      </c>
      <c r="Q302" s="105">
        <v>57863892</v>
      </c>
      <c r="X302" s="88"/>
      <c r="Y302" s="88"/>
      <c r="AC302" s="75"/>
      <c r="AE302" s="88"/>
    </row>
    <row r="303" spans="1:31">
      <c r="A303" s="89"/>
      <c r="B303" s="90" t="s">
        <v>191</v>
      </c>
      <c r="C303" s="89">
        <v>36301</v>
      </c>
      <c r="K303" s="104" t="s">
        <v>373</v>
      </c>
      <c r="L303" s="105">
        <f>+L302/3.79*4.79</f>
        <v>73131903.844327167</v>
      </c>
      <c r="P303" s="104" t="s">
        <v>373</v>
      </c>
      <c r="Q303" s="105">
        <f>+Q302/3.79*4.79</f>
        <v>73131409.678100258</v>
      </c>
      <c r="X303" s="88"/>
      <c r="Y303" s="88"/>
      <c r="AC303" s="75"/>
    </row>
    <row r="304" spans="1:31">
      <c r="A304" s="89"/>
      <c r="B304" s="90" t="s">
        <v>4</v>
      </c>
      <c r="C304" s="89">
        <v>10800</v>
      </c>
      <c r="K304" s="104" t="s">
        <v>374</v>
      </c>
      <c r="L304" s="105">
        <f>+L298-L303</f>
        <v>17164080.155672833</v>
      </c>
      <c r="P304" s="104" t="s">
        <v>374</v>
      </c>
      <c r="Q304" s="105">
        <f>+Q298-Q303</f>
        <v>17164407.321899742</v>
      </c>
      <c r="X304" s="88"/>
      <c r="Y304" s="88"/>
      <c r="AC304" s="75"/>
    </row>
    <row r="305" spans="1:29">
      <c r="A305" s="89"/>
      <c r="B305" s="90" t="s">
        <v>58</v>
      </c>
      <c r="C305" s="89">
        <v>30105</v>
      </c>
      <c r="K305" s="104" t="s">
        <v>373</v>
      </c>
      <c r="L305" s="105">
        <f>+L304/3.61*4.61</f>
        <v>21918672.996579438</v>
      </c>
      <c r="P305" s="104" t="s">
        <v>373</v>
      </c>
      <c r="Q305" s="105">
        <f>+Q304/3.61*4.61</f>
        <v>21919090.790570036</v>
      </c>
      <c r="X305" s="88"/>
      <c r="Y305" s="88"/>
      <c r="AC305" s="75"/>
    </row>
    <row r="306" spans="1:29">
      <c r="A306" s="89"/>
      <c r="B306" s="90" t="s">
        <v>54</v>
      </c>
      <c r="C306" s="89">
        <v>30100</v>
      </c>
      <c r="K306" s="104" t="s">
        <v>375</v>
      </c>
      <c r="L306" s="105">
        <f>+L303/4.79</f>
        <v>15267620.844327174</v>
      </c>
      <c r="P306" s="104" t="s">
        <v>375</v>
      </c>
      <c r="Q306" s="105">
        <f>+Q303/4.79</f>
        <v>15267517.678100262</v>
      </c>
      <c r="AC306" s="75"/>
    </row>
    <row r="307" spans="1:29">
      <c r="A307" s="89"/>
      <c r="B307" s="90" t="s">
        <v>59</v>
      </c>
      <c r="C307" s="89">
        <v>30200</v>
      </c>
      <c r="K307" s="104" t="s">
        <v>376</v>
      </c>
      <c r="L307" s="105">
        <f>+L305/4.61</f>
        <v>4754592.8409066023</v>
      </c>
      <c r="P307" s="104" t="s">
        <v>376</v>
      </c>
      <c r="Q307" s="105">
        <f>+Q305/4.61</f>
        <v>4754683.468670289</v>
      </c>
      <c r="AC307" s="75"/>
    </row>
    <row r="308" spans="1:29">
      <c r="A308" s="89"/>
      <c r="B308" s="90" t="s">
        <v>60</v>
      </c>
      <c r="C308" s="89">
        <v>30300</v>
      </c>
      <c r="K308" s="104" t="s">
        <v>377</v>
      </c>
      <c r="L308" s="105">
        <f>+L306+L307</f>
        <v>20022213.685233776</v>
      </c>
      <c r="P308" s="104" t="s">
        <v>377</v>
      </c>
      <c r="Q308" s="105">
        <f>+Q306+Q307</f>
        <v>20022201.146770552</v>
      </c>
      <c r="X308" s="2"/>
      <c r="AC308" s="75"/>
    </row>
    <row r="309" spans="1:29">
      <c r="A309" s="89"/>
      <c r="B309" s="90" t="s">
        <v>290</v>
      </c>
      <c r="C309" s="89">
        <v>34901</v>
      </c>
      <c r="K309" s="104" t="s">
        <v>378</v>
      </c>
      <c r="L309" s="105">
        <f>+L302-L306</f>
        <v>42596662.155672826</v>
      </c>
      <c r="P309" s="104" t="s">
        <v>378</v>
      </c>
      <c r="Q309" s="105">
        <f>+Q302-Q306</f>
        <v>42596374.321899742</v>
      </c>
      <c r="X309" s="2"/>
      <c r="AC309" s="75"/>
    </row>
    <row r="310" spans="1:29">
      <c r="A310" s="89"/>
      <c r="B310" s="90" t="s">
        <v>61</v>
      </c>
      <c r="C310" s="89">
        <v>30400</v>
      </c>
      <c r="L310" s="103"/>
      <c r="AC310" s="75"/>
    </row>
    <row r="311" spans="1:29">
      <c r="A311" s="89"/>
      <c r="B311" s="90" t="s">
        <v>33</v>
      </c>
      <c r="C311" s="89">
        <v>20100</v>
      </c>
      <c r="L311" s="103"/>
      <c r="AC311" s="75"/>
    </row>
    <row r="312" spans="1:29">
      <c r="A312" s="89"/>
      <c r="B312" s="90" t="s">
        <v>210</v>
      </c>
      <c r="C312" s="89">
        <v>36901</v>
      </c>
      <c r="G312" s="101" t="s">
        <v>365</v>
      </c>
      <c r="I312" s="5" t="s">
        <v>379</v>
      </c>
      <c r="L312" s="103"/>
      <c r="Q312" s="106"/>
      <c r="AC312" s="75"/>
    </row>
    <row r="313" spans="1:29">
      <c r="A313" s="89"/>
      <c r="B313" s="90" t="s">
        <v>128</v>
      </c>
      <c r="C313" s="89">
        <v>33402</v>
      </c>
      <c r="G313" s="101" t="s">
        <v>366</v>
      </c>
      <c r="I313" s="5" t="s">
        <v>380</v>
      </c>
      <c r="L313" s="103"/>
      <c r="AC313" s="75"/>
    </row>
    <row r="314" spans="1:29">
      <c r="A314" s="89"/>
      <c r="B314" s="90" t="s">
        <v>63</v>
      </c>
      <c r="C314" s="89">
        <v>30500</v>
      </c>
      <c r="G314" s="101" t="s">
        <v>367</v>
      </c>
      <c r="I314" s="5" t="s">
        <v>381</v>
      </c>
      <c r="AC314" s="75"/>
    </row>
    <row r="315" spans="1:29">
      <c r="A315" s="89"/>
      <c r="B315" s="90" t="s">
        <v>225</v>
      </c>
      <c r="C315" s="89">
        <v>37610</v>
      </c>
      <c r="G315" s="101" t="s">
        <v>368</v>
      </c>
      <c r="I315" s="5" t="s">
        <v>382</v>
      </c>
      <c r="K315" s="103"/>
      <c r="L315" s="103"/>
      <c r="M315" s="103"/>
      <c r="N315" s="103"/>
      <c r="O315" s="103"/>
      <c r="AC315" s="75"/>
    </row>
    <row r="316" spans="1:29">
      <c r="A316" s="89"/>
      <c r="B316" s="90" t="s">
        <v>77</v>
      </c>
      <c r="C316" s="89">
        <v>31110</v>
      </c>
      <c r="G316" s="101" t="s">
        <v>369</v>
      </c>
      <c r="I316" s="5" t="s">
        <v>383</v>
      </c>
      <c r="K316" s="103"/>
      <c r="L316" s="103"/>
      <c r="M316" s="103"/>
      <c r="N316" s="103"/>
      <c r="O316" s="103"/>
      <c r="AC316" s="75"/>
    </row>
    <row r="317" spans="1:29">
      <c r="A317" s="89"/>
      <c r="B317" s="90" t="s">
        <v>76</v>
      </c>
      <c r="C317" s="89">
        <v>31105</v>
      </c>
      <c r="G317" s="101" t="s">
        <v>370</v>
      </c>
      <c r="I317" s="5" t="s">
        <v>384</v>
      </c>
      <c r="K317" s="103"/>
      <c r="L317" s="103"/>
      <c r="M317" s="103"/>
      <c r="N317" s="103"/>
      <c r="O317" s="103"/>
      <c r="AC317" s="75"/>
    </row>
    <row r="318" spans="1:29">
      <c r="A318" s="89"/>
      <c r="B318" s="90" t="s">
        <v>64</v>
      </c>
      <c r="C318" s="89">
        <v>30600</v>
      </c>
      <c r="G318" s="101" t="s">
        <v>371</v>
      </c>
      <c r="I318" s="5" t="s">
        <v>385</v>
      </c>
      <c r="AC318" s="75"/>
    </row>
    <row r="319" spans="1:29">
      <c r="A319" s="89"/>
      <c r="B319" s="90" t="s">
        <v>26</v>
      </c>
      <c r="C319" s="89">
        <v>18600</v>
      </c>
      <c r="G319" s="101"/>
      <c r="AC319" s="75"/>
    </row>
    <row r="320" spans="1:29">
      <c r="A320" s="89"/>
      <c r="B320" s="90" t="s">
        <v>124</v>
      </c>
      <c r="C320" s="89">
        <v>33206</v>
      </c>
      <c r="AC320" s="75"/>
    </row>
    <row r="321" spans="1:29">
      <c r="A321" s="89"/>
      <c r="B321" s="90" t="s">
        <v>67</v>
      </c>
      <c r="C321" s="89">
        <v>30705</v>
      </c>
      <c r="AC321" s="75"/>
    </row>
    <row r="322" spans="1:29">
      <c r="A322" s="89"/>
      <c r="B322" s="90" t="s">
        <v>66</v>
      </c>
      <c r="C322" s="89">
        <v>30700</v>
      </c>
      <c r="AC322" s="75"/>
    </row>
    <row r="323" spans="1:29">
      <c r="A323" s="89"/>
      <c r="B323" s="90" t="s">
        <v>68</v>
      </c>
      <c r="C323" s="89">
        <v>30800</v>
      </c>
      <c r="AC323" s="75"/>
    </row>
    <row r="324" spans="1:29">
      <c r="A324" s="89"/>
      <c r="B324" s="90" t="s">
        <v>232</v>
      </c>
      <c r="C324" s="89">
        <v>37901</v>
      </c>
      <c r="AC324" s="75"/>
    </row>
    <row r="325" spans="1:29">
      <c r="A325" s="89"/>
      <c r="B325" s="90" t="s">
        <v>70</v>
      </c>
      <c r="C325" s="89">
        <v>30905</v>
      </c>
      <c r="AC325" s="75"/>
    </row>
    <row r="326" spans="1:29">
      <c r="A326" s="89"/>
      <c r="B326" s="90" t="s">
        <v>69</v>
      </c>
      <c r="C326" s="89">
        <v>30900</v>
      </c>
    </row>
    <row r="327" spans="1:29">
      <c r="A327" s="89"/>
      <c r="B327" s="90" t="s">
        <v>149</v>
      </c>
      <c r="C327" s="89">
        <v>34505</v>
      </c>
    </row>
    <row r="328" spans="1:29">
      <c r="A328" s="89"/>
      <c r="B328" s="90" t="s">
        <v>255</v>
      </c>
      <c r="C328" s="89">
        <v>38801</v>
      </c>
    </row>
    <row r="329" spans="1:29">
      <c r="A329" s="89"/>
      <c r="B329" s="90" t="s">
        <v>247</v>
      </c>
      <c r="C329" s="89">
        <v>38601</v>
      </c>
    </row>
    <row r="330" spans="1:29">
      <c r="A330" s="89"/>
      <c r="B330" s="90" t="s">
        <v>72</v>
      </c>
      <c r="C330" s="89">
        <v>31005</v>
      </c>
    </row>
    <row r="331" spans="1:29">
      <c r="A331" s="89"/>
      <c r="B331" s="90" t="s">
        <v>71</v>
      </c>
      <c r="C331" s="89">
        <v>31000</v>
      </c>
    </row>
    <row r="332" spans="1:29">
      <c r="A332" s="89"/>
      <c r="B332" s="90" t="s">
        <v>73</v>
      </c>
      <c r="C332" s="89">
        <v>31100</v>
      </c>
    </row>
    <row r="333" spans="1:29">
      <c r="A333" s="89"/>
      <c r="B333" s="90" t="s">
        <v>78</v>
      </c>
      <c r="C333" s="89">
        <v>31200</v>
      </c>
    </row>
    <row r="334" spans="1:29">
      <c r="A334" s="89"/>
      <c r="B334" s="90" t="s">
        <v>80</v>
      </c>
      <c r="C334" s="89">
        <v>31300</v>
      </c>
    </row>
    <row r="335" spans="1:29">
      <c r="A335" s="89"/>
      <c r="B335" s="90" t="s">
        <v>84</v>
      </c>
      <c r="C335" s="89">
        <v>31405</v>
      </c>
    </row>
    <row r="336" spans="1:29">
      <c r="A336" s="89"/>
      <c r="B336" s="90" t="s">
        <v>83</v>
      </c>
      <c r="C336" s="89">
        <v>31400</v>
      </c>
    </row>
    <row r="337" spans="1:3">
      <c r="A337" s="89"/>
      <c r="B337" s="90" t="s">
        <v>85</v>
      </c>
      <c r="C337" s="89">
        <v>31500</v>
      </c>
    </row>
    <row r="338" spans="1:3">
      <c r="A338" s="89"/>
      <c r="B338" s="90" t="s">
        <v>199</v>
      </c>
      <c r="C338" s="89">
        <v>36505</v>
      </c>
    </row>
    <row r="339" spans="1:3">
      <c r="A339" s="89"/>
      <c r="B339" s="90" t="s">
        <v>197</v>
      </c>
      <c r="C339" s="89">
        <v>36501</v>
      </c>
    </row>
    <row r="340" spans="1:3">
      <c r="A340" s="89"/>
      <c r="B340" s="90" t="s">
        <v>286</v>
      </c>
      <c r="C340" s="89">
        <v>31601</v>
      </c>
    </row>
    <row r="341" spans="1:3">
      <c r="A341" s="89"/>
      <c r="B341" s="90" t="s">
        <v>81</v>
      </c>
      <c r="C341" s="89">
        <v>31301</v>
      </c>
    </row>
    <row r="342" spans="1:3">
      <c r="A342" s="89"/>
      <c r="B342" s="90" t="s">
        <v>87</v>
      </c>
      <c r="C342" s="89">
        <v>31605</v>
      </c>
    </row>
    <row r="343" spans="1:3">
      <c r="A343" s="89"/>
      <c r="B343" s="90" t="s">
        <v>86</v>
      </c>
      <c r="C343" s="89">
        <v>31600</v>
      </c>
    </row>
    <row r="344" spans="1:3">
      <c r="A344" s="89"/>
      <c r="B344" s="90" t="s">
        <v>265</v>
      </c>
      <c r="C344" s="89">
        <v>39209</v>
      </c>
    </row>
    <row r="345" spans="1:3">
      <c r="A345" s="89"/>
      <c r="B345" s="90" t="s">
        <v>88</v>
      </c>
      <c r="C345" s="89">
        <v>31700</v>
      </c>
    </row>
    <row r="346" spans="1:3">
      <c r="A346" s="89"/>
      <c r="B346" s="90" t="s">
        <v>89</v>
      </c>
      <c r="C346" s="89">
        <v>31800</v>
      </c>
    </row>
    <row r="347" spans="1:3">
      <c r="A347" s="89"/>
      <c r="B347" s="90" t="s">
        <v>90</v>
      </c>
      <c r="C347" s="89">
        <v>31805</v>
      </c>
    </row>
    <row r="348" spans="1:3">
      <c r="A348" s="89"/>
      <c r="B348" s="90" t="s">
        <v>164</v>
      </c>
      <c r="C348" s="89">
        <v>35305</v>
      </c>
    </row>
    <row r="349" spans="1:3">
      <c r="A349" s="89"/>
      <c r="B349" s="90" t="s">
        <v>120</v>
      </c>
      <c r="C349" s="89">
        <v>33202</v>
      </c>
    </row>
    <row r="350" spans="1:3">
      <c r="A350" s="89"/>
      <c r="B350" s="90" t="s">
        <v>180</v>
      </c>
      <c r="C350" s="89">
        <v>36005</v>
      </c>
    </row>
    <row r="351" spans="1:3">
      <c r="A351" s="89"/>
      <c r="B351" s="90" t="s">
        <v>208</v>
      </c>
      <c r="C351" s="89">
        <v>36810</v>
      </c>
    </row>
    <row r="352" spans="1:3">
      <c r="A352" s="89"/>
      <c r="B352" s="90" t="s">
        <v>184</v>
      </c>
      <c r="C352" s="89">
        <v>36009</v>
      </c>
    </row>
    <row r="353" spans="1:3">
      <c r="A353" s="89"/>
      <c r="B353" s="90" t="s">
        <v>176</v>
      </c>
      <c r="C353" s="89">
        <v>36000</v>
      </c>
    </row>
    <row r="354" spans="1:3">
      <c r="A354" s="89"/>
      <c r="B354" s="90" t="s">
        <v>93</v>
      </c>
      <c r="C354" s="89">
        <v>31900</v>
      </c>
    </row>
    <row r="355" spans="1:3">
      <c r="A355" s="89"/>
      <c r="B355" s="90" t="s">
        <v>94</v>
      </c>
      <c r="C355" s="89">
        <v>32000</v>
      </c>
    </row>
    <row r="356" spans="1:3">
      <c r="A356" s="89"/>
      <c r="B356" s="90" t="s">
        <v>166</v>
      </c>
      <c r="C356" s="89">
        <v>35401</v>
      </c>
    </row>
    <row r="357" spans="1:3">
      <c r="A357" s="89"/>
      <c r="B357" s="90" t="s">
        <v>97</v>
      </c>
      <c r="C357" s="89">
        <v>32200</v>
      </c>
    </row>
    <row r="358" spans="1:3">
      <c r="A358" s="89"/>
      <c r="B358" s="90" t="s">
        <v>98</v>
      </c>
      <c r="C358" s="89">
        <v>32300</v>
      </c>
    </row>
    <row r="359" spans="1:3">
      <c r="A359" s="89"/>
      <c r="B359" s="90" t="s">
        <v>99</v>
      </c>
      <c r="C359" s="89">
        <v>32305</v>
      </c>
    </row>
    <row r="360" spans="1:3">
      <c r="A360" s="89"/>
      <c r="B360" s="90" t="s">
        <v>240</v>
      </c>
      <c r="C360" s="89">
        <v>38210</v>
      </c>
    </row>
    <row r="361" spans="1:3">
      <c r="A361" s="89"/>
      <c r="B361" s="90" t="s">
        <v>55</v>
      </c>
      <c r="C361" s="89">
        <v>30102</v>
      </c>
    </row>
    <row r="362" spans="1:3">
      <c r="A362" s="89"/>
      <c r="B362" s="90" t="s">
        <v>204</v>
      </c>
      <c r="C362" s="89">
        <v>36705</v>
      </c>
    </row>
    <row r="363" spans="1:3">
      <c r="A363" s="89"/>
      <c r="B363" s="90" t="s">
        <v>213</v>
      </c>
      <c r="C363" s="89">
        <v>37005</v>
      </c>
    </row>
    <row r="364" spans="1:3">
      <c r="A364" s="89"/>
      <c r="B364" s="90" t="s">
        <v>100</v>
      </c>
      <c r="C364" s="89">
        <v>32400</v>
      </c>
    </row>
    <row r="365" spans="1:3">
      <c r="A365" s="89"/>
      <c r="B365" s="90" t="s">
        <v>177</v>
      </c>
      <c r="C365" s="89">
        <v>36001</v>
      </c>
    </row>
    <row r="366" spans="1:3">
      <c r="A366" s="89"/>
      <c r="B366" s="90" t="s">
        <v>31</v>
      </c>
      <c r="C366" s="89">
        <v>19005</v>
      </c>
    </row>
    <row r="367" spans="1:3">
      <c r="A367" s="89"/>
      <c r="B367" s="90" t="s">
        <v>179</v>
      </c>
      <c r="C367" s="89">
        <v>36003</v>
      </c>
    </row>
    <row r="368" spans="1:3">
      <c r="A368" s="89"/>
      <c r="B368" s="90" t="s">
        <v>116</v>
      </c>
      <c r="C368" s="89">
        <v>33027</v>
      </c>
    </row>
    <row r="369" spans="1:3">
      <c r="A369" s="89"/>
      <c r="B369" s="90" t="s">
        <v>291</v>
      </c>
      <c r="C369" s="89">
        <v>36004</v>
      </c>
    </row>
    <row r="370" spans="1:3">
      <c r="A370" s="89"/>
      <c r="B370" s="90" t="s">
        <v>105</v>
      </c>
      <c r="C370" s="89">
        <v>32505</v>
      </c>
    </row>
    <row r="371" spans="1:3">
      <c r="A371" s="89"/>
      <c r="B371" s="90" t="s">
        <v>106</v>
      </c>
      <c r="C371" s="89">
        <v>32600</v>
      </c>
    </row>
    <row r="372" spans="1:3">
      <c r="A372" s="89"/>
      <c r="B372" s="90" t="s">
        <v>108</v>
      </c>
      <c r="C372" s="89">
        <v>32700</v>
      </c>
    </row>
    <row r="373" spans="1:3">
      <c r="A373" s="89"/>
      <c r="B373" s="90" t="s">
        <v>109</v>
      </c>
      <c r="C373" s="89">
        <v>32800</v>
      </c>
    </row>
    <row r="374" spans="1:3">
      <c r="A374" s="89"/>
      <c r="B374" s="90" t="s">
        <v>111</v>
      </c>
      <c r="C374" s="89">
        <v>32905</v>
      </c>
    </row>
    <row r="375" spans="1:3">
      <c r="A375" s="89"/>
      <c r="B375" s="90" t="s">
        <v>110</v>
      </c>
      <c r="C375" s="89">
        <v>32900</v>
      </c>
    </row>
    <row r="376" spans="1:3">
      <c r="A376" s="89"/>
      <c r="B376" s="90" t="s">
        <v>114</v>
      </c>
      <c r="C376" s="89">
        <v>33000</v>
      </c>
    </row>
    <row r="377" spans="1:3">
      <c r="A377" s="89"/>
      <c r="B377" s="90" t="s">
        <v>6</v>
      </c>
      <c r="C377" s="89">
        <v>10900</v>
      </c>
    </row>
    <row r="378" spans="1:3">
      <c r="A378" s="89"/>
      <c r="B378" s="90" t="s">
        <v>25</v>
      </c>
      <c r="C378" s="89">
        <v>18400</v>
      </c>
    </row>
    <row r="379" spans="1:3">
      <c r="A379" s="89"/>
      <c r="B379" s="90" t="s">
        <v>19</v>
      </c>
      <c r="C379" s="89">
        <v>12510</v>
      </c>
    </row>
    <row r="380" spans="1:3">
      <c r="A380" s="89"/>
      <c r="B380" s="90" t="s">
        <v>3</v>
      </c>
      <c r="C380" s="89">
        <v>10700</v>
      </c>
    </row>
    <row r="381" spans="1:3">
      <c r="A381" s="89"/>
      <c r="B381" s="90" t="s">
        <v>1</v>
      </c>
      <c r="C381" s="89">
        <v>10400</v>
      </c>
    </row>
    <row r="382" spans="1:3">
      <c r="A382" s="89"/>
      <c r="B382" s="90" t="s">
        <v>49</v>
      </c>
      <c r="C382" s="89">
        <v>22000</v>
      </c>
    </row>
    <row r="383" spans="1:3">
      <c r="A383" s="89"/>
      <c r="B383" s="90" t="s">
        <v>32</v>
      </c>
      <c r="C383" s="89">
        <v>19100</v>
      </c>
    </row>
    <row r="384" spans="1:3">
      <c r="A384" s="89"/>
      <c r="B384" s="90" t="s">
        <v>288</v>
      </c>
      <c r="C384" s="89">
        <v>33403</v>
      </c>
    </row>
    <row r="385" spans="1:3">
      <c r="A385" s="89"/>
      <c r="B385" s="90" t="s">
        <v>117</v>
      </c>
      <c r="C385" s="89">
        <v>33100</v>
      </c>
    </row>
    <row r="386" spans="1:3">
      <c r="A386" s="89"/>
      <c r="B386" s="90" t="s">
        <v>119</v>
      </c>
      <c r="C386" s="89">
        <v>33200</v>
      </c>
    </row>
    <row r="387" spans="1:3">
      <c r="A387" s="89"/>
      <c r="B387" s="90" t="s">
        <v>123</v>
      </c>
      <c r="C387" s="89">
        <v>33205</v>
      </c>
    </row>
    <row r="388" spans="1:3">
      <c r="A388" s="89"/>
      <c r="B388" s="90" t="s">
        <v>35</v>
      </c>
      <c r="C388" s="89">
        <v>20300</v>
      </c>
    </row>
    <row r="389" spans="1:3">
      <c r="A389" s="89"/>
      <c r="B389" s="90" t="s">
        <v>292</v>
      </c>
      <c r="C389" s="89">
        <v>39208</v>
      </c>
    </row>
    <row r="390" spans="1:3">
      <c r="A390" s="89"/>
      <c r="B390" s="90" t="s">
        <v>96</v>
      </c>
      <c r="C390" s="89">
        <v>32100</v>
      </c>
    </row>
    <row r="391" spans="1:3">
      <c r="A391" s="89"/>
      <c r="B391" s="90" t="s">
        <v>125</v>
      </c>
      <c r="C391" s="89">
        <v>33300</v>
      </c>
    </row>
    <row r="392" spans="1:3">
      <c r="A392" s="89"/>
      <c r="B392" s="90" t="s">
        <v>126</v>
      </c>
      <c r="C392" s="89">
        <v>33305</v>
      </c>
    </row>
    <row r="393" spans="1:3">
      <c r="A393" s="89"/>
      <c r="B393" s="90" t="s">
        <v>212</v>
      </c>
      <c r="C393" s="89">
        <v>37000</v>
      </c>
    </row>
    <row r="394" spans="1:3">
      <c r="A394" s="89"/>
      <c r="B394" s="90" t="s">
        <v>36</v>
      </c>
      <c r="C394" s="89">
        <v>20400</v>
      </c>
    </row>
    <row r="395" spans="1:3">
      <c r="A395" s="89"/>
      <c r="B395" s="90" t="s">
        <v>251</v>
      </c>
      <c r="C395" s="89">
        <v>38620</v>
      </c>
    </row>
    <row r="396" spans="1:3">
      <c r="A396" s="89"/>
      <c r="B396" s="90" t="s">
        <v>262</v>
      </c>
      <c r="C396" s="89">
        <v>39201</v>
      </c>
    </row>
    <row r="397" spans="1:3">
      <c r="A397" s="89"/>
      <c r="B397" s="90" t="s">
        <v>11</v>
      </c>
      <c r="C397" s="89">
        <v>11300</v>
      </c>
    </row>
    <row r="398" spans="1:3">
      <c r="A398" s="89"/>
      <c r="B398" s="90" t="s">
        <v>75</v>
      </c>
      <c r="C398" s="89">
        <v>31102</v>
      </c>
    </row>
    <row r="399" spans="1:3">
      <c r="A399" s="89"/>
      <c r="B399" s="90" t="s">
        <v>74</v>
      </c>
      <c r="C399" s="89">
        <v>31101</v>
      </c>
    </row>
    <row r="400" spans="1:3">
      <c r="A400" s="89"/>
      <c r="B400" s="90" t="s">
        <v>37</v>
      </c>
      <c r="C400" s="89">
        <v>20600</v>
      </c>
    </row>
    <row r="401" spans="1:3">
      <c r="A401" s="89"/>
      <c r="B401" s="90" t="s">
        <v>107</v>
      </c>
      <c r="C401" s="89">
        <v>32605</v>
      </c>
    </row>
    <row r="402" spans="1:3">
      <c r="A402" s="89"/>
      <c r="B402" s="90" t="s">
        <v>129</v>
      </c>
      <c r="C402" s="89">
        <v>33405</v>
      </c>
    </row>
    <row r="403" spans="1:3">
      <c r="A403" s="89"/>
      <c r="B403" s="90" t="s">
        <v>130</v>
      </c>
      <c r="C403" s="98">
        <v>33500</v>
      </c>
    </row>
    <row r="404" spans="1:3">
      <c r="A404" s="89"/>
      <c r="B404" s="90" t="s">
        <v>133</v>
      </c>
      <c r="C404" s="89">
        <v>33605</v>
      </c>
    </row>
    <row r="405" spans="1:3">
      <c r="A405" s="89"/>
      <c r="B405" s="90" t="s">
        <v>201</v>
      </c>
      <c r="C405" s="89">
        <v>36601</v>
      </c>
    </row>
    <row r="406" spans="1:3">
      <c r="A406" s="89"/>
      <c r="B406" s="90" t="s">
        <v>132</v>
      </c>
      <c r="C406" s="98">
        <v>33600</v>
      </c>
    </row>
    <row r="407" spans="1:3">
      <c r="A407" s="89"/>
      <c r="B407" s="90" t="s">
        <v>134</v>
      </c>
      <c r="C407" s="89">
        <v>33700</v>
      </c>
    </row>
    <row r="408" spans="1:3">
      <c r="A408" s="89"/>
      <c r="B408" s="90" t="s">
        <v>17</v>
      </c>
      <c r="C408" s="89">
        <v>12160</v>
      </c>
    </row>
    <row r="409" spans="1:3">
      <c r="A409" s="89"/>
      <c r="B409" s="90" t="s">
        <v>15</v>
      </c>
      <c r="C409" s="89">
        <v>12100</v>
      </c>
    </row>
    <row r="410" spans="1:3">
      <c r="A410" s="89"/>
      <c r="B410" s="90" t="s">
        <v>135</v>
      </c>
      <c r="C410" s="89">
        <v>33800</v>
      </c>
    </row>
    <row r="411" spans="1:3">
      <c r="A411" s="89"/>
      <c r="B411" s="90" t="s">
        <v>65</v>
      </c>
      <c r="C411" s="89">
        <v>30601</v>
      </c>
    </row>
    <row r="412" spans="1:3">
      <c r="A412" s="89"/>
      <c r="B412" s="90" t="s">
        <v>136</v>
      </c>
      <c r="C412" s="89">
        <v>33900</v>
      </c>
    </row>
    <row r="413" spans="1:3">
      <c r="A413" s="89"/>
      <c r="B413" s="90" t="s">
        <v>243</v>
      </c>
      <c r="C413" s="89">
        <v>38402</v>
      </c>
    </row>
    <row r="414" spans="1:3">
      <c r="A414" s="89"/>
      <c r="B414" s="90" t="s">
        <v>137</v>
      </c>
      <c r="C414" s="89">
        <v>34000</v>
      </c>
    </row>
    <row r="415" spans="1:3">
      <c r="A415" s="89"/>
      <c r="B415" s="90" t="s">
        <v>138</v>
      </c>
      <c r="C415" s="89">
        <v>34100</v>
      </c>
    </row>
    <row r="416" spans="1:3">
      <c r="A416" s="89"/>
      <c r="B416" s="90" t="s">
        <v>139</v>
      </c>
      <c r="C416" s="89">
        <v>34105</v>
      </c>
    </row>
    <row r="417" spans="1:3">
      <c r="A417" s="89"/>
      <c r="B417" s="90" t="s">
        <v>141</v>
      </c>
      <c r="C417" s="89">
        <v>34205</v>
      </c>
    </row>
    <row r="418" spans="1:3">
      <c r="A418" s="89"/>
      <c r="B418" s="90" t="s">
        <v>140</v>
      </c>
      <c r="C418" s="89">
        <v>34200</v>
      </c>
    </row>
    <row r="419" spans="1:3">
      <c r="A419" s="89"/>
      <c r="B419" s="90" t="s">
        <v>267</v>
      </c>
      <c r="C419" s="89">
        <v>39301</v>
      </c>
    </row>
    <row r="420" spans="1:3">
      <c r="A420" s="89"/>
      <c r="B420" s="90" t="s">
        <v>144</v>
      </c>
      <c r="C420" s="89">
        <v>34300</v>
      </c>
    </row>
    <row r="421" spans="1:3">
      <c r="A421" s="89"/>
      <c r="B421" s="90" t="s">
        <v>145</v>
      </c>
      <c r="C421" s="89">
        <v>34400</v>
      </c>
    </row>
    <row r="422" spans="1:3">
      <c r="A422" s="89"/>
      <c r="B422" s="90" t="s">
        <v>146</v>
      </c>
      <c r="C422" s="89">
        <v>34405</v>
      </c>
    </row>
    <row r="423" spans="1:3">
      <c r="A423" s="89"/>
      <c r="B423" s="90" t="s">
        <v>18</v>
      </c>
      <c r="C423" s="89">
        <v>12220</v>
      </c>
    </row>
    <row r="424" spans="1:3">
      <c r="A424" s="89"/>
      <c r="B424" s="90" t="s">
        <v>121</v>
      </c>
      <c r="C424" s="89">
        <v>33203</v>
      </c>
    </row>
    <row r="425" spans="1:3">
      <c r="A425" s="89"/>
      <c r="B425" s="90" t="s">
        <v>269</v>
      </c>
      <c r="C425" s="89">
        <v>39401</v>
      </c>
    </row>
    <row r="426" spans="1:3">
      <c r="A426" s="89"/>
      <c r="B426" s="90" t="s">
        <v>147</v>
      </c>
      <c r="C426" s="89">
        <v>34500</v>
      </c>
    </row>
    <row r="427" spans="1:3">
      <c r="A427" s="89"/>
      <c r="B427" s="90" t="s">
        <v>150</v>
      </c>
      <c r="C427" s="89">
        <v>34600</v>
      </c>
    </row>
    <row r="428" spans="1:3">
      <c r="A428" s="89"/>
      <c r="B428" s="90" t="s">
        <v>91</v>
      </c>
      <c r="C428" s="89">
        <v>31810</v>
      </c>
    </row>
    <row r="429" spans="1:3">
      <c r="A429" s="89"/>
      <c r="B429" s="90" t="s">
        <v>280</v>
      </c>
      <c r="C429" s="89">
        <v>51000</v>
      </c>
    </row>
    <row r="430" spans="1:3">
      <c r="A430" s="89"/>
      <c r="B430" s="90" t="s">
        <v>152</v>
      </c>
      <c r="C430" s="89">
        <v>34700</v>
      </c>
    </row>
    <row r="431" spans="1:3">
      <c r="A431" s="89"/>
      <c r="B431" s="90" t="s">
        <v>153</v>
      </c>
      <c r="C431" s="89">
        <v>34800</v>
      </c>
    </row>
    <row r="432" spans="1:3">
      <c r="A432" s="89"/>
      <c r="B432" s="90" t="s">
        <v>8</v>
      </c>
      <c r="C432" s="89">
        <v>10930</v>
      </c>
    </row>
    <row r="433" spans="1:3">
      <c r="A433" s="89"/>
      <c r="B433" s="90" t="s">
        <v>20</v>
      </c>
      <c r="C433" s="89">
        <v>12600</v>
      </c>
    </row>
    <row r="434" spans="1:3">
      <c r="A434" s="89"/>
      <c r="B434" s="90" t="s">
        <v>362</v>
      </c>
      <c r="C434" s="89">
        <v>33207</v>
      </c>
    </row>
    <row r="435" spans="1:3">
      <c r="A435" s="89"/>
      <c r="B435" s="90" t="s">
        <v>287</v>
      </c>
      <c r="C435" s="89">
        <v>32901</v>
      </c>
    </row>
    <row r="436" spans="1:3">
      <c r="A436" s="89"/>
      <c r="B436" s="90" t="s">
        <v>289</v>
      </c>
      <c r="C436" s="89">
        <v>34900</v>
      </c>
    </row>
    <row r="437" spans="1:3">
      <c r="A437" s="89"/>
      <c r="B437" s="90" t="s">
        <v>237</v>
      </c>
      <c r="C437" s="89">
        <v>38105</v>
      </c>
    </row>
    <row r="438" spans="1:3">
      <c r="A438" s="89"/>
      <c r="B438" s="90" t="s">
        <v>157</v>
      </c>
      <c r="C438" s="89">
        <v>35000</v>
      </c>
    </row>
    <row r="439" spans="1:3">
      <c r="A439" s="89"/>
      <c r="B439" s="90" t="s">
        <v>118</v>
      </c>
      <c r="C439" s="89">
        <v>33105</v>
      </c>
    </row>
    <row r="440" spans="1:3">
      <c r="A440" s="98"/>
      <c r="B440" s="90" t="s">
        <v>159</v>
      </c>
      <c r="C440" s="89">
        <v>35100</v>
      </c>
    </row>
    <row r="441" spans="1:3">
      <c r="A441" s="98"/>
      <c r="B441" s="90" t="s">
        <v>160</v>
      </c>
      <c r="C441" s="89">
        <v>35105</v>
      </c>
    </row>
    <row r="442" spans="1:3">
      <c r="A442" s="98"/>
      <c r="B442" s="90" t="s">
        <v>162</v>
      </c>
      <c r="C442" s="89">
        <v>35200</v>
      </c>
    </row>
    <row r="443" spans="1:3">
      <c r="A443" s="89"/>
      <c r="B443" s="90" t="s">
        <v>82</v>
      </c>
      <c r="C443" s="89">
        <v>31320</v>
      </c>
    </row>
    <row r="444" spans="1:3">
      <c r="A444" s="89"/>
      <c r="B444" s="90" t="s">
        <v>178</v>
      </c>
      <c r="C444" s="89">
        <v>36002</v>
      </c>
    </row>
    <row r="445" spans="1:3">
      <c r="A445" s="89"/>
      <c r="B445" s="90" t="s">
        <v>167</v>
      </c>
      <c r="C445" s="89">
        <v>35402</v>
      </c>
    </row>
    <row r="446" spans="1:3">
      <c r="A446" s="89"/>
      <c r="B446" s="90" t="s">
        <v>186</v>
      </c>
      <c r="C446" s="89">
        <v>36102</v>
      </c>
    </row>
    <row r="447" spans="1:3">
      <c r="A447" s="89"/>
      <c r="B447" s="90" t="s">
        <v>363</v>
      </c>
      <c r="C447" s="89">
        <v>33208</v>
      </c>
    </row>
    <row r="448" spans="1:3">
      <c r="A448" s="89"/>
      <c r="B448" s="90" t="s">
        <v>21</v>
      </c>
      <c r="C448" s="89">
        <v>12700</v>
      </c>
    </row>
    <row r="449" spans="1:3">
      <c r="A449" s="89"/>
      <c r="B449" s="90" t="s">
        <v>181</v>
      </c>
      <c r="C449" s="89">
        <v>36006</v>
      </c>
    </row>
    <row r="450" spans="1:3">
      <c r="A450" s="89"/>
      <c r="B450" s="90" t="s">
        <v>168</v>
      </c>
      <c r="C450" s="89">
        <v>35405</v>
      </c>
    </row>
    <row r="451" spans="1:3">
      <c r="A451" s="89"/>
      <c r="B451" s="90" t="s">
        <v>165</v>
      </c>
      <c r="C451" s="89">
        <v>35400</v>
      </c>
    </row>
    <row r="452" spans="1:3">
      <c r="A452" s="89"/>
      <c r="B452" s="90" t="s">
        <v>112</v>
      </c>
      <c r="C452" s="89">
        <v>32910</v>
      </c>
    </row>
    <row r="453" spans="1:3">
      <c r="A453" s="89"/>
      <c r="B453" s="90" t="s">
        <v>169</v>
      </c>
      <c r="C453" s="89">
        <v>35500</v>
      </c>
    </row>
    <row r="454" spans="1:3">
      <c r="A454" s="89"/>
      <c r="B454" s="90" t="s">
        <v>16</v>
      </c>
      <c r="C454" s="89">
        <v>12150</v>
      </c>
    </row>
    <row r="455" spans="1:3">
      <c r="A455" s="89"/>
      <c r="B455" s="90" t="s">
        <v>170</v>
      </c>
      <c r="C455" s="89">
        <v>35600</v>
      </c>
    </row>
    <row r="456" spans="1:3">
      <c r="A456" s="89"/>
      <c r="B456" s="90" t="s">
        <v>171</v>
      </c>
      <c r="C456" s="89">
        <v>35700</v>
      </c>
    </row>
    <row r="457" spans="1:3">
      <c r="A457" s="89"/>
      <c r="B457" s="90" t="s">
        <v>173</v>
      </c>
      <c r="C457" s="89">
        <v>35805</v>
      </c>
    </row>
    <row r="458" spans="1:3">
      <c r="A458" s="89"/>
      <c r="B458" s="90" t="s">
        <v>172</v>
      </c>
      <c r="C458" s="89">
        <v>35800</v>
      </c>
    </row>
    <row r="459" spans="1:3">
      <c r="A459" s="89"/>
      <c r="B459" s="90" t="s">
        <v>187</v>
      </c>
      <c r="C459" s="89">
        <v>36105</v>
      </c>
    </row>
    <row r="460" spans="1:3">
      <c r="A460" s="89"/>
      <c r="B460" s="90" t="s">
        <v>174</v>
      </c>
      <c r="C460" s="89">
        <v>35900</v>
      </c>
    </row>
    <row r="461" spans="1:3">
      <c r="A461" s="89"/>
      <c r="B461" s="90" t="s">
        <v>175</v>
      </c>
      <c r="C461" s="89">
        <v>35905</v>
      </c>
    </row>
    <row r="462" spans="1:3">
      <c r="A462" s="89"/>
      <c r="B462" s="90" t="s">
        <v>248</v>
      </c>
      <c r="C462" s="89">
        <v>38602</v>
      </c>
    </row>
    <row r="463" spans="1:3">
      <c r="A463" s="89"/>
      <c r="B463" s="90" t="s">
        <v>155</v>
      </c>
      <c r="C463" s="89">
        <v>34905</v>
      </c>
    </row>
    <row r="464" spans="1:3">
      <c r="A464" s="89"/>
      <c r="B464" s="90" t="s">
        <v>185</v>
      </c>
      <c r="C464" s="89">
        <v>36100</v>
      </c>
    </row>
    <row r="465" spans="1:3">
      <c r="A465" s="89"/>
      <c r="B465" s="90" t="s">
        <v>189</v>
      </c>
      <c r="C465" s="89">
        <v>36205</v>
      </c>
    </row>
    <row r="466" spans="1:3">
      <c r="A466" s="89"/>
      <c r="B466" s="90" t="s">
        <v>188</v>
      </c>
      <c r="C466" s="89">
        <v>36200</v>
      </c>
    </row>
    <row r="467" spans="1:3">
      <c r="A467" s="89"/>
      <c r="B467" s="90" t="s">
        <v>190</v>
      </c>
      <c r="C467" s="89">
        <v>36300</v>
      </c>
    </row>
    <row r="468" spans="1:3">
      <c r="A468" s="89"/>
      <c r="B468" s="90" t="s">
        <v>156</v>
      </c>
      <c r="C468" s="89">
        <v>34910</v>
      </c>
    </row>
    <row r="469" spans="1:3">
      <c r="A469" s="89"/>
      <c r="B469" s="90" t="s">
        <v>250</v>
      </c>
      <c r="C469" s="89">
        <v>38610</v>
      </c>
    </row>
    <row r="470" spans="1:3">
      <c r="A470" s="89"/>
      <c r="B470" s="90" t="s">
        <v>148</v>
      </c>
      <c r="C470" s="89">
        <v>34501</v>
      </c>
    </row>
    <row r="471" spans="1:3">
      <c r="A471" s="89"/>
      <c r="B471" s="90" t="s">
        <v>253</v>
      </c>
      <c r="C471" s="89">
        <v>38701</v>
      </c>
    </row>
    <row r="472" spans="1:3">
      <c r="A472" s="89"/>
      <c r="B472" s="90" t="s">
        <v>29</v>
      </c>
      <c r="C472" s="89">
        <v>18740</v>
      </c>
    </row>
    <row r="473" spans="1:3">
      <c r="A473" s="89"/>
      <c r="B473" s="90" t="s">
        <v>39</v>
      </c>
      <c r="C473" s="89">
        <v>20800</v>
      </c>
    </row>
    <row r="474" spans="1:3">
      <c r="A474" s="89"/>
      <c r="B474" s="90" t="s">
        <v>28</v>
      </c>
      <c r="C474" s="89">
        <v>18690</v>
      </c>
    </row>
    <row r="475" spans="1:3">
      <c r="A475" s="89"/>
      <c r="B475" s="90" t="s">
        <v>10</v>
      </c>
      <c r="C475" s="89">
        <v>10950</v>
      </c>
    </row>
    <row r="476" spans="1:3">
      <c r="A476" s="89"/>
      <c r="B476" s="90" t="s">
        <v>34</v>
      </c>
      <c r="C476" s="89">
        <v>20200</v>
      </c>
    </row>
    <row r="477" spans="1:3">
      <c r="A477" s="89"/>
      <c r="B477" s="90" t="s">
        <v>30</v>
      </c>
      <c r="C477" s="89">
        <v>18780</v>
      </c>
    </row>
    <row r="478" spans="1:3">
      <c r="A478" s="89"/>
      <c r="B478" s="90" t="s">
        <v>42</v>
      </c>
      <c r="C478" s="89">
        <v>21300</v>
      </c>
    </row>
    <row r="479" spans="1:3">
      <c r="A479" s="89"/>
      <c r="B479" s="90" t="s">
        <v>115</v>
      </c>
      <c r="C479" s="89">
        <v>33001</v>
      </c>
    </row>
    <row r="480" spans="1:3">
      <c r="A480" s="89"/>
      <c r="B480" s="90" t="s">
        <v>195</v>
      </c>
      <c r="C480" s="89">
        <v>36405</v>
      </c>
    </row>
    <row r="481" spans="1:3">
      <c r="A481" s="89"/>
      <c r="B481" s="90" t="s">
        <v>194</v>
      </c>
      <c r="C481" s="89">
        <v>36400</v>
      </c>
    </row>
    <row r="482" spans="1:3">
      <c r="A482" s="89"/>
      <c r="B482" s="90" t="s">
        <v>38</v>
      </c>
      <c r="C482" s="89">
        <v>20700</v>
      </c>
    </row>
    <row r="483" spans="1:3">
      <c r="A483" s="89"/>
      <c r="B483" s="90" t="s">
        <v>284</v>
      </c>
      <c r="C483" s="89">
        <v>14200</v>
      </c>
    </row>
    <row r="484" spans="1:3">
      <c r="A484" s="89"/>
      <c r="B484" s="90" t="s">
        <v>12</v>
      </c>
      <c r="C484" s="89">
        <v>11310</v>
      </c>
    </row>
    <row r="485" spans="1:3">
      <c r="A485" s="89"/>
      <c r="B485" s="90" t="s">
        <v>161</v>
      </c>
      <c r="C485" s="89">
        <v>35106</v>
      </c>
    </row>
    <row r="486" spans="1:3">
      <c r="A486" s="89"/>
      <c r="B486" s="90" t="s">
        <v>104</v>
      </c>
      <c r="C486" s="89">
        <v>32500</v>
      </c>
    </row>
    <row r="487" spans="1:3">
      <c r="A487" s="89"/>
      <c r="B487" s="90" t="s">
        <v>196</v>
      </c>
      <c r="C487" s="89">
        <v>36500</v>
      </c>
    </row>
    <row r="488" spans="1:3">
      <c r="A488" s="89"/>
      <c r="B488" s="90" t="s">
        <v>92</v>
      </c>
      <c r="C488" s="89">
        <v>31820</v>
      </c>
    </row>
    <row r="489" spans="1:3">
      <c r="A489" s="89"/>
      <c r="B489" s="90" t="s">
        <v>27</v>
      </c>
      <c r="C489" s="89">
        <v>18640</v>
      </c>
    </row>
    <row r="490" spans="1:3">
      <c r="A490" s="89"/>
      <c r="B490" s="90" t="s">
        <v>0</v>
      </c>
      <c r="C490" s="89">
        <v>10200</v>
      </c>
    </row>
    <row r="491" spans="1:3">
      <c r="A491" s="89"/>
      <c r="B491" s="90" t="s">
        <v>200</v>
      </c>
      <c r="C491" s="89">
        <v>36600</v>
      </c>
    </row>
    <row r="492" spans="1:3">
      <c r="A492" s="89"/>
      <c r="B492" s="90" t="s">
        <v>5</v>
      </c>
      <c r="C492" s="89">
        <v>10850</v>
      </c>
    </row>
    <row r="493" spans="1:3">
      <c r="A493" s="89"/>
      <c r="B493" s="90" t="s">
        <v>7</v>
      </c>
      <c r="C493" s="89">
        <v>10910</v>
      </c>
    </row>
    <row r="494" spans="1:3">
      <c r="A494" s="89"/>
      <c r="B494" s="90" t="s">
        <v>9</v>
      </c>
      <c r="C494" s="89">
        <v>10940</v>
      </c>
    </row>
    <row r="495" spans="1:3">
      <c r="A495" s="89"/>
      <c r="B495" s="90" t="s">
        <v>202</v>
      </c>
      <c r="C495" s="89">
        <v>36700</v>
      </c>
    </row>
    <row r="496" spans="1:3">
      <c r="A496" s="89"/>
      <c r="B496" s="90" t="s">
        <v>207</v>
      </c>
      <c r="C496" s="89">
        <v>36802</v>
      </c>
    </row>
    <row r="497" spans="1:3">
      <c r="A497" s="89"/>
      <c r="B497" s="90" t="s">
        <v>205</v>
      </c>
      <c r="C497" s="89">
        <v>36800</v>
      </c>
    </row>
    <row r="498" spans="1:3">
      <c r="A498" s="89"/>
      <c r="B498" s="90" t="s">
        <v>206</v>
      </c>
      <c r="C498" s="89">
        <v>36801</v>
      </c>
    </row>
    <row r="499" spans="1:3">
      <c r="A499" s="89"/>
      <c r="B499" s="90" t="s">
        <v>211</v>
      </c>
      <c r="C499" s="89">
        <v>36905</v>
      </c>
    </row>
    <row r="500" spans="1:3">
      <c r="A500" s="89"/>
      <c r="B500" s="90" t="s">
        <v>209</v>
      </c>
      <c r="C500" s="89">
        <v>36900</v>
      </c>
    </row>
    <row r="501" spans="1:3">
      <c r="A501" s="89"/>
      <c r="B501" s="90" t="s">
        <v>214</v>
      </c>
      <c r="C501" s="89">
        <v>37100</v>
      </c>
    </row>
    <row r="502" spans="1:3">
      <c r="A502" s="89"/>
      <c r="B502" s="90" t="s">
        <v>215</v>
      </c>
      <c r="C502" s="89">
        <v>37200</v>
      </c>
    </row>
    <row r="503" spans="1:3">
      <c r="A503" s="89"/>
      <c r="B503" s="90" t="s">
        <v>216</v>
      </c>
      <c r="C503" s="89">
        <v>37300</v>
      </c>
    </row>
    <row r="504" spans="1:3">
      <c r="A504" s="89"/>
      <c r="B504" s="90" t="s">
        <v>218</v>
      </c>
      <c r="C504" s="89">
        <v>37305</v>
      </c>
    </row>
    <row r="505" spans="1:3">
      <c r="A505" s="89"/>
      <c r="B505" s="90" t="s">
        <v>183</v>
      </c>
      <c r="C505" s="89">
        <v>36008</v>
      </c>
    </row>
    <row r="506" spans="1:3">
      <c r="A506" s="89"/>
      <c r="B506" s="90" t="s">
        <v>275</v>
      </c>
      <c r="C506" s="89">
        <v>39703</v>
      </c>
    </row>
    <row r="507" spans="1:3">
      <c r="A507" s="89"/>
      <c r="B507" s="90" t="s">
        <v>364</v>
      </c>
      <c r="C507" s="89">
        <v>33209</v>
      </c>
    </row>
    <row r="508" spans="1:3">
      <c r="A508" s="89"/>
      <c r="B508" s="90" t="s">
        <v>220</v>
      </c>
      <c r="C508" s="89">
        <v>37405</v>
      </c>
    </row>
    <row r="509" spans="1:3">
      <c r="A509" s="89"/>
      <c r="B509" s="90" t="s">
        <v>219</v>
      </c>
      <c r="C509" s="89">
        <v>37400</v>
      </c>
    </row>
    <row r="510" spans="1:3">
      <c r="A510" s="89"/>
      <c r="B510" s="90" t="s">
        <v>221</v>
      </c>
      <c r="C510" s="89">
        <v>37500</v>
      </c>
    </row>
    <row r="511" spans="1:3">
      <c r="A511" s="89"/>
      <c r="B511" s="90" t="s">
        <v>224</v>
      </c>
      <c r="C511" s="89">
        <v>37605</v>
      </c>
    </row>
    <row r="512" spans="1:3">
      <c r="A512" s="89"/>
      <c r="B512" s="90" t="s">
        <v>222</v>
      </c>
      <c r="C512" s="89">
        <v>37600</v>
      </c>
    </row>
    <row r="513" spans="1:3">
      <c r="A513" s="89"/>
      <c r="B513" s="90" t="s">
        <v>22</v>
      </c>
      <c r="C513" s="89">
        <v>13500</v>
      </c>
    </row>
    <row r="514" spans="1:3">
      <c r="A514" s="89"/>
      <c r="B514" s="90" t="s">
        <v>226</v>
      </c>
      <c r="C514" s="89">
        <v>37700</v>
      </c>
    </row>
    <row r="515" spans="1:3">
      <c r="A515" s="89"/>
      <c r="B515" s="90" t="s">
        <v>227</v>
      </c>
      <c r="C515" s="89">
        <v>37705</v>
      </c>
    </row>
    <row r="516" spans="1:3">
      <c r="A516" s="89"/>
      <c r="B516" s="90" t="s">
        <v>56</v>
      </c>
      <c r="C516" s="89">
        <v>30103</v>
      </c>
    </row>
    <row r="517" spans="1:3">
      <c r="A517" s="89"/>
      <c r="B517" s="90" t="s">
        <v>142</v>
      </c>
      <c r="C517" s="89">
        <v>34220</v>
      </c>
    </row>
    <row r="518" spans="1:3">
      <c r="A518" s="89"/>
      <c r="B518" s="90" t="s">
        <v>151</v>
      </c>
      <c r="C518" s="89">
        <v>34605</v>
      </c>
    </row>
    <row r="519" spans="1:3">
      <c r="A519" s="89"/>
      <c r="B519" s="90" t="s">
        <v>230</v>
      </c>
      <c r="C519" s="89">
        <v>37805</v>
      </c>
    </row>
    <row r="520" spans="1:3">
      <c r="A520" s="89"/>
      <c r="B520" s="90" t="s">
        <v>228</v>
      </c>
      <c r="C520" s="89">
        <v>37800</v>
      </c>
    </row>
    <row r="521" spans="1:3">
      <c r="A521" s="89"/>
      <c r="B521" s="90" t="s">
        <v>233</v>
      </c>
      <c r="C521" s="89">
        <v>37905</v>
      </c>
    </row>
    <row r="522" spans="1:3">
      <c r="A522" s="89"/>
      <c r="B522" s="90" t="s">
        <v>231</v>
      </c>
      <c r="C522" s="89">
        <v>37900</v>
      </c>
    </row>
    <row r="523" spans="1:3">
      <c r="A523" s="89"/>
      <c r="B523" s="90" t="s">
        <v>235</v>
      </c>
      <c r="C523" s="89">
        <v>38005</v>
      </c>
    </row>
    <row r="524" spans="1:3">
      <c r="A524" s="89"/>
      <c r="B524" s="90" t="s">
        <v>234</v>
      </c>
      <c r="C524" s="89">
        <v>38000</v>
      </c>
    </row>
    <row r="525" spans="1:3">
      <c r="A525" s="89"/>
      <c r="B525" s="90" t="s">
        <v>217</v>
      </c>
      <c r="C525" s="89">
        <v>37301</v>
      </c>
    </row>
    <row r="526" spans="1:3">
      <c r="A526" s="89"/>
      <c r="B526" s="90" t="s">
        <v>236</v>
      </c>
      <c r="C526" s="89">
        <v>38100</v>
      </c>
    </row>
    <row r="527" spans="1:3">
      <c r="A527" s="89"/>
      <c r="B527" s="90" t="s">
        <v>239</v>
      </c>
      <c r="C527" s="89">
        <v>38205</v>
      </c>
    </row>
    <row r="528" spans="1:3">
      <c r="A528" s="89"/>
      <c r="B528" s="90" t="s">
        <v>238</v>
      </c>
      <c r="C528" s="89">
        <v>38200</v>
      </c>
    </row>
    <row r="529" spans="1:3">
      <c r="A529" s="89"/>
      <c r="B529" s="90" t="s">
        <v>193</v>
      </c>
      <c r="C529" s="89">
        <v>36305</v>
      </c>
    </row>
    <row r="530" spans="1:3">
      <c r="A530" s="89"/>
      <c r="B530" s="90" t="s">
        <v>163</v>
      </c>
      <c r="C530" s="89">
        <v>35300</v>
      </c>
    </row>
    <row r="531" spans="1:3">
      <c r="A531" s="89"/>
      <c r="B531" s="90" t="s">
        <v>241</v>
      </c>
      <c r="C531" s="89">
        <v>38300</v>
      </c>
    </row>
    <row r="532" spans="1:3">
      <c r="A532" s="89"/>
      <c r="B532" s="90" t="s">
        <v>23</v>
      </c>
      <c r="C532" s="89">
        <v>13700</v>
      </c>
    </row>
    <row r="533" spans="1:3">
      <c r="A533" s="89"/>
      <c r="B533" s="90" t="s">
        <v>103</v>
      </c>
      <c r="C533" s="89">
        <v>32420</v>
      </c>
    </row>
    <row r="534" spans="1:3">
      <c r="A534" s="89"/>
      <c r="B534" s="90" t="s">
        <v>182</v>
      </c>
      <c r="C534" s="89">
        <v>36007</v>
      </c>
    </row>
    <row r="535" spans="1:3">
      <c r="A535" s="89"/>
      <c r="B535" s="90" t="s">
        <v>62</v>
      </c>
      <c r="C535" s="89">
        <v>30405</v>
      </c>
    </row>
    <row r="536" spans="1:3">
      <c r="A536" s="89"/>
      <c r="B536" s="90" t="s">
        <v>229</v>
      </c>
      <c r="C536" s="89">
        <v>37801</v>
      </c>
    </row>
    <row r="537" spans="1:3">
      <c r="A537" s="89"/>
      <c r="B537" s="90" t="s">
        <v>101</v>
      </c>
      <c r="C537" s="89">
        <v>32405</v>
      </c>
    </row>
    <row r="538" spans="1:3">
      <c r="A538" s="89"/>
      <c r="B538" s="90" t="s">
        <v>263</v>
      </c>
      <c r="C538" s="89">
        <v>39204</v>
      </c>
    </row>
    <row r="539" spans="1:3">
      <c r="A539" s="89"/>
      <c r="B539" s="90" t="s">
        <v>158</v>
      </c>
      <c r="C539" s="89">
        <v>35005</v>
      </c>
    </row>
    <row r="540" spans="1:3">
      <c r="A540" s="89"/>
      <c r="B540" s="90" t="s">
        <v>244</v>
      </c>
      <c r="C540" s="89">
        <v>38405</v>
      </c>
    </row>
    <row r="541" spans="1:3">
      <c r="A541" s="89"/>
      <c r="B541" s="90" t="s">
        <v>242</v>
      </c>
      <c r="C541" s="89">
        <v>38400</v>
      </c>
    </row>
    <row r="542" spans="1:3">
      <c r="A542" s="89"/>
      <c r="B542" s="90" t="s">
        <v>192</v>
      </c>
      <c r="C542" s="89">
        <v>36302</v>
      </c>
    </row>
    <row r="543" spans="1:3">
      <c r="A543" s="89"/>
      <c r="B543" s="90" t="s">
        <v>2</v>
      </c>
      <c r="C543" s="89">
        <v>10500</v>
      </c>
    </row>
    <row r="544" spans="1:3">
      <c r="A544" s="89"/>
      <c r="B544" s="90" t="s">
        <v>14</v>
      </c>
      <c r="C544" s="89">
        <v>11900</v>
      </c>
    </row>
    <row r="545" spans="1:3">
      <c r="A545" s="89"/>
      <c r="B545" s="90" t="s">
        <v>285</v>
      </c>
      <c r="C545" s="89">
        <v>18670</v>
      </c>
    </row>
    <row r="546" spans="1:3">
      <c r="A546" s="89"/>
      <c r="B546" s="90" t="s">
        <v>24</v>
      </c>
      <c r="C546" s="89">
        <v>14300</v>
      </c>
    </row>
    <row r="547" spans="1:3">
      <c r="A547" s="89"/>
      <c r="B547" s="90" t="s">
        <v>245</v>
      </c>
      <c r="C547" s="89">
        <v>38500</v>
      </c>
    </row>
    <row r="548" spans="1:3">
      <c r="A548" s="89"/>
      <c r="B548" s="90" t="s">
        <v>154</v>
      </c>
      <c r="C548" s="89">
        <v>34903</v>
      </c>
    </row>
    <row r="549" spans="1:3">
      <c r="A549" s="89"/>
      <c r="B549" s="90" t="s">
        <v>249</v>
      </c>
      <c r="C549" s="89">
        <v>38605</v>
      </c>
    </row>
    <row r="550" spans="1:3">
      <c r="A550" s="89"/>
      <c r="B550" s="90" t="s">
        <v>246</v>
      </c>
      <c r="C550" s="89">
        <v>38600</v>
      </c>
    </row>
    <row r="551" spans="1:3">
      <c r="A551" s="89"/>
      <c r="B551" s="90" t="s">
        <v>252</v>
      </c>
      <c r="C551" s="89">
        <v>38700</v>
      </c>
    </row>
    <row r="552" spans="1:3">
      <c r="A552" s="89"/>
      <c r="B552" s="90" t="s">
        <v>57</v>
      </c>
      <c r="C552" s="89">
        <v>30104</v>
      </c>
    </row>
    <row r="553" spans="1:3">
      <c r="A553" s="89"/>
      <c r="B553" s="90" t="s">
        <v>113</v>
      </c>
      <c r="C553" s="89">
        <v>32920</v>
      </c>
    </row>
    <row r="554" spans="1:3">
      <c r="A554" s="89"/>
      <c r="B554" s="90" t="s">
        <v>254</v>
      </c>
      <c r="C554" s="89">
        <v>38800</v>
      </c>
    </row>
    <row r="555" spans="1:3">
      <c r="A555" s="89"/>
      <c r="B555" s="90" t="s">
        <v>95</v>
      </c>
      <c r="C555" s="89">
        <v>32005</v>
      </c>
    </row>
    <row r="556" spans="1:3">
      <c r="A556" s="89"/>
      <c r="B556" s="90" t="s">
        <v>271</v>
      </c>
      <c r="C556" s="89">
        <v>39501</v>
      </c>
    </row>
    <row r="557" spans="1:3">
      <c r="A557" s="89"/>
      <c r="B557" s="90" t="s">
        <v>256</v>
      </c>
      <c r="C557" s="89">
        <v>38900</v>
      </c>
    </row>
    <row r="558" spans="1:3">
      <c r="A558" s="89"/>
      <c r="B558" s="90" t="s">
        <v>41</v>
      </c>
      <c r="C558" s="89">
        <v>21200</v>
      </c>
    </row>
    <row r="559" spans="1:3">
      <c r="A559" s="89"/>
      <c r="B559" s="90" t="s">
        <v>45</v>
      </c>
      <c r="C559" s="89">
        <v>21550</v>
      </c>
    </row>
    <row r="560" spans="1:3">
      <c r="A560" s="89"/>
      <c r="B560" s="90" t="s">
        <v>43</v>
      </c>
      <c r="C560" s="89">
        <v>21520</v>
      </c>
    </row>
    <row r="561" spans="1:3">
      <c r="A561" s="89"/>
      <c r="B561" s="90" t="s">
        <v>44</v>
      </c>
      <c r="C561" s="89">
        <v>21525</v>
      </c>
    </row>
    <row r="562" spans="1:3">
      <c r="A562" s="89"/>
      <c r="B562" s="90" t="s">
        <v>257</v>
      </c>
      <c r="C562" s="89">
        <v>39000</v>
      </c>
    </row>
    <row r="563" spans="1:3">
      <c r="A563" s="89"/>
      <c r="B563" s="90" t="s">
        <v>50</v>
      </c>
      <c r="C563" s="89">
        <v>23000</v>
      </c>
    </row>
    <row r="564" spans="1:3">
      <c r="A564" s="89"/>
      <c r="B564" s="90" t="s">
        <v>51</v>
      </c>
      <c r="C564" s="89">
        <v>23100</v>
      </c>
    </row>
    <row r="565" spans="1:3">
      <c r="A565" s="89"/>
      <c r="B565" s="90" t="s">
        <v>40</v>
      </c>
      <c r="C565" s="89">
        <v>20900</v>
      </c>
    </row>
    <row r="566" spans="1:3">
      <c r="A566" s="89"/>
      <c r="B566" s="90" t="s">
        <v>52</v>
      </c>
      <c r="C566" s="89">
        <v>23200</v>
      </c>
    </row>
    <row r="567" spans="1:3">
      <c r="A567" s="89"/>
      <c r="B567" s="90" t="s">
        <v>46</v>
      </c>
      <c r="C567" s="89">
        <v>21570</v>
      </c>
    </row>
    <row r="568" spans="1:3">
      <c r="A568" s="89"/>
      <c r="B568" s="90" t="s">
        <v>223</v>
      </c>
      <c r="C568" s="89">
        <v>37601</v>
      </c>
    </row>
    <row r="569" spans="1:3">
      <c r="A569" s="89"/>
      <c r="B569" s="90" t="s">
        <v>259</v>
      </c>
      <c r="C569" s="89">
        <v>39101</v>
      </c>
    </row>
    <row r="570" spans="1:3">
      <c r="A570" s="89"/>
      <c r="B570" s="90" t="s">
        <v>258</v>
      </c>
      <c r="C570" s="89">
        <v>39100</v>
      </c>
    </row>
    <row r="571" spans="1:3">
      <c r="A571" s="89"/>
      <c r="B571" s="90" t="s">
        <v>260</v>
      </c>
      <c r="C571" s="89">
        <v>39105</v>
      </c>
    </row>
    <row r="572" spans="1:3">
      <c r="A572" s="89"/>
      <c r="B572" s="90" t="s">
        <v>122</v>
      </c>
      <c r="C572" s="89">
        <v>33204</v>
      </c>
    </row>
    <row r="573" spans="1:3">
      <c r="A573" s="89"/>
      <c r="B573" s="90" t="s">
        <v>261</v>
      </c>
      <c r="C573" s="89">
        <v>39200</v>
      </c>
    </row>
    <row r="574" spans="1:3">
      <c r="A574" s="89"/>
      <c r="B574" s="90" t="s">
        <v>264</v>
      </c>
      <c r="C574" s="89">
        <v>39205</v>
      </c>
    </row>
    <row r="575" spans="1:3">
      <c r="A575" s="89"/>
      <c r="B575" s="90" t="s">
        <v>266</v>
      </c>
      <c r="C575" s="89">
        <v>39300</v>
      </c>
    </row>
    <row r="576" spans="1:3">
      <c r="A576" s="89"/>
      <c r="B576" s="90" t="s">
        <v>268</v>
      </c>
      <c r="C576" s="89">
        <v>39400</v>
      </c>
    </row>
    <row r="577" spans="1:3">
      <c r="A577" s="89"/>
      <c r="B577" s="90" t="s">
        <v>270</v>
      </c>
      <c r="C577" s="89">
        <v>39500</v>
      </c>
    </row>
    <row r="578" spans="1:3">
      <c r="A578" s="89"/>
      <c r="B578" s="90" t="s">
        <v>273</v>
      </c>
      <c r="C578" s="89">
        <v>39605</v>
      </c>
    </row>
    <row r="579" spans="1:3">
      <c r="A579" s="89"/>
      <c r="B579" s="90" t="s">
        <v>272</v>
      </c>
      <c r="C579" s="89">
        <v>39600</v>
      </c>
    </row>
    <row r="580" spans="1:3">
      <c r="A580" s="89"/>
      <c r="B580" s="90" t="s">
        <v>143</v>
      </c>
      <c r="C580" s="89">
        <v>34230</v>
      </c>
    </row>
    <row r="581" spans="1:3">
      <c r="A581" s="89"/>
      <c r="B581" s="90" t="s">
        <v>47</v>
      </c>
      <c r="C581" s="89">
        <v>21800</v>
      </c>
    </row>
    <row r="582" spans="1:3">
      <c r="A582" s="89"/>
      <c r="B582" s="90" t="s">
        <v>79</v>
      </c>
      <c r="C582" s="89">
        <v>31205</v>
      </c>
    </row>
    <row r="583" spans="1:3">
      <c r="A583" s="89"/>
      <c r="B583" s="90" t="s">
        <v>102</v>
      </c>
      <c r="C583" s="89">
        <v>32410</v>
      </c>
    </row>
    <row r="584" spans="1:3">
      <c r="A584" s="89"/>
      <c r="B584" s="90" t="s">
        <v>13</v>
      </c>
      <c r="C584" s="89">
        <v>11600</v>
      </c>
    </row>
    <row r="585" spans="1:3">
      <c r="A585" s="89"/>
      <c r="B585" s="90" t="s">
        <v>276</v>
      </c>
      <c r="C585" s="89">
        <v>39705</v>
      </c>
    </row>
    <row r="586" spans="1:3">
      <c r="A586" s="89"/>
      <c r="B586" s="90" t="s">
        <v>274</v>
      </c>
      <c r="C586" s="89">
        <v>39700</v>
      </c>
    </row>
    <row r="587" spans="1:3">
      <c r="A587" s="89"/>
      <c r="B587" s="90" t="s">
        <v>198</v>
      </c>
      <c r="C587" s="89">
        <v>36502</v>
      </c>
    </row>
    <row r="588" spans="1:3">
      <c r="A588" s="89"/>
      <c r="B588" s="90" t="s">
        <v>278</v>
      </c>
      <c r="C588" s="89">
        <v>39805</v>
      </c>
    </row>
    <row r="589" spans="1:3">
      <c r="A589" s="89"/>
      <c r="B589" s="90" t="s">
        <v>277</v>
      </c>
      <c r="C589" s="89">
        <v>39800</v>
      </c>
    </row>
    <row r="590" spans="1:3">
      <c r="A590" s="89"/>
      <c r="B590" s="90" t="s">
        <v>48</v>
      </c>
      <c r="C590" s="89">
        <v>21900</v>
      </c>
    </row>
    <row r="591" spans="1:3">
      <c r="A591" s="89"/>
      <c r="B591" s="90" t="s">
        <v>127</v>
      </c>
      <c r="C591" s="89">
        <v>33400</v>
      </c>
    </row>
    <row r="592" spans="1:3">
      <c r="A592" s="89"/>
      <c r="B592" s="90" t="s">
        <v>279</v>
      </c>
      <c r="C592" s="89">
        <v>39900</v>
      </c>
    </row>
    <row r="593" spans="1:3">
      <c r="A593" s="89"/>
      <c r="B593" s="90" t="s">
        <v>53</v>
      </c>
      <c r="C593" s="89">
        <v>30000</v>
      </c>
    </row>
    <row r="594" spans="1:3">
      <c r="A594" s="89"/>
      <c r="B594" s="90" t="s">
        <v>203</v>
      </c>
      <c r="C594" s="89">
        <v>36701</v>
      </c>
    </row>
  </sheetData>
  <autoFilter ref="A2:U296"/>
  <sortState ref="B301:C593">
    <sortCondition ref="B301"/>
  </sortState>
  <pageMargins left="0.25" right="0.25" top="0.5" bottom="0.5" header="0.3" footer="0.3"/>
  <pageSetup paperSize="5" scale="54" fitToHeight="10" orientation="landscape" r:id="rId1"/>
  <headerFooter>
    <oddFooter>&amp;C&amp;Z&amp;F&amp;R&amp;F</oddFooter>
  </headerFooter>
  <rowBreaks count="1" manualBreakCount="1">
    <brk id="238"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0"/>
  <sheetViews>
    <sheetView workbookViewId="0"/>
  </sheetViews>
  <sheetFormatPr defaultRowHeight="15"/>
  <cols>
    <col min="1" max="1" width="15.28515625" customWidth="1"/>
    <col min="2" max="2" width="55.5703125" bestFit="1" customWidth="1"/>
    <col min="3" max="4" width="11.5703125" customWidth="1"/>
    <col min="5" max="5" width="22.5703125" customWidth="1"/>
    <col min="6" max="6" width="21.42578125" customWidth="1"/>
    <col min="7" max="7" width="18.28515625" customWidth="1"/>
    <col min="8" max="8" width="3.85546875" customWidth="1"/>
    <col min="9" max="9" width="18.28515625" customWidth="1"/>
    <col min="10" max="10" width="20" customWidth="1"/>
    <col min="11" max="11" width="14.42578125" customWidth="1"/>
    <col min="12" max="12" width="19.42578125" customWidth="1"/>
    <col min="13" max="13" width="3.85546875" customWidth="1"/>
    <col min="14" max="14" width="18.28515625" customWidth="1"/>
    <col min="15" max="15" width="20" customWidth="1"/>
    <col min="16" max="16" width="14.42578125" customWidth="1"/>
    <col min="17" max="17" width="19.42578125" customWidth="1"/>
    <col min="18" max="18" width="3.85546875" customWidth="1"/>
    <col min="19" max="19" width="13.85546875" customWidth="1"/>
    <col min="20" max="20" width="22.42578125" customWidth="1"/>
    <col min="21" max="21" width="12.42578125" customWidth="1"/>
  </cols>
  <sheetData>
    <row r="1" spans="1:21" s="5" customFormat="1">
      <c r="B1" s="6"/>
      <c r="C1" s="6"/>
      <c r="D1" s="6"/>
      <c r="E1" s="6"/>
      <c r="F1" s="6"/>
      <c r="G1" s="7"/>
      <c r="I1" s="7"/>
      <c r="J1" s="7"/>
      <c r="K1" s="7"/>
      <c r="N1" s="7"/>
      <c r="O1" s="7"/>
      <c r="P1" s="7"/>
      <c r="S1" s="7"/>
    </row>
    <row r="2" spans="1:21" s="5" customFormat="1"/>
    <row r="3" spans="1:21" s="5" customFormat="1"/>
    <row r="4" spans="1:21">
      <c r="I4" s="8" t="s">
        <v>294</v>
      </c>
      <c r="J4" s="8"/>
      <c r="K4" s="8"/>
      <c r="L4" s="8"/>
      <c r="N4" s="8" t="s">
        <v>295</v>
      </c>
      <c r="O4" s="8"/>
      <c r="P4" s="8"/>
      <c r="Q4" s="8"/>
      <c r="S4" s="8" t="s">
        <v>296</v>
      </c>
      <c r="T4" s="8"/>
      <c r="U4" s="8"/>
    </row>
    <row r="5" spans="1:21" ht="120">
      <c r="A5" s="9" t="s">
        <v>282</v>
      </c>
      <c r="B5" s="9" t="s">
        <v>283</v>
      </c>
      <c r="C5" s="9"/>
      <c r="D5" s="9"/>
      <c r="E5" s="9" t="s">
        <v>306</v>
      </c>
      <c r="F5" s="9" t="s">
        <v>305</v>
      </c>
      <c r="G5" s="9" t="s">
        <v>304</v>
      </c>
      <c r="H5" s="9"/>
      <c r="I5" s="9" t="s">
        <v>297</v>
      </c>
      <c r="J5" s="9" t="s">
        <v>298</v>
      </c>
      <c r="K5" s="9" t="s">
        <v>299</v>
      </c>
      <c r="L5" s="9" t="s">
        <v>300</v>
      </c>
      <c r="M5" s="9"/>
      <c r="N5" s="9" t="s">
        <v>297</v>
      </c>
      <c r="O5" s="9" t="s">
        <v>298</v>
      </c>
      <c r="P5" s="9" t="s">
        <v>299</v>
      </c>
      <c r="Q5" s="9" t="s">
        <v>300</v>
      </c>
      <c r="R5" s="9"/>
      <c r="S5" s="9" t="s">
        <v>301</v>
      </c>
      <c r="T5" s="9" t="s">
        <v>302</v>
      </c>
      <c r="U5" s="9" t="s">
        <v>303</v>
      </c>
    </row>
    <row r="6" spans="1:21">
      <c r="A6" s="10">
        <v>10200</v>
      </c>
      <c r="B6" s="11" t="s">
        <v>0</v>
      </c>
      <c r="C6" s="11"/>
      <c r="D6" s="11"/>
      <c r="E6" s="74">
        <v>1191112.03</v>
      </c>
      <c r="F6" s="74">
        <v>6398854.0260000005</v>
      </c>
      <c r="G6" s="12">
        <v>1300918</v>
      </c>
      <c r="H6" s="12"/>
      <c r="I6" s="13">
        <v>0</v>
      </c>
      <c r="J6" s="13">
        <v>0</v>
      </c>
      <c r="K6" s="13">
        <v>0</v>
      </c>
      <c r="L6" s="12">
        <v>185846</v>
      </c>
      <c r="M6" s="12"/>
      <c r="N6" s="13">
        <v>303237</v>
      </c>
      <c r="O6" s="13">
        <v>4395328</v>
      </c>
      <c r="P6" s="13">
        <v>0</v>
      </c>
      <c r="Q6" s="12">
        <v>0</v>
      </c>
      <c r="R6" s="12"/>
      <c r="S6" s="2">
        <v>556859</v>
      </c>
      <c r="T6" s="2">
        <v>49036</v>
      </c>
      <c r="U6" s="2">
        <f>S6+T6</f>
        <v>605895</v>
      </c>
    </row>
    <row r="7" spans="1:21">
      <c r="A7" s="10">
        <v>10400</v>
      </c>
      <c r="B7" s="11" t="s">
        <v>1</v>
      </c>
      <c r="C7" s="11"/>
      <c r="D7" s="11"/>
      <c r="E7" s="74">
        <v>5943916.7599999998</v>
      </c>
      <c r="F7" s="74">
        <v>29347305.845999997</v>
      </c>
      <c r="G7" s="12">
        <v>5593269</v>
      </c>
      <c r="H7" s="12"/>
      <c r="I7" s="13">
        <v>0</v>
      </c>
      <c r="J7" s="13">
        <v>0</v>
      </c>
      <c r="K7" s="13">
        <v>0</v>
      </c>
      <c r="L7" s="12">
        <v>0</v>
      </c>
      <c r="M7" s="12"/>
      <c r="N7" s="13">
        <v>1303761</v>
      </c>
      <c r="O7" s="13">
        <v>18897611</v>
      </c>
      <c r="P7" s="13">
        <v>0</v>
      </c>
      <c r="Q7" s="12">
        <v>2337</v>
      </c>
      <c r="R7" s="12"/>
      <c r="S7" s="2">
        <v>2394204</v>
      </c>
      <c r="T7" s="2">
        <v>-617</v>
      </c>
      <c r="U7" s="2">
        <f>S7+T7</f>
        <v>2393587</v>
      </c>
    </row>
    <row r="8" spans="1:21">
      <c r="A8" s="10">
        <v>10500</v>
      </c>
      <c r="B8" s="11" t="s">
        <v>2</v>
      </c>
      <c r="C8" s="11"/>
      <c r="D8" s="11"/>
      <c r="E8" s="74">
        <v>897285.68</v>
      </c>
      <c r="F8" s="74">
        <v>4601832.4019999998</v>
      </c>
      <c r="G8" s="12">
        <v>849067</v>
      </c>
      <c r="H8" s="12"/>
      <c r="I8" s="13">
        <v>0</v>
      </c>
      <c r="J8" s="13">
        <v>0</v>
      </c>
      <c r="K8" s="13">
        <v>0</v>
      </c>
      <c r="L8" s="12">
        <v>0</v>
      </c>
      <c r="M8" s="12"/>
      <c r="N8" s="13">
        <v>197913</v>
      </c>
      <c r="O8" s="13">
        <v>2868688</v>
      </c>
      <c r="P8" s="13">
        <v>0</v>
      </c>
      <c r="Q8" s="12">
        <v>120522</v>
      </c>
      <c r="R8" s="12"/>
      <c r="S8" s="2">
        <v>363444</v>
      </c>
      <c r="T8" s="2">
        <v>-31800</v>
      </c>
      <c r="U8" s="2">
        <f t="shared" ref="U8:U71" si="0">S8+T8</f>
        <v>331644</v>
      </c>
    </row>
    <row r="9" spans="1:21">
      <c r="A9" s="10">
        <v>10700</v>
      </c>
      <c r="B9" s="11" t="s">
        <v>3</v>
      </c>
      <c r="C9" s="11"/>
      <c r="D9" s="11"/>
      <c r="E9" s="74">
        <v>2577878.0499999998</v>
      </c>
      <c r="F9" s="74">
        <v>11692782.594000001</v>
      </c>
      <c r="G9" s="12">
        <v>2233110</v>
      </c>
      <c r="H9" s="12"/>
      <c r="I9" s="13">
        <v>0</v>
      </c>
      <c r="J9" s="13">
        <v>0</v>
      </c>
      <c r="K9" s="13">
        <v>0</v>
      </c>
      <c r="L9" s="12">
        <v>180171</v>
      </c>
      <c r="M9" s="12"/>
      <c r="N9" s="13">
        <v>520526</v>
      </c>
      <c r="O9" s="13">
        <v>7544863</v>
      </c>
      <c r="P9" s="13">
        <v>0</v>
      </c>
      <c r="Q9" s="12">
        <v>0</v>
      </c>
      <c r="R9" s="12"/>
      <c r="S9" s="2">
        <v>955885</v>
      </c>
      <c r="T9" s="2">
        <v>47539</v>
      </c>
      <c r="U9" s="2">
        <f t="shared" si="0"/>
        <v>1003424</v>
      </c>
    </row>
    <row r="10" spans="1:21">
      <c r="A10" s="10">
        <v>10800</v>
      </c>
      <c r="B10" s="11" t="s">
        <v>4</v>
      </c>
      <c r="C10" s="11"/>
      <c r="D10" s="11"/>
      <c r="E10" s="74">
        <v>23828627.510000002</v>
      </c>
      <c r="F10" s="74">
        <v>120667573.64400001</v>
      </c>
      <c r="G10" s="12">
        <v>23225777</v>
      </c>
      <c r="H10" s="12"/>
      <c r="I10" s="13">
        <v>0</v>
      </c>
      <c r="J10" s="13">
        <v>0</v>
      </c>
      <c r="K10" s="13">
        <v>0</v>
      </c>
      <c r="L10" s="12">
        <v>261286</v>
      </c>
      <c r="M10" s="12"/>
      <c r="N10" s="13">
        <v>5413803</v>
      </c>
      <c r="O10" s="13">
        <v>78471412</v>
      </c>
      <c r="P10" s="13">
        <v>0</v>
      </c>
      <c r="Q10" s="12">
        <v>0</v>
      </c>
      <c r="R10" s="12"/>
      <c r="S10" s="2">
        <v>9941818</v>
      </c>
      <c r="T10" s="2">
        <v>68941</v>
      </c>
      <c r="U10" s="2">
        <f t="shared" si="0"/>
        <v>10010759</v>
      </c>
    </row>
    <row r="11" spans="1:21">
      <c r="A11" s="10">
        <v>10850</v>
      </c>
      <c r="B11" s="11" t="s">
        <v>5</v>
      </c>
      <c r="C11" s="11"/>
      <c r="D11" s="11"/>
      <c r="E11" s="74">
        <v>233335.38</v>
      </c>
      <c r="F11" s="74">
        <v>607101.9</v>
      </c>
      <c r="G11" s="12">
        <v>140456</v>
      </c>
      <c r="H11" s="12"/>
      <c r="I11" s="13">
        <v>0</v>
      </c>
      <c r="J11" s="13">
        <v>0</v>
      </c>
      <c r="K11" s="13">
        <v>0</v>
      </c>
      <c r="L11" s="12">
        <v>169210</v>
      </c>
      <c r="M11" s="12"/>
      <c r="N11" s="13">
        <v>32740</v>
      </c>
      <c r="O11" s="13">
        <v>474550</v>
      </c>
      <c r="P11" s="13">
        <v>0</v>
      </c>
      <c r="Q11" s="12">
        <v>0</v>
      </c>
      <c r="R11" s="12"/>
      <c r="S11" s="2">
        <v>60122</v>
      </c>
      <c r="T11" s="2">
        <v>44646</v>
      </c>
      <c r="U11" s="2">
        <f t="shared" si="0"/>
        <v>104768</v>
      </c>
    </row>
    <row r="12" spans="1:21">
      <c r="A12" s="10">
        <v>10900</v>
      </c>
      <c r="B12" s="11" t="s">
        <v>6</v>
      </c>
      <c r="C12" s="11"/>
      <c r="D12" s="11"/>
      <c r="E12" s="74">
        <v>2802336.28</v>
      </c>
      <c r="F12" s="74">
        <v>10800342.800999999</v>
      </c>
      <c r="G12" s="12">
        <v>2176482</v>
      </c>
      <c r="H12" s="12"/>
      <c r="I12" s="13">
        <v>0</v>
      </c>
      <c r="J12" s="13">
        <v>0</v>
      </c>
      <c r="K12" s="13">
        <v>0</v>
      </c>
      <c r="L12" s="12">
        <v>876443</v>
      </c>
      <c r="M12" s="12"/>
      <c r="N12" s="13">
        <v>507326</v>
      </c>
      <c r="O12" s="13">
        <v>7353538</v>
      </c>
      <c r="P12" s="13">
        <v>0</v>
      </c>
      <c r="Q12" s="12">
        <v>0</v>
      </c>
      <c r="R12" s="12"/>
      <c r="S12" s="2">
        <v>931645</v>
      </c>
      <c r="T12" s="2">
        <v>231252</v>
      </c>
      <c r="U12" s="2">
        <f t="shared" si="0"/>
        <v>1162897</v>
      </c>
    </row>
    <row r="13" spans="1:21">
      <c r="A13" s="10">
        <v>10910</v>
      </c>
      <c r="B13" s="11" t="s">
        <v>7</v>
      </c>
      <c r="C13" s="11"/>
      <c r="D13" s="11"/>
      <c r="E13" s="74">
        <v>380946.21</v>
      </c>
      <c r="F13" s="74">
        <v>1924513.023</v>
      </c>
      <c r="G13" s="12">
        <v>349030</v>
      </c>
      <c r="H13" s="12"/>
      <c r="I13" s="13">
        <v>0</v>
      </c>
      <c r="J13" s="13">
        <v>0</v>
      </c>
      <c r="K13" s="13">
        <v>0</v>
      </c>
      <c r="L13" s="12">
        <v>0</v>
      </c>
      <c r="M13" s="12"/>
      <c r="N13" s="13">
        <v>81357</v>
      </c>
      <c r="O13" s="13">
        <v>1179244</v>
      </c>
      <c r="P13" s="13">
        <v>0</v>
      </c>
      <c r="Q13" s="12">
        <v>65940</v>
      </c>
      <c r="R13" s="12"/>
      <c r="S13" s="2">
        <v>149403</v>
      </c>
      <c r="T13" s="2">
        <v>-17398</v>
      </c>
      <c r="U13" s="2">
        <f t="shared" si="0"/>
        <v>132005</v>
      </c>
    </row>
    <row r="14" spans="1:21">
      <c r="A14" s="10">
        <v>10930</v>
      </c>
      <c r="B14" s="11" t="s">
        <v>8</v>
      </c>
      <c r="C14" s="11"/>
      <c r="D14" s="11"/>
      <c r="E14" s="74">
        <v>3283859.09</v>
      </c>
      <c r="F14" s="74">
        <v>15523595.582999999</v>
      </c>
      <c r="G14" s="12">
        <v>2836204</v>
      </c>
      <c r="H14" s="12"/>
      <c r="I14" s="13">
        <v>0</v>
      </c>
      <c r="J14" s="13">
        <v>0</v>
      </c>
      <c r="K14" s="13">
        <v>0</v>
      </c>
      <c r="L14" s="12">
        <v>0</v>
      </c>
      <c r="M14" s="12"/>
      <c r="N14" s="13">
        <v>661104</v>
      </c>
      <c r="O14" s="13">
        <v>9582495</v>
      </c>
      <c r="P14" s="13">
        <v>0</v>
      </c>
      <c r="Q14" s="12">
        <v>295900</v>
      </c>
      <c r="R14" s="12"/>
      <c r="S14" s="2">
        <v>1214040</v>
      </c>
      <c r="T14" s="2">
        <v>-78074</v>
      </c>
      <c r="U14" s="2">
        <f t="shared" si="0"/>
        <v>1135966</v>
      </c>
    </row>
    <row r="15" spans="1:21">
      <c r="A15" s="10">
        <v>10940</v>
      </c>
      <c r="B15" s="11" t="s">
        <v>9</v>
      </c>
      <c r="C15" s="11"/>
      <c r="D15" s="11"/>
      <c r="E15" s="74">
        <v>1138574.21</v>
      </c>
      <c r="F15" s="74">
        <v>5403206.9100000001</v>
      </c>
      <c r="G15" s="12">
        <v>1001248</v>
      </c>
      <c r="H15" s="12"/>
      <c r="I15" s="13">
        <v>0</v>
      </c>
      <c r="J15" s="13">
        <v>0</v>
      </c>
      <c r="K15" s="13">
        <v>0</v>
      </c>
      <c r="L15" s="12">
        <v>0</v>
      </c>
      <c r="M15" s="12"/>
      <c r="N15" s="13">
        <v>233385</v>
      </c>
      <c r="O15" s="13">
        <v>3382849</v>
      </c>
      <c r="P15" s="13">
        <v>0</v>
      </c>
      <c r="Q15" s="12">
        <v>59924</v>
      </c>
      <c r="R15" s="12"/>
      <c r="S15" s="2">
        <v>428585</v>
      </c>
      <c r="T15" s="2">
        <v>-15811</v>
      </c>
      <c r="U15" s="2">
        <f t="shared" si="0"/>
        <v>412774</v>
      </c>
    </row>
    <row r="16" spans="1:21">
      <c r="A16" s="10">
        <v>10950</v>
      </c>
      <c r="B16" s="11" t="s">
        <v>10</v>
      </c>
      <c r="C16" s="11"/>
      <c r="D16" s="11"/>
      <c r="E16" s="74">
        <v>869291.26</v>
      </c>
      <c r="F16" s="74">
        <v>3849026.0460000001</v>
      </c>
      <c r="G16" s="12">
        <v>783646</v>
      </c>
      <c r="H16" s="12"/>
      <c r="I16" s="13">
        <v>0</v>
      </c>
      <c r="J16" s="13">
        <v>0</v>
      </c>
      <c r="K16" s="13">
        <v>0</v>
      </c>
      <c r="L16" s="12">
        <v>236411</v>
      </c>
      <c r="M16" s="12"/>
      <c r="N16" s="13">
        <v>182664</v>
      </c>
      <c r="O16" s="13">
        <v>2647654</v>
      </c>
      <c r="P16" s="13">
        <v>0</v>
      </c>
      <c r="Q16" s="12">
        <v>0</v>
      </c>
      <c r="R16" s="12"/>
      <c r="S16" s="2">
        <v>335441</v>
      </c>
      <c r="T16" s="2">
        <v>62378</v>
      </c>
      <c r="U16" s="2">
        <f t="shared" si="0"/>
        <v>397819</v>
      </c>
    </row>
    <row r="17" spans="1:21">
      <c r="A17" s="10">
        <v>11300</v>
      </c>
      <c r="B17" s="11" t="s">
        <v>11</v>
      </c>
      <c r="C17" s="11"/>
      <c r="D17" s="11"/>
      <c r="E17" s="74">
        <v>10703674.85</v>
      </c>
      <c r="F17" s="74">
        <v>52860362.432999998</v>
      </c>
      <c r="G17" s="12">
        <v>9989144</v>
      </c>
      <c r="H17" s="12"/>
      <c r="I17" s="13">
        <v>0</v>
      </c>
      <c r="J17" s="13">
        <v>0</v>
      </c>
      <c r="K17" s="13">
        <v>0</v>
      </c>
      <c r="L17" s="12">
        <v>0</v>
      </c>
      <c r="M17" s="12"/>
      <c r="N17" s="13">
        <v>2328416</v>
      </c>
      <c r="O17" s="13">
        <v>33749667</v>
      </c>
      <c r="P17" s="13">
        <v>0</v>
      </c>
      <c r="Q17" s="12">
        <v>289057</v>
      </c>
      <c r="R17" s="12"/>
      <c r="S17" s="2">
        <v>4275863</v>
      </c>
      <c r="T17" s="2">
        <v>-76268</v>
      </c>
      <c r="U17" s="2">
        <f t="shared" si="0"/>
        <v>4199595</v>
      </c>
    </row>
    <row r="18" spans="1:21">
      <c r="A18" s="10">
        <v>11310</v>
      </c>
      <c r="B18" s="11" t="s">
        <v>12</v>
      </c>
      <c r="C18" s="11"/>
      <c r="D18" s="11"/>
      <c r="E18" s="74">
        <v>667704.12</v>
      </c>
      <c r="F18" s="74">
        <v>3163000.8989999997</v>
      </c>
      <c r="G18" s="12">
        <v>605673</v>
      </c>
      <c r="H18" s="12"/>
      <c r="I18" s="13">
        <v>0</v>
      </c>
      <c r="J18" s="13">
        <v>0</v>
      </c>
      <c r="K18" s="13">
        <v>0</v>
      </c>
      <c r="L18" s="12">
        <v>30575</v>
      </c>
      <c r="M18" s="12"/>
      <c r="N18" s="13">
        <v>141179</v>
      </c>
      <c r="O18" s="13">
        <v>2046347</v>
      </c>
      <c r="P18" s="13">
        <v>0</v>
      </c>
      <c r="Q18" s="12">
        <v>0</v>
      </c>
      <c r="R18" s="12"/>
      <c r="S18" s="2">
        <v>259259</v>
      </c>
      <c r="T18" s="2">
        <v>8067</v>
      </c>
      <c r="U18" s="2">
        <f t="shared" si="0"/>
        <v>267326</v>
      </c>
    </row>
    <row r="19" spans="1:21">
      <c r="A19" s="10">
        <v>11600</v>
      </c>
      <c r="B19" s="11" t="s">
        <v>13</v>
      </c>
      <c r="C19" s="11"/>
      <c r="D19" s="11"/>
      <c r="E19" s="74">
        <v>2508514.5699999998</v>
      </c>
      <c r="F19" s="74">
        <v>13143756.135</v>
      </c>
      <c r="G19" s="12">
        <v>2605119</v>
      </c>
      <c r="H19" s="12"/>
      <c r="I19" s="13">
        <v>0</v>
      </c>
      <c r="J19" s="13">
        <v>0</v>
      </c>
      <c r="K19" s="13">
        <v>0</v>
      </c>
      <c r="L19" s="12">
        <v>208679</v>
      </c>
      <c r="M19" s="12"/>
      <c r="N19" s="13">
        <v>607239</v>
      </c>
      <c r="O19" s="13">
        <v>8801746</v>
      </c>
      <c r="P19" s="13">
        <v>0</v>
      </c>
      <c r="Q19" s="12">
        <v>0</v>
      </c>
      <c r="R19" s="12"/>
      <c r="S19" s="2">
        <v>1115124</v>
      </c>
      <c r="T19" s="2">
        <v>55060</v>
      </c>
      <c r="U19" s="2">
        <f t="shared" si="0"/>
        <v>1170184</v>
      </c>
    </row>
    <row r="20" spans="1:21">
      <c r="A20" s="10">
        <v>11900</v>
      </c>
      <c r="B20" s="11" t="s">
        <v>14</v>
      </c>
      <c r="C20" s="11"/>
      <c r="D20" s="11"/>
      <c r="E20" s="74">
        <v>234687.81</v>
      </c>
      <c r="F20" s="74">
        <v>1396334.37</v>
      </c>
      <c r="G20" s="12">
        <v>259574</v>
      </c>
      <c r="H20" s="12"/>
      <c r="I20" s="13">
        <v>0</v>
      </c>
      <c r="J20" s="13">
        <v>0</v>
      </c>
      <c r="K20" s="13">
        <v>0</v>
      </c>
      <c r="L20" s="12">
        <v>0</v>
      </c>
      <c r="M20" s="12"/>
      <c r="N20" s="13">
        <v>60505</v>
      </c>
      <c r="O20" s="13">
        <v>877006</v>
      </c>
      <c r="P20" s="13">
        <v>0</v>
      </c>
      <c r="Q20" s="12">
        <v>59874</v>
      </c>
      <c r="R20" s="12"/>
      <c r="S20" s="2">
        <v>111111</v>
      </c>
      <c r="T20" s="2">
        <v>-15798</v>
      </c>
      <c r="U20" s="2">
        <f t="shared" si="0"/>
        <v>95313</v>
      </c>
    </row>
    <row r="21" spans="1:21">
      <c r="A21" s="10">
        <v>12100</v>
      </c>
      <c r="B21" s="11" t="s">
        <v>15</v>
      </c>
      <c r="C21" s="11"/>
      <c r="D21" s="11"/>
      <c r="E21" s="74">
        <v>341123.79</v>
      </c>
      <c r="F21" s="74">
        <v>1244558.895</v>
      </c>
      <c r="G21" s="12">
        <v>295333</v>
      </c>
      <c r="H21" s="12"/>
      <c r="I21" s="13">
        <v>0</v>
      </c>
      <c r="J21" s="13">
        <v>0</v>
      </c>
      <c r="K21" s="13">
        <v>0</v>
      </c>
      <c r="L21" s="12">
        <v>262802</v>
      </c>
      <c r="M21" s="12"/>
      <c r="N21" s="13">
        <v>68840</v>
      </c>
      <c r="O21" s="13">
        <v>997822</v>
      </c>
      <c r="P21" s="13">
        <v>0</v>
      </c>
      <c r="Q21" s="12">
        <v>0</v>
      </c>
      <c r="R21" s="12"/>
      <c r="S21" s="2">
        <v>126418</v>
      </c>
      <c r="T21" s="2">
        <v>69341</v>
      </c>
      <c r="U21" s="2">
        <f t="shared" si="0"/>
        <v>195759</v>
      </c>
    </row>
    <row r="22" spans="1:21">
      <c r="A22" s="10">
        <v>12150</v>
      </c>
      <c r="B22" s="11" t="s">
        <v>16</v>
      </c>
      <c r="C22" s="11"/>
      <c r="D22" s="11"/>
      <c r="E22" s="74">
        <v>37475.1</v>
      </c>
      <c r="F22" s="74">
        <v>188201.58900000001</v>
      </c>
      <c r="G22" s="12">
        <v>39511</v>
      </c>
      <c r="H22" s="12"/>
      <c r="I22" s="13">
        <v>0</v>
      </c>
      <c r="J22" s="13">
        <v>0</v>
      </c>
      <c r="K22" s="13">
        <v>0</v>
      </c>
      <c r="L22" s="12">
        <v>11531</v>
      </c>
      <c r="M22" s="12"/>
      <c r="N22" s="13">
        <v>9210</v>
      </c>
      <c r="O22" s="13">
        <v>133492</v>
      </c>
      <c r="P22" s="13">
        <v>0</v>
      </c>
      <c r="Q22" s="12">
        <v>0</v>
      </c>
      <c r="R22" s="12"/>
      <c r="S22" s="2">
        <v>16913</v>
      </c>
      <c r="T22" s="2">
        <v>3042</v>
      </c>
      <c r="U22" s="2">
        <f t="shared" si="0"/>
        <v>19955</v>
      </c>
    </row>
    <row r="23" spans="1:21">
      <c r="A23" s="10">
        <v>12160</v>
      </c>
      <c r="B23" s="11" t="s">
        <v>17</v>
      </c>
      <c r="C23" s="11"/>
      <c r="D23" s="11"/>
      <c r="E23" s="74">
        <v>2440409.1800000002</v>
      </c>
      <c r="F23" s="74">
        <v>10490720.832</v>
      </c>
      <c r="G23" s="12">
        <v>2165813</v>
      </c>
      <c r="H23" s="12"/>
      <c r="I23" s="13">
        <v>0</v>
      </c>
      <c r="J23" s="13">
        <v>0</v>
      </c>
      <c r="K23" s="13">
        <v>0</v>
      </c>
      <c r="L23" s="12">
        <v>799741</v>
      </c>
      <c r="M23" s="12"/>
      <c r="N23" s="13">
        <v>504839</v>
      </c>
      <c r="O23" s="13">
        <v>7317492</v>
      </c>
      <c r="P23" s="13">
        <v>0</v>
      </c>
      <c r="Q23" s="12">
        <v>0</v>
      </c>
      <c r="R23" s="12"/>
      <c r="S23" s="2">
        <v>927079</v>
      </c>
      <c r="T23" s="2">
        <v>211013</v>
      </c>
      <c r="U23" s="2">
        <f t="shared" si="0"/>
        <v>1138092</v>
      </c>
    </row>
    <row r="24" spans="1:21">
      <c r="A24" s="10">
        <v>12220</v>
      </c>
      <c r="B24" s="11" t="s">
        <v>18</v>
      </c>
      <c r="C24" s="11"/>
      <c r="D24" s="11"/>
      <c r="E24" s="74">
        <v>62594066.100000001</v>
      </c>
      <c r="F24" s="74">
        <v>301219678.704</v>
      </c>
      <c r="G24" s="12">
        <v>57701520</v>
      </c>
      <c r="H24" s="12"/>
      <c r="I24" s="13">
        <v>0</v>
      </c>
      <c r="J24" s="13">
        <v>0</v>
      </c>
      <c r="K24" s="13">
        <v>0</v>
      </c>
      <c r="L24" s="7">
        <v>2198807</v>
      </c>
      <c r="M24" s="7"/>
      <c r="N24" s="75">
        <v>13449913</v>
      </c>
      <c r="O24" s="75">
        <v>194952345</v>
      </c>
      <c r="P24" s="75">
        <v>0</v>
      </c>
      <c r="Q24" s="7">
        <v>0</v>
      </c>
      <c r="R24" s="12"/>
      <c r="S24" s="2">
        <v>24699194</v>
      </c>
      <c r="T24" s="2">
        <v>580161</v>
      </c>
      <c r="U24" s="2">
        <v>25279355</v>
      </c>
    </row>
    <row r="25" spans="1:21">
      <c r="A25" s="10">
        <v>12510</v>
      </c>
      <c r="B25" s="11" t="s">
        <v>19</v>
      </c>
      <c r="C25" s="11"/>
      <c r="D25" s="11"/>
      <c r="E25" s="74">
        <v>9042105.9199999999</v>
      </c>
      <c r="F25" s="74">
        <v>39698393.240999997</v>
      </c>
      <c r="G25" s="12">
        <v>7430804</v>
      </c>
      <c r="H25" s="12"/>
      <c r="I25" s="13">
        <v>0</v>
      </c>
      <c r="J25" s="13">
        <v>0</v>
      </c>
      <c r="K25" s="13">
        <v>0</v>
      </c>
      <c r="L25" s="12">
        <v>341658</v>
      </c>
      <c r="M25" s="12"/>
      <c r="N25" s="13">
        <v>1732080</v>
      </c>
      <c r="O25" s="13">
        <v>25105972</v>
      </c>
      <c r="P25" s="13">
        <v>0</v>
      </c>
      <c r="Q25" s="12">
        <v>0</v>
      </c>
      <c r="R25" s="12"/>
      <c r="S25" s="2">
        <v>3180763</v>
      </c>
      <c r="T25" s="2">
        <v>90147</v>
      </c>
      <c r="U25" s="2">
        <f t="shared" si="0"/>
        <v>3270910</v>
      </c>
    </row>
    <row r="26" spans="1:21">
      <c r="A26" s="10">
        <v>12600</v>
      </c>
      <c r="B26" s="11" t="s">
        <v>20</v>
      </c>
      <c r="C26" s="11"/>
      <c r="D26" s="11"/>
      <c r="E26" s="74">
        <v>2158502.42</v>
      </c>
      <c r="F26" s="74">
        <v>9956471.1600000001</v>
      </c>
      <c r="G26" s="12">
        <v>1843280</v>
      </c>
      <c r="H26" s="12"/>
      <c r="I26" s="13">
        <v>0</v>
      </c>
      <c r="J26" s="13">
        <v>0</v>
      </c>
      <c r="K26" s="13">
        <v>0</v>
      </c>
      <c r="L26" s="12">
        <v>0</v>
      </c>
      <c r="M26" s="12"/>
      <c r="N26" s="13">
        <v>429659</v>
      </c>
      <c r="O26" s="13">
        <v>6227770</v>
      </c>
      <c r="P26" s="13">
        <v>0</v>
      </c>
      <c r="Q26" s="12">
        <v>68266</v>
      </c>
      <c r="R26" s="12"/>
      <c r="S26" s="2">
        <v>789018</v>
      </c>
      <c r="T26" s="2">
        <v>-18012</v>
      </c>
      <c r="U26" s="2">
        <f t="shared" si="0"/>
        <v>771006</v>
      </c>
    </row>
    <row r="27" spans="1:21">
      <c r="A27" s="10">
        <v>12700</v>
      </c>
      <c r="B27" s="11" t="s">
        <v>21</v>
      </c>
      <c r="C27" s="11"/>
      <c r="D27" s="11"/>
      <c r="E27" s="74">
        <v>1674505.89</v>
      </c>
      <c r="F27" s="74">
        <v>7764833.301</v>
      </c>
      <c r="G27" s="12">
        <v>1451340</v>
      </c>
      <c r="H27" s="12"/>
      <c r="I27" s="13">
        <v>0</v>
      </c>
      <c r="J27" s="13">
        <v>0</v>
      </c>
      <c r="K27" s="13">
        <v>0</v>
      </c>
      <c r="L27" s="12">
        <v>0</v>
      </c>
      <c r="M27" s="12"/>
      <c r="N27" s="13">
        <v>338300</v>
      </c>
      <c r="O27" s="13">
        <v>4903547</v>
      </c>
      <c r="P27" s="13">
        <v>0</v>
      </c>
      <c r="Q27" s="12">
        <v>14549</v>
      </c>
      <c r="R27" s="12"/>
      <c r="S27" s="2">
        <v>621248</v>
      </c>
      <c r="T27" s="2">
        <v>-3839</v>
      </c>
      <c r="U27" s="2">
        <f t="shared" si="0"/>
        <v>617409</v>
      </c>
    </row>
    <row r="28" spans="1:21">
      <c r="A28" s="10">
        <v>13500</v>
      </c>
      <c r="B28" s="11" t="s">
        <v>22</v>
      </c>
      <c r="C28" s="11"/>
      <c r="D28" s="11"/>
      <c r="E28" s="74">
        <v>5344981.96</v>
      </c>
      <c r="F28" s="74">
        <v>25923251.130000003</v>
      </c>
      <c r="G28" s="12">
        <v>4975637</v>
      </c>
      <c r="H28" s="12"/>
      <c r="I28" s="13">
        <v>0</v>
      </c>
      <c r="J28" s="13">
        <v>0</v>
      </c>
      <c r="K28" s="13">
        <v>0</v>
      </c>
      <c r="L28" s="12">
        <v>188468</v>
      </c>
      <c r="M28" s="12"/>
      <c r="N28" s="13">
        <v>1159794</v>
      </c>
      <c r="O28" s="13">
        <v>16810860</v>
      </c>
      <c r="P28" s="13">
        <v>0</v>
      </c>
      <c r="Q28" s="12">
        <v>0</v>
      </c>
      <c r="R28" s="12"/>
      <c r="S28" s="2">
        <v>2129827</v>
      </c>
      <c r="T28" s="2">
        <v>49728</v>
      </c>
      <c r="U28" s="2">
        <f t="shared" si="0"/>
        <v>2179555</v>
      </c>
    </row>
    <row r="29" spans="1:21">
      <c r="A29" s="10">
        <v>13700</v>
      </c>
      <c r="B29" s="11" t="s">
        <v>23</v>
      </c>
      <c r="C29" s="11"/>
      <c r="D29" s="11"/>
      <c r="E29" s="74">
        <v>738363.86</v>
      </c>
      <c r="F29" s="74">
        <v>3515120.0009999997</v>
      </c>
      <c r="G29" s="12">
        <v>675314</v>
      </c>
      <c r="H29" s="12"/>
      <c r="I29" s="13">
        <v>0</v>
      </c>
      <c r="J29" s="13">
        <v>0</v>
      </c>
      <c r="K29" s="13">
        <v>0</v>
      </c>
      <c r="L29" s="12">
        <v>38408</v>
      </c>
      <c r="M29" s="12"/>
      <c r="N29" s="13">
        <v>157412</v>
      </c>
      <c r="O29" s="13">
        <v>2281641</v>
      </c>
      <c r="P29" s="13">
        <v>0</v>
      </c>
      <c r="Q29" s="12">
        <v>0</v>
      </c>
      <c r="R29" s="12"/>
      <c r="S29" s="2">
        <v>289069</v>
      </c>
      <c r="T29" s="2">
        <v>10134</v>
      </c>
      <c r="U29" s="2">
        <f t="shared" si="0"/>
        <v>299203</v>
      </c>
    </row>
    <row r="30" spans="1:21">
      <c r="A30" s="10">
        <v>14200</v>
      </c>
      <c r="B30" s="11" t="s">
        <v>284</v>
      </c>
      <c r="C30" s="11"/>
      <c r="D30" s="11"/>
      <c r="E30" s="74"/>
      <c r="F30" s="74">
        <v>12142.037999999999</v>
      </c>
      <c r="G30" s="12">
        <v>0</v>
      </c>
      <c r="H30" s="12"/>
      <c r="I30" s="13">
        <v>0</v>
      </c>
      <c r="J30" s="13">
        <v>0</v>
      </c>
      <c r="K30" s="13">
        <v>0</v>
      </c>
      <c r="L30" s="12">
        <v>0</v>
      </c>
      <c r="M30" s="12"/>
      <c r="N30" s="13">
        <v>0</v>
      </c>
      <c r="O30" s="13">
        <v>0</v>
      </c>
      <c r="P30" s="13">
        <v>0</v>
      </c>
      <c r="Q30" s="12">
        <v>9607</v>
      </c>
      <c r="R30" s="12"/>
      <c r="S30" s="2">
        <v>0</v>
      </c>
      <c r="T30" s="2">
        <v>-2535</v>
      </c>
      <c r="U30" s="2">
        <f t="shared" si="0"/>
        <v>-2535</v>
      </c>
    </row>
    <row r="31" spans="1:21">
      <c r="A31" s="10">
        <v>14300</v>
      </c>
      <c r="B31" s="11" t="s">
        <v>24</v>
      </c>
      <c r="C31" s="11"/>
      <c r="D31" s="11"/>
      <c r="E31" s="74">
        <v>1818266.09</v>
      </c>
      <c r="F31" s="74">
        <v>9489002.6969999988</v>
      </c>
      <c r="G31" s="12">
        <v>1810453</v>
      </c>
      <c r="H31" s="12"/>
      <c r="I31" s="13">
        <v>0</v>
      </c>
      <c r="J31" s="13">
        <v>0</v>
      </c>
      <c r="K31" s="13">
        <v>0</v>
      </c>
      <c r="L31" s="12">
        <v>0</v>
      </c>
      <c r="M31" s="12"/>
      <c r="N31" s="13">
        <v>422007</v>
      </c>
      <c r="O31" s="13">
        <v>6116857</v>
      </c>
      <c r="P31" s="13">
        <v>0</v>
      </c>
      <c r="Q31" s="12">
        <v>76264</v>
      </c>
      <c r="R31" s="12"/>
      <c r="S31" s="2">
        <v>774966</v>
      </c>
      <c r="T31" s="2">
        <v>-20122</v>
      </c>
      <c r="U31" s="2">
        <f t="shared" si="0"/>
        <v>754844</v>
      </c>
    </row>
    <row r="32" spans="1:21">
      <c r="A32" s="10">
        <v>18400</v>
      </c>
      <c r="B32" s="11" t="s">
        <v>25</v>
      </c>
      <c r="C32" s="11"/>
      <c r="D32" s="11"/>
      <c r="E32" s="74">
        <v>7326211.8499999996</v>
      </c>
      <c r="F32" s="74">
        <v>34428748.748999998</v>
      </c>
      <c r="G32" s="12">
        <v>6726297</v>
      </c>
      <c r="H32" s="12"/>
      <c r="I32" s="13">
        <v>0</v>
      </c>
      <c r="J32" s="13">
        <v>0</v>
      </c>
      <c r="K32" s="13">
        <v>0</v>
      </c>
      <c r="L32" s="12">
        <v>821395</v>
      </c>
      <c r="M32" s="12"/>
      <c r="N32" s="13">
        <v>1567863</v>
      </c>
      <c r="O32" s="13">
        <v>22725697</v>
      </c>
      <c r="P32" s="13">
        <v>0</v>
      </c>
      <c r="Q32" s="12">
        <v>0</v>
      </c>
      <c r="R32" s="12"/>
      <c r="S32" s="2">
        <v>2879198</v>
      </c>
      <c r="T32" s="2">
        <v>216727</v>
      </c>
      <c r="U32" s="2">
        <f t="shared" si="0"/>
        <v>3095925</v>
      </c>
    </row>
    <row r="33" spans="1:21">
      <c r="A33" s="10">
        <v>18600</v>
      </c>
      <c r="B33" s="11" t="s">
        <v>26</v>
      </c>
      <c r="C33" s="11"/>
      <c r="D33" s="11"/>
      <c r="E33" s="74">
        <v>33688.57</v>
      </c>
      <c r="F33" s="74">
        <v>145704.45600000001</v>
      </c>
      <c r="G33" s="12">
        <v>28607</v>
      </c>
      <c r="H33" s="12"/>
      <c r="I33" s="13">
        <v>0</v>
      </c>
      <c r="J33" s="13">
        <v>0</v>
      </c>
      <c r="K33" s="13">
        <v>0</v>
      </c>
      <c r="L33" s="12">
        <v>6066</v>
      </c>
      <c r="M33" s="12"/>
      <c r="N33" s="13">
        <v>6668</v>
      </c>
      <c r="O33" s="13">
        <v>96653</v>
      </c>
      <c r="P33" s="13">
        <v>0</v>
      </c>
      <c r="Q33" s="12">
        <v>0</v>
      </c>
      <c r="R33" s="12"/>
      <c r="S33" s="2">
        <v>12245</v>
      </c>
      <c r="T33" s="2">
        <v>1601</v>
      </c>
      <c r="U33" s="2">
        <f t="shared" si="0"/>
        <v>13846</v>
      </c>
    </row>
    <row r="34" spans="1:21">
      <c r="A34" s="10">
        <v>18640</v>
      </c>
      <c r="B34" s="11" t="s">
        <v>27</v>
      </c>
      <c r="C34" s="11"/>
      <c r="D34" s="11"/>
      <c r="E34" s="74">
        <v>2775.41</v>
      </c>
      <c r="F34" s="74">
        <v>24284.075999999997</v>
      </c>
      <c r="G34" s="12">
        <v>2110</v>
      </c>
      <c r="H34" s="12"/>
      <c r="I34" s="13">
        <v>0</v>
      </c>
      <c r="J34" s="13">
        <v>0</v>
      </c>
      <c r="K34" s="13">
        <v>0</v>
      </c>
      <c r="L34" s="12">
        <v>0</v>
      </c>
      <c r="M34" s="12"/>
      <c r="N34" s="13">
        <v>492</v>
      </c>
      <c r="O34" s="13">
        <v>7130</v>
      </c>
      <c r="P34" s="13">
        <v>0</v>
      </c>
      <c r="Q34" s="12">
        <v>10033</v>
      </c>
      <c r="R34" s="12"/>
      <c r="S34" s="2">
        <v>903</v>
      </c>
      <c r="T34" s="2">
        <v>-2647</v>
      </c>
      <c r="U34" s="2">
        <f t="shared" si="0"/>
        <v>-1744</v>
      </c>
    </row>
    <row r="35" spans="1:21">
      <c r="A35" s="10">
        <v>18670</v>
      </c>
      <c r="B35" s="11" t="s">
        <v>285</v>
      </c>
      <c r="C35" s="11"/>
      <c r="D35" s="11"/>
      <c r="E35" s="74"/>
      <c r="F35" s="74">
        <v>24284.075999999997</v>
      </c>
      <c r="G35" s="12">
        <v>4103</v>
      </c>
      <c r="H35" s="12"/>
      <c r="I35" s="13">
        <v>0</v>
      </c>
      <c r="J35" s="13">
        <v>0</v>
      </c>
      <c r="K35" s="13">
        <v>0</v>
      </c>
      <c r="L35" s="12">
        <v>0</v>
      </c>
      <c r="M35" s="12"/>
      <c r="N35" s="13">
        <v>956</v>
      </c>
      <c r="O35" s="13">
        <v>13864</v>
      </c>
      <c r="P35" s="13">
        <v>0</v>
      </c>
      <c r="Q35" s="12">
        <v>5631</v>
      </c>
      <c r="R35" s="12"/>
      <c r="S35" s="2">
        <v>1756</v>
      </c>
      <c r="T35" s="2">
        <v>-1486</v>
      </c>
      <c r="U35" s="2">
        <f t="shared" si="0"/>
        <v>270</v>
      </c>
    </row>
    <row r="36" spans="1:21">
      <c r="A36" s="10">
        <v>18690</v>
      </c>
      <c r="B36" s="11" t="s">
        <v>28</v>
      </c>
      <c r="C36" s="11"/>
      <c r="D36" s="11"/>
      <c r="E36" s="74">
        <v>37738.199999999997</v>
      </c>
      <c r="F36" s="74">
        <v>66781.209000000003</v>
      </c>
      <c r="G36" s="12">
        <v>14069</v>
      </c>
      <c r="H36" s="12"/>
      <c r="I36" s="13">
        <v>0</v>
      </c>
      <c r="J36" s="13">
        <v>0</v>
      </c>
      <c r="K36" s="13">
        <v>0</v>
      </c>
      <c r="L36" s="12">
        <v>23592</v>
      </c>
      <c r="M36" s="12"/>
      <c r="N36" s="13">
        <v>3279</v>
      </c>
      <c r="O36" s="13">
        <v>47534</v>
      </c>
      <c r="P36" s="13">
        <v>0</v>
      </c>
      <c r="Q36" s="12">
        <v>0</v>
      </c>
      <c r="R36" s="12"/>
      <c r="S36" s="2">
        <v>6022</v>
      </c>
      <c r="T36" s="2">
        <v>6225</v>
      </c>
      <c r="U36" s="2">
        <f t="shared" si="0"/>
        <v>12247</v>
      </c>
    </row>
    <row r="37" spans="1:21">
      <c r="A37" s="10">
        <v>18740</v>
      </c>
      <c r="B37" s="11" t="s">
        <v>29</v>
      </c>
      <c r="C37" s="11"/>
      <c r="D37" s="11"/>
      <c r="E37" s="74">
        <v>9388.64</v>
      </c>
      <c r="F37" s="74">
        <v>42497.133000000002</v>
      </c>
      <c r="G37" s="12">
        <v>8090</v>
      </c>
      <c r="H37" s="12"/>
      <c r="I37" s="13">
        <v>0</v>
      </c>
      <c r="J37" s="13">
        <v>0</v>
      </c>
      <c r="K37" s="13">
        <v>0</v>
      </c>
      <c r="L37" s="12">
        <v>583</v>
      </c>
      <c r="M37" s="12"/>
      <c r="N37" s="13">
        <v>1886</v>
      </c>
      <c r="O37" s="13">
        <v>27332</v>
      </c>
      <c r="P37" s="13">
        <v>0</v>
      </c>
      <c r="Q37" s="12">
        <v>0</v>
      </c>
      <c r="R37" s="12"/>
      <c r="S37" s="2">
        <v>3463</v>
      </c>
      <c r="T37" s="2">
        <v>154</v>
      </c>
      <c r="U37" s="2">
        <f t="shared" si="0"/>
        <v>3617</v>
      </c>
    </row>
    <row r="38" spans="1:21">
      <c r="A38" s="10">
        <v>18780</v>
      </c>
      <c r="B38" s="11" t="s">
        <v>30</v>
      </c>
      <c r="C38" s="11"/>
      <c r="D38" s="11"/>
      <c r="E38" s="74">
        <v>17218.88</v>
      </c>
      <c r="F38" s="74">
        <v>60710.19</v>
      </c>
      <c r="G38" s="12">
        <v>14773</v>
      </c>
      <c r="H38" s="12"/>
      <c r="I38" s="13">
        <v>0</v>
      </c>
      <c r="J38" s="13">
        <v>0</v>
      </c>
      <c r="K38" s="13">
        <v>0</v>
      </c>
      <c r="L38" s="12">
        <v>14489</v>
      </c>
      <c r="M38" s="12"/>
      <c r="N38" s="13">
        <v>3443</v>
      </c>
      <c r="O38" s="13">
        <v>49911</v>
      </c>
      <c r="P38" s="13">
        <v>0</v>
      </c>
      <c r="Q38" s="12">
        <v>0</v>
      </c>
      <c r="R38" s="12"/>
      <c r="S38" s="2">
        <v>6323</v>
      </c>
      <c r="T38" s="2">
        <v>3823</v>
      </c>
      <c r="U38" s="2">
        <f t="shared" si="0"/>
        <v>10146</v>
      </c>
    </row>
    <row r="39" spans="1:21">
      <c r="A39" s="10">
        <v>19005</v>
      </c>
      <c r="B39" s="11" t="s">
        <v>31</v>
      </c>
      <c r="C39" s="11"/>
      <c r="D39" s="11"/>
      <c r="E39" s="74">
        <v>1113121.74</v>
      </c>
      <c r="F39" s="74">
        <v>5008590.6749999998</v>
      </c>
      <c r="G39" s="12">
        <v>946378</v>
      </c>
      <c r="H39" s="12"/>
      <c r="I39" s="13">
        <v>0</v>
      </c>
      <c r="J39" s="13">
        <v>0</v>
      </c>
      <c r="K39" s="13">
        <v>0</v>
      </c>
      <c r="L39" s="12">
        <v>50538</v>
      </c>
      <c r="M39" s="12"/>
      <c r="N39" s="13">
        <v>220596</v>
      </c>
      <c r="O39" s="13">
        <v>3197466</v>
      </c>
      <c r="P39" s="13">
        <v>0</v>
      </c>
      <c r="Q39" s="12">
        <v>0</v>
      </c>
      <c r="R39" s="12"/>
      <c r="S39" s="2">
        <v>405098</v>
      </c>
      <c r="T39" s="2">
        <v>13335</v>
      </c>
      <c r="U39" s="2">
        <f t="shared" si="0"/>
        <v>418433</v>
      </c>
    </row>
    <row r="40" spans="1:21">
      <c r="A40" s="10">
        <v>19100</v>
      </c>
      <c r="B40" s="11" t="s">
        <v>32</v>
      </c>
      <c r="C40" s="11"/>
      <c r="D40" s="11"/>
      <c r="E40" s="74">
        <v>80776729.769999996</v>
      </c>
      <c r="F40" s="74">
        <v>427994697.46200001</v>
      </c>
      <c r="G40" s="12">
        <v>81213368</v>
      </c>
      <c r="H40" s="12"/>
      <c r="I40" s="13">
        <v>0</v>
      </c>
      <c r="J40" s="13">
        <v>0</v>
      </c>
      <c r="K40" s="13">
        <v>0</v>
      </c>
      <c r="L40" s="7">
        <v>0</v>
      </c>
      <c r="M40" s="7"/>
      <c r="N40" s="75">
        <v>18930398</v>
      </c>
      <c r="O40" s="75">
        <v>274390285</v>
      </c>
      <c r="P40" s="75">
        <v>0</v>
      </c>
      <c r="Q40" s="7">
        <v>5892609</v>
      </c>
      <c r="R40" s="12"/>
      <c r="S40" s="2">
        <v>34763465</v>
      </c>
      <c r="T40" s="2">
        <v>-1554778</v>
      </c>
      <c r="U40" s="2">
        <v>33208687</v>
      </c>
    </row>
    <row r="41" spans="1:21">
      <c r="A41" s="10">
        <v>20100</v>
      </c>
      <c r="B41" s="11" t="s">
        <v>33</v>
      </c>
      <c r="C41" s="11"/>
      <c r="D41" s="11"/>
      <c r="E41" s="74">
        <v>6898002.3799999999</v>
      </c>
      <c r="F41" s="74">
        <v>33791291.754000001</v>
      </c>
      <c r="G41" s="12">
        <v>6607765</v>
      </c>
      <c r="H41" s="12"/>
      <c r="I41" s="13">
        <v>0</v>
      </c>
      <c r="J41" s="13">
        <v>0</v>
      </c>
      <c r="K41" s="13">
        <v>0</v>
      </c>
      <c r="L41" s="12">
        <v>594587</v>
      </c>
      <c r="M41" s="12"/>
      <c r="N41" s="13">
        <v>1540234</v>
      </c>
      <c r="O41" s="13">
        <v>22325222</v>
      </c>
      <c r="P41" s="13">
        <v>0</v>
      </c>
      <c r="Q41" s="12">
        <v>0</v>
      </c>
      <c r="R41" s="12"/>
      <c r="S41" s="2">
        <v>2828460</v>
      </c>
      <c r="T41" s="2">
        <v>156883</v>
      </c>
      <c r="U41" s="2">
        <f t="shared" si="0"/>
        <v>2985343</v>
      </c>
    </row>
    <row r="42" spans="1:21">
      <c r="A42" s="10">
        <v>20200</v>
      </c>
      <c r="B42" s="11" t="s">
        <v>34</v>
      </c>
      <c r="C42" s="11"/>
      <c r="D42" s="11"/>
      <c r="E42" s="74">
        <v>1118877.81</v>
      </c>
      <c r="F42" s="74">
        <v>4972164.5609999998</v>
      </c>
      <c r="G42" s="12">
        <v>952944</v>
      </c>
      <c r="H42" s="12"/>
      <c r="I42" s="13">
        <v>0</v>
      </c>
      <c r="J42" s="13">
        <v>0</v>
      </c>
      <c r="K42" s="13">
        <v>0</v>
      </c>
      <c r="L42" s="12">
        <v>105648</v>
      </c>
      <c r="M42" s="12"/>
      <c r="N42" s="13">
        <v>222126</v>
      </c>
      <c r="O42" s="13">
        <v>3219649</v>
      </c>
      <c r="P42" s="13">
        <v>0</v>
      </c>
      <c r="Q42" s="12">
        <v>0</v>
      </c>
      <c r="R42" s="12"/>
      <c r="S42" s="2">
        <v>407909</v>
      </c>
      <c r="T42" s="2">
        <v>27875</v>
      </c>
      <c r="U42" s="2">
        <f t="shared" si="0"/>
        <v>435784</v>
      </c>
    </row>
    <row r="43" spans="1:21">
      <c r="A43" s="10">
        <v>20300</v>
      </c>
      <c r="B43" s="11" t="s">
        <v>35</v>
      </c>
      <c r="C43" s="11"/>
      <c r="D43" s="11"/>
      <c r="E43" s="74">
        <v>16597350.73</v>
      </c>
      <c r="F43" s="74">
        <v>80416717.67400001</v>
      </c>
      <c r="G43" s="12">
        <v>16091595</v>
      </c>
      <c r="H43" s="12"/>
      <c r="I43" s="13">
        <v>0</v>
      </c>
      <c r="J43" s="13">
        <v>0</v>
      </c>
      <c r="K43" s="13">
        <v>0</v>
      </c>
      <c r="L43" s="12">
        <v>2771437</v>
      </c>
      <c r="M43" s="12"/>
      <c r="N43" s="13">
        <v>3750864</v>
      </c>
      <c r="O43" s="13">
        <v>54367619</v>
      </c>
      <c r="P43" s="13">
        <v>0</v>
      </c>
      <c r="Q43" s="12">
        <v>0</v>
      </c>
      <c r="R43" s="12"/>
      <c r="S43" s="2">
        <v>6888024</v>
      </c>
      <c r="T43" s="2">
        <v>731250</v>
      </c>
      <c r="U43" s="2">
        <f t="shared" si="0"/>
        <v>7619274</v>
      </c>
    </row>
    <row r="44" spans="1:21">
      <c r="A44" s="10">
        <v>20400</v>
      </c>
      <c r="B44" s="11" t="s">
        <v>36</v>
      </c>
      <c r="C44" s="11"/>
      <c r="D44" s="11"/>
      <c r="E44" s="74">
        <v>1940761.96</v>
      </c>
      <c r="F44" s="74">
        <v>10405726.566</v>
      </c>
      <c r="G44" s="12">
        <v>1729086</v>
      </c>
      <c r="H44" s="12"/>
      <c r="I44" s="13">
        <v>0</v>
      </c>
      <c r="J44" s="13">
        <v>0</v>
      </c>
      <c r="K44" s="13">
        <v>0</v>
      </c>
      <c r="L44" s="12">
        <v>0</v>
      </c>
      <c r="M44" s="12"/>
      <c r="N44" s="13">
        <v>403041</v>
      </c>
      <c r="O44" s="13">
        <v>5841951</v>
      </c>
      <c r="P44" s="13">
        <v>0</v>
      </c>
      <c r="Q44" s="12">
        <v>974025</v>
      </c>
      <c r="R44" s="12"/>
      <c r="S44" s="2">
        <v>740137</v>
      </c>
      <c r="T44" s="2">
        <v>-256999</v>
      </c>
      <c r="U44" s="2">
        <f t="shared" si="0"/>
        <v>483138</v>
      </c>
    </row>
    <row r="45" spans="1:21">
      <c r="A45" s="10">
        <v>20600</v>
      </c>
      <c r="B45" s="11" t="s">
        <v>37</v>
      </c>
      <c r="C45" s="11"/>
      <c r="D45" s="11"/>
      <c r="E45" s="74">
        <v>2683633.2599999998</v>
      </c>
      <c r="F45" s="74">
        <v>13040548.812000001</v>
      </c>
      <c r="G45" s="12">
        <v>2479201</v>
      </c>
      <c r="H45" s="12"/>
      <c r="I45" s="13">
        <v>0</v>
      </c>
      <c r="J45" s="13">
        <v>0</v>
      </c>
      <c r="K45" s="13">
        <v>0</v>
      </c>
      <c r="L45" s="12">
        <v>12078</v>
      </c>
      <c r="M45" s="12"/>
      <c r="N45" s="13">
        <v>577888</v>
      </c>
      <c r="O45" s="13">
        <v>8376315</v>
      </c>
      <c r="P45" s="13">
        <v>0</v>
      </c>
      <c r="Q45" s="12">
        <v>0</v>
      </c>
      <c r="R45" s="12"/>
      <c r="S45" s="2">
        <v>1061225</v>
      </c>
      <c r="T45" s="2">
        <v>3187</v>
      </c>
      <c r="U45" s="2">
        <f t="shared" si="0"/>
        <v>1064412</v>
      </c>
    </row>
    <row r="46" spans="1:21">
      <c r="A46" s="10">
        <v>20700</v>
      </c>
      <c r="B46" s="11" t="s">
        <v>38</v>
      </c>
      <c r="C46" s="11"/>
      <c r="D46" s="11"/>
      <c r="E46" s="74">
        <v>5588159.0300000003</v>
      </c>
      <c r="F46" s="74">
        <v>25571132.027999997</v>
      </c>
      <c r="G46" s="12">
        <v>4839285</v>
      </c>
      <c r="H46" s="12"/>
      <c r="I46" s="13">
        <v>0</v>
      </c>
      <c r="J46" s="13">
        <v>0</v>
      </c>
      <c r="K46" s="13">
        <v>0</v>
      </c>
      <c r="L46" s="12">
        <v>208123</v>
      </c>
      <c r="M46" s="12"/>
      <c r="N46" s="13">
        <v>1128011</v>
      </c>
      <c r="O46" s="13">
        <v>16350175</v>
      </c>
      <c r="P46" s="13">
        <v>0</v>
      </c>
      <c r="Q46" s="12">
        <v>0</v>
      </c>
      <c r="R46" s="12"/>
      <c r="S46" s="2">
        <v>2071461</v>
      </c>
      <c r="T46" s="2">
        <v>54914</v>
      </c>
      <c r="U46" s="2">
        <f t="shared" si="0"/>
        <v>2126375</v>
      </c>
    </row>
    <row r="47" spans="1:21">
      <c r="A47" s="10">
        <v>20800</v>
      </c>
      <c r="B47" s="11" t="s">
        <v>39</v>
      </c>
      <c r="C47" s="11"/>
      <c r="D47" s="11"/>
      <c r="E47" s="74">
        <v>4987271.92</v>
      </c>
      <c r="F47" s="74">
        <v>23944098.935999997</v>
      </c>
      <c r="G47" s="12">
        <v>4589911</v>
      </c>
      <c r="H47" s="12"/>
      <c r="I47" s="13">
        <v>0</v>
      </c>
      <c r="J47" s="13">
        <v>0</v>
      </c>
      <c r="K47" s="13">
        <v>0</v>
      </c>
      <c r="L47" s="12">
        <v>194550</v>
      </c>
      <c r="M47" s="12"/>
      <c r="N47" s="13">
        <v>1069883</v>
      </c>
      <c r="O47" s="13">
        <v>15507631</v>
      </c>
      <c r="P47" s="13">
        <v>0</v>
      </c>
      <c r="Q47" s="12">
        <v>0</v>
      </c>
      <c r="R47" s="12"/>
      <c r="S47" s="2">
        <v>1964716</v>
      </c>
      <c r="T47" s="2">
        <v>51332</v>
      </c>
      <c r="U47" s="2">
        <f t="shared" si="0"/>
        <v>2016048</v>
      </c>
    </row>
    <row r="48" spans="1:21">
      <c r="A48" s="10">
        <v>20900</v>
      </c>
      <c r="B48" s="11" t="s">
        <v>40</v>
      </c>
      <c r="C48" s="11"/>
      <c r="D48" s="11"/>
      <c r="E48" s="74">
        <v>6602507.9299999997</v>
      </c>
      <c r="F48" s="74">
        <v>33554522.012999997</v>
      </c>
      <c r="G48" s="12">
        <v>6216997</v>
      </c>
      <c r="H48" s="12"/>
      <c r="I48" s="13">
        <v>0</v>
      </c>
      <c r="J48" s="13">
        <v>0</v>
      </c>
      <c r="K48" s="13">
        <v>0</v>
      </c>
      <c r="L48" s="12">
        <v>0</v>
      </c>
      <c r="M48" s="12"/>
      <c r="N48" s="13">
        <v>1449148</v>
      </c>
      <c r="O48" s="13">
        <v>21004960</v>
      </c>
      <c r="P48" s="13">
        <v>0</v>
      </c>
      <c r="Q48" s="12">
        <v>745420</v>
      </c>
      <c r="R48" s="12"/>
      <c r="S48" s="2">
        <v>2661192</v>
      </c>
      <c r="T48" s="2">
        <v>-196681</v>
      </c>
      <c r="U48" s="2">
        <f t="shared" si="0"/>
        <v>2464511</v>
      </c>
    </row>
    <row r="49" spans="1:21">
      <c r="A49" s="10">
        <v>21200</v>
      </c>
      <c r="B49" s="11" t="s">
        <v>41</v>
      </c>
      <c r="C49" s="11"/>
      <c r="D49" s="11"/>
      <c r="E49" s="74">
        <v>2018544</v>
      </c>
      <c r="F49" s="74">
        <v>10345016.376</v>
      </c>
      <c r="G49" s="12">
        <v>1936957</v>
      </c>
      <c r="H49" s="12"/>
      <c r="I49" s="13">
        <v>0</v>
      </c>
      <c r="J49" s="13">
        <v>0</v>
      </c>
      <c r="K49" s="13">
        <v>0</v>
      </c>
      <c r="L49" s="12">
        <v>0</v>
      </c>
      <c r="M49" s="12"/>
      <c r="N49" s="13">
        <v>451494</v>
      </c>
      <c r="O49" s="13">
        <v>6544269</v>
      </c>
      <c r="P49" s="13">
        <v>0</v>
      </c>
      <c r="Q49" s="12">
        <v>176341</v>
      </c>
      <c r="R49" s="12"/>
      <c r="S49" s="2">
        <v>829116</v>
      </c>
      <c r="T49" s="2">
        <v>-46528</v>
      </c>
      <c r="U49" s="2">
        <f t="shared" si="0"/>
        <v>782588</v>
      </c>
    </row>
    <row r="50" spans="1:21">
      <c r="A50" s="10">
        <v>21300</v>
      </c>
      <c r="B50" s="11" t="s">
        <v>42</v>
      </c>
      <c r="C50" s="11"/>
      <c r="D50" s="11"/>
      <c r="E50" s="74">
        <v>26525092.489999998</v>
      </c>
      <c r="F50" s="74">
        <v>128553827.325</v>
      </c>
      <c r="G50" s="12">
        <v>25160037</v>
      </c>
      <c r="H50" s="12"/>
      <c r="I50" s="13">
        <v>0</v>
      </c>
      <c r="J50" s="13">
        <v>0</v>
      </c>
      <c r="K50" s="13">
        <v>0</v>
      </c>
      <c r="L50" s="12">
        <v>2557862</v>
      </c>
      <c r="M50" s="12"/>
      <c r="N50" s="13">
        <v>5864669</v>
      </c>
      <c r="O50" s="13">
        <v>85006570</v>
      </c>
      <c r="P50" s="13">
        <v>0</v>
      </c>
      <c r="Q50" s="12">
        <v>0</v>
      </c>
      <c r="R50" s="12"/>
      <c r="S50" s="2">
        <v>10769780</v>
      </c>
      <c r="T50" s="2">
        <v>674898</v>
      </c>
      <c r="U50" s="2">
        <f t="shared" si="0"/>
        <v>11444678</v>
      </c>
    </row>
    <row r="51" spans="1:21">
      <c r="A51" s="10">
        <v>21520</v>
      </c>
      <c r="B51" s="11" t="s">
        <v>43</v>
      </c>
      <c r="C51" s="11"/>
      <c r="D51" s="11"/>
      <c r="E51" s="74">
        <v>39639385.409999996</v>
      </c>
      <c r="F51" s="74">
        <v>194278679.01900002</v>
      </c>
      <c r="G51" s="12">
        <v>37801432</v>
      </c>
      <c r="H51" s="12"/>
      <c r="I51" s="13">
        <v>0</v>
      </c>
      <c r="J51" s="13">
        <v>0</v>
      </c>
      <c r="K51" s="13">
        <v>0</v>
      </c>
      <c r="L51" s="12">
        <v>2777007</v>
      </c>
      <c r="M51" s="12"/>
      <c r="N51" s="13">
        <v>8811310</v>
      </c>
      <c r="O51" s="13">
        <v>127717222</v>
      </c>
      <c r="P51" s="13">
        <v>0</v>
      </c>
      <c r="Q51" s="12">
        <v>0</v>
      </c>
      <c r="R51" s="12"/>
      <c r="S51" s="2">
        <v>16180942</v>
      </c>
      <c r="T51" s="2">
        <v>732720</v>
      </c>
      <c r="U51" s="2">
        <f t="shared" si="0"/>
        <v>16913662</v>
      </c>
    </row>
    <row r="52" spans="1:21">
      <c r="A52" s="10">
        <v>21525</v>
      </c>
      <c r="B52" s="11" t="s">
        <v>44</v>
      </c>
      <c r="C52" s="11"/>
      <c r="D52" s="11"/>
      <c r="E52" s="74">
        <v>1892635.34</v>
      </c>
      <c r="F52" s="74">
        <v>8420503.3530000001</v>
      </c>
      <c r="G52" s="12">
        <v>1616534</v>
      </c>
      <c r="H52" s="12"/>
      <c r="I52" s="13">
        <v>0</v>
      </c>
      <c r="J52" s="13">
        <v>0</v>
      </c>
      <c r="K52" s="13">
        <v>0</v>
      </c>
      <c r="L52" s="12">
        <v>186090</v>
      </c>
      <c r="M52" s="12"/>
      <c r="N52" s="13">
        <v>376805</v>
      </c>
      <c r="O52" s="13">
        <v>5461678</v>
      </c>
      <c r="P52" s="13">
        <v>0</v>
      </c>
      <c r="Q52" s="12">
        <v>0</v>
      </c>
      <c r="R52" s="12"/>
      <c r="S52" s="2">
        <v>691959</v>
      </c>
      <c r="T52" s="2">
        <v>49100</v>
      </c>
      <c r="U52" s="2">
        <f t="shared" si="0"/>
        <v>741059</v>
      </c>
    </row>
    <row r="53" spans="1:21">
      <c r="A53" s="10">
        <v>21550</v>
      </c>
      <c r="B53" s="11" t="s">
        <v>45</v>
      </c>
      <c r="C53" s="11"/>
      <c r="D53" s="11"/>
      <c r="E53" s="74">
        <v>39619103.93</v>
      </c>
      <c r="F53" s="74">
        <v>206542137.39900002</v>
      </c>
      <c r="G53" s="12">
        <v>42860194</v>
      </c>
      <c r="H53" s="12"/>
      <c r="I53" s="13">
        <v>0</v>
      </c>
      <c r="J53" s="13">
        <v>0</v>
      </c>
      <c r="K53" s="13">
        <v>0</v>
      </c>
      <c r="L53" s="12">
        <v>9803534</v>
      </c>
      <c r="M53" s="12"/>
      <c r="N53" s="13">
        <v>9990480</v>
      </c>
      <c r="O53" s="13">
        <v>144808930</v>
      </c>
      <c r="P53" s="13">
        <v>0</v>
      </c>
      <c r="Q53" s="12">
        <v>0</v>
      </c>
      <c r="R53" s="12"/>
      <c r="S53" s="2">
        <v>18346350</v>
      </c>
      <c r="T53" s="2">
        <v>2586685</v>
      </c>
      <c r="U53" s="2">
        <f t="shared" si="0"/>
        <v>20933035</v>
      </c>
    </row>
    <row r="54" spans="1:21">
      <c r="A54" s="10">
        <v>21570</v>
      </c>
      <c r="B54" s="11" t="s">
        <v>46</v>
      </c>
      <c r="C54" s="11"/>
      <c r="D54" s="11"/>
      <c r="E54" s="74">
        <v>238847.14</v>
      </c>
      <c r="F54" s="74">
        <v>1256700.933</v>
      </c>
      <c r="G54" s="12">
        <v>219125</v>
      </c>
      <c r="H54" s="12"/>
      <c r="I54" s="13">
        <v>0</v>
      </c>
      <c r="J54" s="13">
        <v>0</v>
      </c>
      <c r="K54" s="13">
        <v>0</v>
      </c>
      <c r="L54" s="12">
        <v>0</v>
      </c>
      <c r="M54" s="12"/>
      <c r="N54" s="13">
        <v>51077</v>
      </c>
      <c r="O54" s="13">
        <v>740345</v>
      </c>
      <c r="P54" s="13">
        <v>0</v>
      </c>
      <c r="Q54" s="12">
        <v>79996</v>
      </c>
      <c r="R54" s="12"/>
      <c r="S54" s="2">
        <v>93797</v>
      </c>
      <c r="T54" s="2">
        <v>-21107</v>
      </c>
      <c r="U54" s="2">
        <f t="shared" si="0"/>
        <v>72690</v>
      </c>
    </row>
    <row r="55" spans="1:21">
      <c r="A55" s="10">
        <v>21800</v>
      </c>
      <c r="B55" s="11" t="s">
        <v>47</v>
      </c>
      <c r="C55" s="11"/>
      <c r="D55" s="11"/>
      <c r="E55" s="74">
        <v>3718836.72</v>
      </c>
      <c r="F55" s="74">
        <v>17217409.884</v>
      </c>
      <c r="G55" s="12">
        <v>3436600</v>
      </c>
      <c r="H55" s="12"/>
      <c r="I55" s="13">
        <v>0</v>
      </c>
      <c r="J55" s="13">
        <v>0</v>
      </c>
      <c r="K55" s="13">
        <v>0</v>
      </c>
      <c r="L55" s="12">
        <v>695537</v>
      </c>
      <c r="M55" s="12"/>
      <c r="N55" s="13">
        <v>801053</v>
      </c>
      <c r="O55" s="13">
        <v>11611017</v>
      </c>
      <c r="P55" s="13">
        <v>0</v>
      </c>
      <c r="Q55" s="12">
        <v>0</v>
      </c>
      <c r="R55" s="12"/>
      <c r="S55" s="2">
        <v>1471040</v>
      </c>
      <c r="T55" s="2">
        <v>183519</v>
      </c>
      <c r="U55" s="2">
        <f t="shared" si="0"/>
        <v>1654559</v>
      </c>
    </row>
    <row r="56" spans="1:21">
      <c r="A56" s="10">
        <v>21900</v>
      </c>
      <c r="B56" s="11" t="s">
        <v>48</v>
      </c>
      <c r="C56" s="11"/>
      <c r="D56" s="11"/>
      <c r="E56" s="74">
        <v>3166822.34</v>
      </c>
      <c r="F56" s="74">
        <v>14746505.151000001</v>
      </c>
      <c r="G56" s="12">
        <v>2892011</v>
      </c>
      <c r="H56" s="12"/>
      <c r="I56" s="13">
        <v>0</v>
      </c>
      <c r="J56" s="13">
        <v>0</v>
      </c>
      <c r="K56" s="13">
        <v>0</v>
      </c>
      <c r="L56" s="12">
        <v>411092</v>
      </c>
      <c r="M56" s="12"/>
      <c r="N56" s="13">
        <v>674112</v>
      </c>
      <c r="O56" s="13">
        <v>9771048</v>
      </c>
      <c r="P56" s="13">
        <v>0</v>
      </c>
      <c r="Q56" s="12">
        <v>0</v>
      </c>
      <c r="R56" s="12"/>
      <c r="S56" s="2">
        <v>1237928</v>
      </c>
      <c r="T56" s="2">
        <v>108468</v>
      </c>
      <c r="U56" s="2">
        <f t="shared" si="0"/>
        <v>1346396</v>
      </c>
    </row>
    <row r="57" spans="1:21">
      <c r="A57" s="10">
        <v>22000</v>
      </c>
      <c r="B57" s="11" t="s">
        <v>49</v>
      </c>
      <c r="C57" s="11"/>
      <c r="D57" s="11"/>
      <c r="E57" s="74">
        <v>6060639.6699999999</v>
      </c>
      <c r="F57" s="74">
        <v>26512139.973000001</v>
      </c>
      <c r="G57" s="12">
        <v>5224425</v>
      </c>
      <c r="H57" s="12"/>
      <c r="I57" s="13">
        <v>0</v>
      </c>
      <c r="J57" s="13">
        <v>0</v>
      </c>
      <c r="K57" s="13">
        <v>0</v>
      </c>
      <c r="L57" s="12">
        <v>1112323</v>
      </c>
      <c r="M57" s="12"/>
      <c r="N57" s="13">
        <v>1217785</v>
      </c>
      <c r="O57" s="13">
        <v>17651423</v>
      </c>
      <c r="P57" s="13">
        <v>0</v>
      </c>
      <c r="Q57" s="12">
        <v>0</v>
      </c>
      <c r="R57" s="12"/>
      <c r="S57" s="2">
        <v>2236321</v>
      </c>
      <c r="T57" s="2">
        <v>293489</v>
      </c>
      <c r="U57" s="2">
        <f t="shared" si="0"/>
        <v>2529810</v>
      </c>
    </row>
    <row r="58" spans="1:21">
      <c r="A58" s="10">
        <v>23000</v>
      </c>
      <c r="B58" s="11" t="s">
        <v>50</v>
      </c>
      <c r="C58" s="11"/>
      <c r="D58" s="11"/>
      <c r="E58" s="74">
        <v>1602834.05</v>
      </c>
      <c r="F58" s="74">
        <v>6750973.1279999996</v>
      </c>
      <c r="G58" s="12">
        <v>1389788</v>
      </c>
      <c r="H58" s="12"/>
      <c r="I58" s="13">
        <v>0</v>
      </c>
      <c r="J58" s="13">
        <v>0</v>
      </c>
      <c r="K58" s="13">
        <v>0</v>
      </c>
      <c r="L58" s="12">
        <v>527186</v>
      </c>
      <c r="M58" s="12"/>
      <c r="N58" s="13">
        <v>323952</v>
      </c>
      <c r="O58" s="13">
        <v>4695585</v>
      </c>
      <c r="P58" s="13">
        <v>0</v>
      </c>
      <c r="Q58" s="12">
        <v>0</v>
      </c>
      <c r="R58" s="12"/>
      <c r="S58" s="2">
        <v>594900</v>
      </c>
      <c r="T58" s="2">
        <v>139099</v>
      </c>
      <c r="U58" s="2">
        <f t="shared" si="0"/>
        <v>733999</v>
      </c>
    </row>
    <row r="59" spans="1:21">
      <c r="A59" s="10">
        <v>23100</v>
      </c>
      <c r="B59" s="11" t="s">
        <v>51</v>
      </c>
      <c r="C59" s="11"/>
      <c r="D59" s="11"/>
      <c r="E59" s="74">
        <v>8370691.4199999999</v>
      </c>
      <c r="F59" s="74">
        <v>40135506.608999997</v>
      </c>
      <c r="G59" s="12">
        <v>7950070</v>
      </c>
      <c r="H59" s="12"/>
      <c r="I59" s="13">
        <v>0</v>
      </c>
      <c r="J59" s="13">
        <v>0</v>
      </c>
      <c r="K59" s="13">
        <v>0</v>
      </c>
      <c r="L59" s="12">
        <v>1183458</v>
      </c>
      <c r="M59" s="12"/>
      <c r="N59" s="13">
        <v>1853118</v>
      </c>
      <c r="O59" s="13">
        <v>26860379</v>
      </c>
      <c r="P59" s="13">
        <v>0</v>
      </c>
      <c r="Q59" s="12">
        <v>0</v>
      </c>
      <c r="R59" s="12"/>
      <c r="S59" s="2">
        <v>3403035</v>
      </c>
      <c r="T59" s="2">
        <v>312258</v>
      </c>
      <c r="U59" s="2">
        <f t="shared" si="0"/>
        <v>3715293</v>
      </c>
    </row>
    <row r="60" spans="1:21">
      <c r="A60" s="10">
        <v>23200</v>
      </c>
      <c r="B60" s="11" t="s">
        <v>52</v>
      </c>
      <c r="C60" s="11"/>
      <c r="D60" s="11"/>
      <c r="E60" s="74">
        <v>4596562.7300000004</v>
      </c>
      <c r="F60" s="74">
        <v>23252002.77</v>
      </c>
      <c r="G60" s="12">
        <v>4270426</v>
      </c>
      <c r="H60" s="12"/>
      <c r="I60" s="13">
        <v>0</v>
      </c>
      <c r="J60" s="13">
        <v>0</v>
      </c>
      <c r="K60" s="13">
        <v>0</v>
      </c>
      <c r="L60" s="12">
        <v>0</v>
      </c>
      <c r="M60" s="12"/>
      <c r="N60" s="13">
        <v>995413</v>
      </c>
      <c r="O60" s="13">
        <v>14428209</v>
      </c>
      <c r="P60" s="13">
        <v>0</v>
      </c>
      <c r="Q60" s="12">
        <v>624560</v>
      </c>
      <c r="R60" s="12"/>
      <c r="S60" s="2">
        <v>1827960</v>
      </c>
      <c r="T60" s="2">
        <v>-164792</v>
      </c>
      <c r="U60" s="2">
        <f t="shared" si="0"/>
        <v>1663168</v>
      </c>
    </row>
    <row r="61" spans="1:21">
      <c r="A61" s="10">
        <v>30000</v>
      </c>
      <c r="B61" s="11" t="s">
        <v>53</v>
      </c>
      <c r="C61" s="11"/>
      <c r="D61" s="11"/>
      <c r="E61" s="74">
        <v>1123955.45</v>
      </c>
      <c r="F61" s="74">
        <v>6368498.9309999999</v>
      </c>
      <c r="G61" s="12">
        <v>1195400</v>
      </c>
      <c r="H61" s="12"/>
      <c r="I61" s="13">
        <v>0</v>
      </c>
      <c r="J61" s="13">
        <v>0</v>
      </c>
      <c r="K61" s="13">
        <v>0</v>
      </c>
      <c r="L61" s="12">
        <v>0</v>
      </c>
      <c r="M61" s="12"/>
      <c r="N61" s="13">
        <v>278641</v>
      </c>
      <c r="O61" s="13">
        <v>4038821</v>
      </c>
      <c r="P61" s="13">
        <v>0</v>
      </c>
      <c r="Q61" s="12">
        <v>192564</v>
      </c>
      <c r="R61" s="12"/>
      <c r="S61" s="2">
        <v>511692</v>
      </c>
      <c r="T61" s="2">
        <v>-50809</v>
      </c>
      <c r="U61" s="2">
        <f t="shared" si="0"/>
        <v>460883</v>
      </c>
    </row>
    <row r="62" spans="1:21">
      <c r="A62" s="10">
        <v>30100</v>
      </c>
      <c r="B62" s="11" t="s">
        <v>54</v>
      </c>
      <c r="C62" s="11"/>
      <c r="D62" s="11"/>
      <c r="E62" s="74">
        <v>9213746.0800000001</v>
      </c>
      <c r="F62" s="74">
        <v>52259331.551999994</v>
      </c>
      <c r="G62" s="12">
        <v>9868150</v>
      </c>
      <c r="H62" s="12"/>
      <c r="I62" s="13">
        <v>0</v>
      </c>
      <c r="J62" s="13">
        <v>0</v>
      </c>
      <c r="K62" s="13">
        <v>0</v>
      </c>
      <c r="L62" s="12">
        <v>0</v>
      </c>
      <c r="M62" s="12"/>
      <c r="N62" s="13">
        <v>2300213</v>
      </c>
      <c r="O62" s="13">
        <v>33340873</v>
      </c>
      <c r="P62" s="13">
        <v>0</v>
      </c>
      <c r="Q62" s="12">
        <v>1392902</v>
      </c>
      <c r="R62" s="12"/>
      <c r="S62" s="2">
        <v>4224072</v>
      </c>
      <c r="T62" s="2">
        <v>-367520</v>
      </c>
      <c r="U62" s="2">
        <f t="shared" si="0"/>
        <v>3856552</v>
      </c>
    </row>
    <row r="63" spans="1:21">
      <c r="A63" s="10">
        <v>30102</v>
      </c>
      <c r="B63" s="11" t="s">
        <v>55</v>
      </c>
      <c r="C63" s="11"/>
      <c r="D63" s="11"/>
      <c r="E63" s="74">
        <v>121792.92</v>
      </c>
      <c r="F63" s="74">
        <v>692096.16600000008</v>
      </c>
      <c r="G63" s="12">
        <v>143387</v>
      </c>
      <c r="H63" s="12"/>
      <c r="I63" s="13">
        <v>0</v>
      </c>
      <c r="J63" s="13">
        <v>0</v>
      </c>
      <c r="K63" s="13">
        <v>0</v>
      </c>
      <c r="L63" s="12">
        <v>23406</v>
      </c>
      <c r="M63" s="12"/>
      <c r="N63" s="13">
        <v>33423</v>
      </c>
      <c r="O63" s="13">
        <v>484453</v>
      </c>
      <c r="P63" s="13">
        <v>0</v>
      </c>
      <c r="Q63" s="12">
        <v>0</v>
      </c>
      <c r="R63" s="12"/>
      <c r="S63" s="2">
        <v>61377</v>
      </c>
      <c r="T63" s="2">
        <v>6176</v>
      </c>
      <c r="U63" s="2">
        <f t="shared" si="0"/>
        <v>67553</v>
      </c>
    </row>
    <row r="64" spans="1:21">
      <c r="A64" s="10">
        <v>30103</v>
      </c>
      <c r="B64" s="11" t="s">
        <v>56</v>
      </c>
      <c r="C64" s="11"/>
      <c r="D64" s="11"/>
      <c r="E64" s="74">
        <v>169091.85</v>
      </c>
      <c r="F64" s="74">
        <v>928865.90700000001</v>
      </c>
      <c r="G64" s="12">
        <v>201656</v>
      </c>
      <c r="H64" s="12"/>
      <c r="I64" s="13">
        <v>0</v>
      </c>
      <c r="J64" s="13">
        <v>0</v>
      </c>
      <c r="K64" s="13">
        <v>0</v>
      </c>
      <c r="L64" s="12">
        <v>66378</v>
      </c>
      <c r="M64" s="12"/>
      <c r="N64" s="13">
        <v>47005</v>
      </c>
      <c r="O64" s="13">
        <v>681323</v>
      </c>
      <c r="P64" s="13">
        <v>0</v>
      </c>
      <c r="Q64" s="12">
        <v>0</v>
      </c>
      <c r="R64" s="12"/>
      <c r="S64" s="2">
        <v>86319</v>
      </c>
      <c r="T64" s="2">
        <v>17514</v>
      </c>
      <c r="U64" s="2">
        <f t="shared" si="0"/>
        <v>103833</v>
      </c>
    </row>
    <row r="65" spans="1:21">
      <c r="A65" s="10">
        <v>30104</v>
      </c>
      <c r="B65" s="11" t="s">
        <v>57</v>
      </c>
      <c r="C65" s="11"/>
      <c r="D65" s="11"/>
      <c r="E65" s="74">
        <v>76051.42</v>
      </c>
      <c r="F65" s="74">
        <v>327835.02600000001</v>
      </c>
      <c r="G65" s="12">
        <v>81718</v>
      </c>
      <c r="H65" s="12"/>
      <c r="I65" s="13">
        <v>0</v>
      </c>
      <c r="J65" s="13">
        <v>0</v>
      </c>
      <c r="K65" s="13">
        <v>0</v>
      </c>
      <c r="L65" s="12">
        <v>71288</v>
      </c>
      <c r="M65" s="12"/>
      <c r="N65" s="13">
        <v>19048</v>
      </c>
      <c r="O65" s="13">
        <v>276094</v>
      </c>
      <c r="P65" s="13">
        <v>0</v>
      </c>
      <c r="Q65" s="12">
        <v>0</v>
      </c>
      <c r="R65" s="12"/>
      <c r="S65" s="2">
        <v>34979</v>
      </c>
      <c r="T65" s="2">
        <v>18809</v>
      </c>
      <c r="U65" s="2">
        <f t="shared" si="0"/>
        <v>53788</v>
      </c>
    </row>
    <row r="66" spans="1:21">
      <c r="A66" s="10">
        <v>30105</v>
      </c>
      <c r="B66" s="11" t="s">
        <v>58</v>
      </c>
      <c r="C66" s="11"/>
      <c r="D66" s="11"/>
      <c r="E66" s="74">
        <v>1091229.27</v>
      </c>
      <c r="F66" s="74">
        <v>4960022.523</v>
      </c>
      <c r="G66" s="12">
        <v>972992</v>
      </c>
      <c r="H66" s="12"/>
      <c r="I66" s="13">
        <v>0</v>
      </c>
      <c r="J66" s="13">
        <v>0</v>
      </c>
      <c r="K66" s="13">
        <v>0</v>
      </c>
      <c r="L66" s="12">
        <v>159744</v>
      </c>
      <c r="M66" s="12"/>
      <c r="N66" s="13">
        <v>226799</v>
      </c>
      <c r="O66" s="13">
        <v>3287385</v>
      </c>
      <c r="P66" s="13">
        <v>0</v>
      </c>
      <c r="Q66" s="12">
        <v>0</v>
      </c>
      <c r="R66" s="12"/>
      <c r="S66" s="2">
        <v>416490</v>
      </c>
      <c r="T66" s="2">
        <v>42149</v>
      </c>
      <c r="U66" s="2">
        <f t="shared" si="0"/>
        <v>458639</v>
      </c>
    </row>
    <row r="67" spans="1:21">
      <c r="A67" s="10">
        <v>30200</v>
      </c>
      <c r="B67" s="11" t="s">
        <v>59</v>
      </c>
      <c r="C67" s="11"/>
      <c r="D67" s="11"/>
      <c r="E67" s="74">
        <v>2260542.67</v>
      </c>
      <c r="F67" s="74">
        <v>12615577.482000001</v>
      </c>
      <c r="G67" s="12">
        <v>2376028</v>
      </c>
      <c r="H67" s="12"/>
      <c r="I67" s="13">
        <v>0</v>
      </c>
      <c r="J67" s="13">
        <v>0</v>
      </c>
      <c r="K67" s="13">
        <v>0</v>
      </c>
      <c r="L67" s="12">
        <v>0</v>
      </c>
      <c r="M67" s="12"/>
      <c r="N67" s="13">
        <v>553839</v>
      </c>
      <c r="O67" s="13">
        <v>8027731</v>
      </c>
      <c r="P67" s="13">
        <v>0</v>
      </c>
      <c r="Q67" s="12">
        <v>327963</v>
      </c>
      <c r="R67" s="12"/>
      <c r="S67" s="2">
        <v>1017061</v>
      </c>
      <c r="T67" s="2">
        <v>-86534</v>
      </c>
      <c r="U67" s="2">
        <f t="shared" si="0"/>
        <v>930527</v>
      </c>
    </row>
    <row r="68" spans="1:21">
      <c r="A68" s="10">
        <v>30300</v>
      </c>
      <c r="B68" s="11" t="s">
        <v>60</v>
      </c>
      <c r="C68" s="11"/>
      <c r="D68" s="11"/>
      <c r="E68" s="74">
        <v>773889.52</v>
      </c>
      <c r="F68" s="74">
        <v>4116150.8820000002</v>
      </c>
      <c r="G68" s="12">
        <v>788922</v>
      </c>
      <c r="H68" s="12"/>
      <c r="I68" s="13">
        <v>0</v>
      </c>
      <c r="J68" s="13">
        <v>0</v>
      </c>
      <c r="K68" s="13">
        <v>0</v>
      </c>
      <c r="L68" s="12">
        <v>0</v>
      </c>
      <c r="M68" s="12"/>
      <c r="N68" s="13">
        <v>183893</v>
      </c>
      <c r="O68" s="13">
        <v>2665479</v>
      </c>
      <c r="P68" s="13">
        <v>0</v>
      </c>
      <c r="Q68" s="12">
        <v>32967</v>
      </c>
      <c r="R68" s="12"/>
      <c r="S68" s="2">
        <v>337699</v>
      </c>
      <c r="T68" s="2">
        <v>-8698</v>
      </c>
      <c r="U68" s="2">
        <f t="shared" si="0"/>
        <v>329001</v>
      </c>
    </row>
    <row r="69" spans="1:21">
      <c r="A69" s="10">
        <v>30400</v>
      </c>
      <c r="B69" s="11" t="s">
        <v>61</v>
      </c>
      <c r="C69" s="11"/>
      <c r="D69" s="11"/>
      <c r="E69" s="74">
        <v>1626423.74</v>
      </c>
      <c r="F69" s="74">
        <v>8256585.8400000008</v>
      </c>
      <c r="G69" s="12">
        <v>1495423</v>
      </c>
      <c r="H69" s="12"/>
      <c r="I69" s="13">
        <v>0</v>
      </c>
      <c r="J69" s="13">
        <v>0</v>
      </c>
      <c r="K69" s="13">
        <v>0</v>
      </c>
      <c r="L69" s="12">
        <v>0</v>
      </c>
      <c r="M69" s="12"/>
      <c r="N69" s="13">
        <v>348575</v>
      </c>
      <c r="O69" s="13">
        <v>5052488</v>
      </c>
      <c r="P69" s="13">
        <v>0</v>
      </c>
      <c r="Q69" s="12">
        <v>295758</v>
      </c>
      <c r="R69" s="12"/>
      <c r="S69" s="2">
        <v>640117</v>
      </c>
      <c r="T69" s="2">
        <v>-78036</v>
      </c>
      <c r="U69" s="2">
        <f t="shared" si="0"/>
        <v>562081</v>
      </c>
    </row>
    <row r="70" spans="1:21">
      <c r="A70" s="10">
        <v>30405</v>
      </c>
      <c r="B70" s="11" t="s">
        <v>62</v>
      </c>
      <c r="C70" s="11"/>
      <c r="D70" s="11"/>
      <c r="E70" s="74">
        <v>894259.9</v>
      </c>
      <c r="F70" s="74">
        <v>4219358.2050000001</v>
      </c>
      <c r="G70" s="12">
        <v>881661</v>
      </c>
      <c r="H70" s="12"/>
      <c r="I70" s="13">
        <v>0</v>
      </c>
      <c r="J70" s="13">
        <v>0</v>
      </c>
      <c r="K70" s="13">
        <v>0</v>
      </c>
      <c r="L70" s="12">
        <v>287601</v>
      </c>
      <c r="M70" s="12"/>
      <c r="N70" s="13">
        <v>205510</v>
      </c>
      <c r="O70" s="13">
        <v>2978809</v>
      </c>
      <c r="P70" s="13">
        <v>0</v>
      </c>
      <c r="Q70" s="12">
        <v>0</v>
      </c>
      <c r="R70" s="12"/>
      <c r="S70" s="2">
        <v>377396</v>
      </c>
      <c r="T70" s="2">
        <v>75884</v>
      </c>
      <c r="U70" s="2">
        <f t="shared" si="0"/>
        <v>453280</v>
      </c>
    </row>
    <row r="71" spans="1:21">
      <c r="A71" s="10">
        <v>30500</v>
      </c>
      <c r="B71" s="11" t="s">
        <v>63</v>
      </c>
      <c r="C71" s="11"/>
      <c r="D71" s="11"/>
      <c r="E71" s="74">
        <v>1479526.39</v>
      </c>
      <c r="F71" s="74">
        <v>8110881.3839999996</v>
      </c>
      <c r="G71" s="12">
        <v>1528134</v>
      </c>
      <c r="H71" s="12"/>
      <c r="I71" s="13">
        <v>0</v>
      </c>
      <c r="J71" s="13">
        <v>0</v>
      </c>
      <c r="K71" s="13">
        <v>0</v>
      </c>
      <c r="L71" s="12">
        <v>0</v>
      </c>
      <c r="M71" s="12"/>
      <c r="N71" s="13">
        <v>356200</v>
      </c>
      <c r="O71" s="13">
        <v>5163005</v>
      </c>
      <c r="P71" s="13">
        <v>0</v>
      </c>
      <c r="Q71" s="12">
        <v>188421</v>
      </c>
      <c r="R71" s="12"/>
      <c r="S71" s="2">
        <v>654119</v>
      </c>
      <c r="T71" s="2">
        <v>-49715</v>
      </c>
      <c r="U71" s="2">
        <f t="shared" si="0"/>
        <v>604404</v>
      </c>
    </row>
    <row r="72" spans="1:21">
      <c r="A72" s="10">
        <v>30600</v>
      </c>
      <c r="B72" s="11" t="s">
        <v>64</v>
      </c>
      <c r="C72" s="11"/>
      <c r="D72" s="11"/>
      <c r="E72" s="74">
        <v>1155265.48</v>
      </c>
      <c r="F72" s="74">
        <v>6107445.1140000001</v>
      </c>
      <c r="G72" s="12">
        <v>1188483</v>
      </c>
      <c r="H72" s="12"/>
      <c r="I72" s="13">
        <v>0</v>
      </c>
      <c r="J72" s="13">
        <v>0</v>
      </c>
      <c r="K72" s="13">
        <v>0</v>
      </c>
      <c r="L72" s="12">
        <v>15865</v>
      </c>
      <c r="M72" s="12"/>
      <c r="N72" s="13">
        <v>277029</v>
      </c>
      <c r="O72" s="13">
        <v>4015450</v>
      </c>
      <c r="P72" s="13">
        <v>0</v>
      </c>
      <c r="Q72" s="12">
        <v>0</v>
      </c>
      <c r="R72" s="12"/>
      <c r="S72" s="2">
        <v>508731</v>
      </c>
      <c r="T72" s="2">
        <v>4186</v>
      </c>
      <c r="U72" s="2">
        <f t="shared" ref="U72:U138" si="1">S72+T72</f>
        <v>512917</v>
      </c>
    </row>
    <row r="73" spans="1:21">
      <c r="A73" s="10">
        <v>30601</v>
      </c>
      <c r="B73" s="11" t="s">
        <v>65</v>
      </c>
      <c r="C73" s="11"/>
      <c r="D73" s="11"/>
      <c r="E73" s="74">
        <v>22406.59</v>
      </c>
      <c r="F73" s="74">
        <v>127491.39899999999</v>
      </c>
      <c r="G73" s="12">
        <v>24738</v>
      </c>
      <c r="H73" s="12"/>
      <c r="I73" s="13">
        <v>0</v>
      </c>
      <c r="J73" s="13">
        <v>0</v>
      </c>
      <c r="K73" s="13">
        <v>0</v>
      </c>
      <c r="L73" s="12">
        <v>0</v>
      </c>
      <c r="M73" s="12"/>
      <c r="N73" s="13">
        <v>5766</v>
      </c>
      <c r="O73" s="13">
        <v>83581</v>
      </c>
      <c r="P73" s="13">
        <v>0</v>
      </c>
      <c r="Q73" s="12">
        <v>1257</v>
      </c>
      <c r="R73" s="12"/>
      <c r="S73" s="2">
        <v>10589</v>
      </c>
      <c r="T73" s="2">
        <v>-332</v>
      </c>
      <c r="U73" s="2">
        <f t="shared" si="1"/>
        <v>10257</v>
      </c>
    </row>
    <row r="74" spans="1:21">
      <c r="A74" s="10">
        <v>30700</v>
      </c>
      <c r="B74" s="11" t="s">
        <v>66</v>
      </c>
      <c r="C74" s="11"/>
      <c r="D74" s="11"/>
      <c r="E74" s="74">
        <v>3092864.02</v>
      </c>
      <c r="F74" s="74">
        <v>15784649.399999999</v>
      </c>
      <c r="G74" s="12">
        <v>3052281</v>
      </c>
      <c r="H74" s="12"/>
      <c r="I74" s="13">
        <v>0</v>
      </c>
      <c r="J74" s="13">
        <v>0</v>
      </c>
      <c r="K74" s="13">
        <v>0</v>
      </c>
      <c r="L74" s="12">
        <v>61696</v>
      </c>
      <c r="M74" s="12"/>
      <c r="N74" s="13">
        <v>711470</v>
      </c>
      <c r="O74" s="13">
        <v>10312541</v>
      </c>
      <c r="P74" s="13">
        <v>0</v>
      </c>
      <c r="Q74" s="12">
        <v>0</v>
      </c>
      <c r="R74" s="12"/>
      <c r="S74" s="2">
        <v>1306532</v>
      </c>
      <c r="T74" s="2">
        <v>16279</v>
      </c>
      <c r="U74" s="2">
        <f t="shared" si="1"/>
        <v>1322811</v>
      </c>
    </row>
    <row r="75" spans="1:21">
      <c r="A75" s="10">
        <v>30705</v>
      </c>
      <c r="B75" s="11" t="s">
        <v>67</v>
      </c>
      <c r="C75" s="11"/>
      <c r="D75" s="11"/>
      <c r="E75" s="74">
        <v>661488.22</v>
      </c>
      <c r="F75" s="74">
        <v>2986941.3480000002</v>
      </c>
      <c r="G75" s="12">
        <v>600162</v>
      </c>
      <c r="H75" s="12"/>
      <c r="I75" s="13">
        <v>0</v>
      </c>
      <c r="J75" s="13">
        <v>0</v>
      </c>
      <c r="K75" s="13">
        <v>0</v>
      </c>
      <c r="L75" s="12">
        <v>146720</v>
      </c>
      <c r="M75" s="12"/>
      <c r="N75" s="13">
        <v>139895</v>
      </c>
      <c r="O75" s="13">
        <v>2027729</v>
      </c>
      <c r="P75" s="13">
        <v>0</v>
      </c>
      <c r="Q75" s="12">
        <v>0</v>
      </c>
      <c r="R75" s="12"/>
      <c r="S75" s="2">
        <v>256900</v>
      </c>
      <c r="T75" s="2">
        <v>38712</v>
      </c>
      <c r="U75" s="2">
        <f t="shared" si="1"/>
        <v>295612</v>
      </c>
    </row>
    <row r="76" spans="1:21">
      <c r="A76" s="10">
        <v>30800</v>
      </c>
      <c r="B76" s="11" t="s">
        <v>68</v>
      </c>
      <c r="C76" s="11"/>
      <c r="D76" s="11"/>
      <c r="E76" s="74">
        <v>1353404.53</v>
      </c>
      <c r="F76" s="74">
        <v>6623481.7289999994</v>
      </c>
      <c r="G76" s="12">
        <v>1342422</v>
      </c>
      <c r="H76" s="12"/>
      <c r="I76" s="13">
        <v>0</v>
      </c>
      <c r="J76" s="13">
        <v>0</v>
      </c>
      <c r="K76" s="13">
        <v>0</v>
      </c>
      <c r="L76" s="12">
        <v>273912</v>
      </c>
      <c r="M76" s="12"/>
      <c r="N76" s="13">
        <v>312911</v>
      </c>
      <c r="O76" s="13">
        <v>4535553</v>
      </c>
      <c r="P76" s="13">
        <v>0</v>
      </c>
      <c r="Q76" s="12">
        <v>0</v>
      </c>
      <c r="R76" s="12"/>
      <c r="S76" s="2">
        <v>574625</v>
      </c>
      <c r="T76" s="2">
        <v>72272</v>
      </c>
      <c r="U76" s="2">
        <f t="shared" si="1"/>
        <v>646897</v>
      </c>
    </row>
    <row r="77" spans="1:21">
      <c r="A77" s="10">
        <v>30900</v>
      </c>
      <c r="B77" s="11" t="s">
        <v>69</v>
      </c>
      <c r="C77" s="11"/>
      <c r="D77" s="11"/>
      <c r="E77" s="74">
        <v>2290716.1800000002</v>
      </c>
      <c r="F77" s="74">
        <v>11498509.986</v>
      </c>
      <c r="G77" s="12">
        <v>2160068</v>
      </c>
      <c r="H77" s="12"/>
      <c r="I77" s="13">
        <v>0</v>
      </c>
      <c r="J77" s="13">
        <v>0</v>
      </c>
      <c r="K77" s="13">
        <v>0</v>
      </c>
      <c r="L77" s="12">
        <v>0</v>
      </c>
      <c r="M77" s="12"/>
      <c r="N77" s="13">
        <v>503500</v>
      </c>
      <c r="O77" s="13">
        <v>7298082</v>
      </c>
      <c r="P77" s="13">
        <v>0</v>
      </c>
      <c r="Q77" s="12">
        <v>135113</v>
      </c>
      <c r="R77" s="12"/>
      <c r="S77" s="2">
        <v>924619</v>
      </c>
      <c r="T77" s="2">
        <v>-35650</v>
      </c>
      <c r="U77" s="2">
        <f t="shared" si="1"/>
        <v>888969</v>
      </c>
    </row>
    <row r="78" spans="1:21">
      <c r="A78" s="10">
        <v>30905</v>
      </c>
      <c r="B78" s="11" t="s">
        <v>70</v>
      </c>
      <c r="C78" s="11"/>
      <c r="D78" s="11"/>
      <c r="E78" s="74">
        <v>540541.71</v>
      </c>
      <c r="F78" s="74">
        <v>2531614.923</v>
      </c>
      <c r="G78" s="12">
        <v>476472</v>
      </c>
      <c r="H78" s="12"/>
      <c r="I78" s="13">
        <v>0</v>
      </c>
      <c r="J78" s="13">
        <v>0</v>
      </c>
      <c r="K78" s="13">
        <v>0</v>
      </c>
      <c r="L78" s="12">
        <v>1845</v>
      </c>
      <c r="M78" s="12"/>
      <c r="N78" s="13">
        <v>111063</v>
      </c>
      <c r="O78" s="13">
        <v>1609824</v>
      </c>
      <c r="P78" s="13">
        <v>0</v>
      </c>
      <c r="Q78" s="12">
        <v>0</v>
      </c>
      <c r="R78" s="12"/>
      <c r="S78" s="2">
        <v>203954</v>
      </c>
      <c r="T78" s="2">
        <v>487</v>
      </c>
      <c r="U78" s="2">
        <f t="shared" si="1"/>
        <v>204441</v>
      </c>
    </row>
    <row r="79" spans="1:21">
      <c r="A79" s="10">
        <v>31000</v>
      </c>
      <c r="B79" s="11" t="s">
        <v>71</v>
      </c>
      <c r="C79" s="11"/>
      <c r="D79" s="11"/>
      <c r="E79" s="74">
        <v>5604549.1200000001</v>
      </c>
      <c r="F79" s="74">
        <v>28236309.368999999</v>
      </c>
      <c r="G79" s="12">
        <v>5618593</v>
      </c>
      <c r="H79" s="12"/>
      <c r="I79" s="13">
        <v>0</v>
      </c>
      <c r="J79" s="13">
        <v>0</v>
      </c>
      <c r="K79" s="13">
        <v>0</v>
      </c>
      <c r="L79" s="12">
        <v>692030</v>
      </c>
      <c r="M79" s="12"/>
      <c r="N79" s="13">
        <v>1309664</v>
      </c>
      <c r="O79" s="13">
        <v>18983172</v>
      </c>
      <c r="P79" s="13">
        <v>0</v>
      </c>
      <c r="Q79" s="12">
        <v>0</v>
      </c>
      <c r="R79" s="12"/>
      <c r="S79" s="2">
        <v>2405045</v>
      </c>
      <c r="T79" s="2">
        <v>182594</v>
      </c>
      <c r="U79" s="2">
        <f t="shared" si="1"/>
        <v>2587639</v>
      </c>
    </row>
    <row r="80" spans="1:21">
      <c r="A80" s="10">
        <v>31005</v>
      </c>
      <c r="B80" s="11" t="s">
        <v>72</v>
      </c>
      <c r="C80" s="11"/>
      <c r="D80" s="11"/>
      <c r="E80" s="74">
        <v>626394.92000000004</v>
      </c>
      <c r="F80" s="74">
        <v>3023367.4619999998</v>
      </c>
      <c r="G80" s="12">
        <v>561707</v>
      </c>
      <c r="H80" s="12"/>
      <c r="I80" s="13">
        <v>0</v>
      </c>
      <c r="J80" s="13">
        <v>0</v>
      </c>
      <c r="K80" s="13">
        <v>0</v>
      </c>
      <c r="L80" s="12">
        <v>0</v>
      </c>
      <c r="M80" s="12"/>
      <c r="N80" s="13">
        <v>130931</v>
      </c>
      <c r="O80" s="13">
        <v>1897802</v>
      </c>
      <c r="P80" s="13">
        <v>0</v>
      </c>
      <c r="Q80" s="12">
        <v>37166</v>
      </c>
      <c r="R80" s="12"/>
      <c r="S80" s="2">
        <v>240439</v>
      </c>
      <c r="T80" s="2">
        <v>-9806</v>
      </c>
      <c r="U80" s="2">
        <f t="shared" si="1"/>
        <v>230633</v>
      </c>
    </row>
    <row r="81" spans="1:21">
      <c r="A81" s="10">
        <v>31100</v>
      </c>
      <c r="B81" s="11" t="s">
        <v>73</v>
      </c>
      <c r="C81" s="11"/>
      <c r="D81" s="11"/>
      <c r="E81" s="74">
        <v>11154834</v>
      </c>
      <c r="F81" s="74">
        <v>60467349.240000002</v>
      </c>
      <c r="G81" s="12">
        <v>11654568</v>
      </c>
      <c r="H81" s="12"/>
      <c r="I81" s="13">
        <v>0</v>
      </c>
      <c r="J81" s="13">
        <v>0</v>
      </c>
      <c r="K81" s="13">
        <v>0</v>
      </c>
      <c r="L81" s="12">
        <v>0</v>
      </c>
      <c r="M81" s="12"/>
      <c r="N81" s="13">
        <v>2716617</v>
      </c>
      <c r="O81" s="13">
        <v>39376526</v>
      </c>
      <c r="P81" s="13">
        <v>0</v>
      </c>
      <c r="Q81" s="12">
        <v>437990</v>
      </c>
      <c r="R81" s="12"/>
      <c r="S81" s="2">
        <v>4988750</v>
      </c>
      <c r="T81" s="2">
        <v>-115565</v>
      </c>
      <c r="U81" s="2">
        <f t="shared" si="1"/>
        <v>4873185</v>
      </c>
    </row>
    <row r="82" spans="1:21">
      <c r="A82" s="10">
        <v>31101</v>
      </c>
      <c r="B82" s="11" t="s">
        <v>74</v>
      </c>
      <c r="C82" s="11"/>
      <c r="D82" s="11"/>
      <c r="E82" s="74">
        <v>65115.519999999997</v>
      </c>
      <c r="F82" s="74">
        <v>449255.40599999996</v>
      </c>
      <c r="G82" s="12">
        <v>89573</v>
      </c>
      <c r="H82" s="12"/>
      <c r="I82" s="13">
        <v>0</v>
      </c>
      <c r="J82" s="13">
        <v>0</v>
      </c>
      <c r="K82" s="13">
        <v>0</v>
      </c>
      <c r="L82" s="12">
        <v>0</v>
      </c>
      <c r="M82" s="12"/>
      <c r="N82" s="13">
        <v>20879</v>
      </c>
      <c r="O82" s="13">
        <v>302634</v>
      </c>
      <c r="P82" s="13">
        <v>0</v>
      </c>
      <c r="Q82" s="12">
        <v>7434</v>
      </c>
      <c r="R82" s="12"/>
      <c r="S82" s="2">
        <v>38342</v>
      </c>
      <c r="T82" s="2">
        <v>-1961</v>
      </c>
      <c r="U82" s="2">
        <f t="shared" si="1"/>
        <v>36381</v>
      </c>
    </row>
    <row r="83" spans="1:21">
      <c r="A83" s="10">
        <v>31102</v>
      </c>
      <c r="B83" s="11" t="s">
        <v>75</v>
      </c>
      <c r="C83" s="11"/>
      <c r="D83" s="11"/>
      <c r="E83" s="74">
        <v>146935.57999999999</v>
      </c>
      <c r="F83" s="74">
        <v>1080641.382</v>
      </c>
      <c r="G83" s="12">
        <v>183718</v>
      </c>
      <c r="H83" s="12"/>
      <c r="I83" s="13">
        <v>0</v>
      </c>
      <c r="J83" s="13">
        <v>0</v>
      </c>
      <c r="K83" s="13">
        <v>0</v>
      </c>
      <c r="L83" s="12">
        <v>0</v>
      </c>
      <c r="M83" s="12"/>
      <c r="N83" s="13">
        <v>42824</v>
      </c>
      <c r="O83" s="13">
        <v>620717</v>
      </c>
      <c r="P83" s="13">
        <v>0</v>
      </c>
      <c r="Q83" s="12">
        <v>130622</v>
      </c>
      <c r="R83" s="12"/>
      <c r="S83" s="2">
        <v>78641</v>
      </c>
      <c r="T83" s="2">
        <v>-34465</v>
      </c>
      <c r="U83" s="2">
        <f t="shared" si="1"/>
        <v>44176</v>
      </c>
    </row>
    <row r="84" spans="1:21">
      <c r="A84" s="10">
        <v>31105</v>
      </c>
      <c r="B84" s="11" t="s">
        <v>76</v>
      </c>
      <c r="C84" s="11"/>
      <c r="D84" s="11"/>
      <c r="E84" s="74">
        <v>1952962.34</v>
      </c>
      <c r="F84" s="74">
        <v>9501144.7349999994</v>
      </c>
      <c r="G84" s="12">
        <v>1834956</v>
      </c>
      <c r="H84" s="12"/>
      <c r="I84" s="13">
        <v>0</v>
      </c>
      <c r="J84" s="13">
        <v>0</v>
      </c>
      <c r="K84" s="13">
        <v>0</v>
      </c>
      <c r="L84" s="12">
        <v>101818</v>
      </c>
      <c r="M84" s="12"/>
      <c r="N84" s="13">
        <v>427718</v>
      </c>
      <c r="O84" s="13">
        <v>6199646</v>
      </c>
      <c r="P84" s="13">
        <v>0</v>
      </c>
      <c r="Q84" s="12">
        <v>0</v>
      </c>
      <c r="R84" s="12"/>
      <c r="S84" s="2">
        <v>785455</v>
      </c>
      <c r="T84" s="2">
        <v>26865</v>
      </c>
      <c r="U84" s="2">
        <f t="shared" si="1"/>
        <v>812320</v>
      </c>
    </row>
    <row r="85" spans="1:21">
      <c r="A85" s="10">
        <v>31110</v>
      </c>
      <c r="B85" s="11" t="s">
        <v>77</v>
      </c>
      <c r="C85" s="11"/>
      <c r="D85" s="11"/>
      <c r="E85" s="74">
        <v>2437005.56</v>
      </c>
      <c r="F85" s="74">
        <v>13386596.895</v>
      </c>
      <c r="G85" s="12">
        <v>2632789</v>
      </c>
      <c r="H85" s="12"/>
      <c r="I85" s="13">
        <v>0</v>
      </c>
      <c r="J85" s="13">
        <v>0</v>
      </c>
      <c r="K85" s="13">
        <v>0</v>
      </c>
      <c r="L85" s="12">
        <v>51547</v>
      </c>
      <c r="M85" s="12"/>
      <c r="N85" s="13">
        <v>613689</v>
      </c>
      <c r="O85" s="13">
        <v>8895230</v>
      </c>
      <c r="P85" s="13">
        <v>0</v>
      </c>
      <c r="Q85" s="12">
        <v>0</v>
      </c>
      <c r="R85" s="12"/>
      <c r="S85" s="2">
        <v>1126968</v>
      </c>
      <c r="T85" s="2">
        <v>13601</v>
      </c>
      <c r="U85" s="2">
        <f t="shared" si="1"/>
        <v>1140569</v>
      </c>
    </row>
    <row r="86" spans="1:21">
      <c r="A86" s="10">
        <v>31200</v>
      </c>
      <c r="B86" s="11" t="s">
        <v>78</v>
      </c>
      <c r="C86" s="11"/>
      <c r="D86" s="11"/>
      <c r="E86" s="74">
        <v>5623973.4100000001</v>
      </c>
      <c r="F86" s="74">
        <v>31211108.678999998</v>
      </c>
      <c r="G86" s="12">
        <v>5947223</v>
      </c>
      <c r="H86" s="12"/>
      <c r="I86" s="13">
        <v>0</v>
      </c>
      <c r="J86" s="13">
        <v>0</v>
      </c>
      <c r="K86" s="13">
        <v>0</v>
      </c>
      <c r="L86" s="12">
        <v>0</v>
      </c>
      <c r="M86" s="12"/>
      <c r="N86" s="13">
        <v>1386265</v>
      </c>
      <c r="O86" s="13">
        <v>20093492</v>
      </c>
      <c r="P86" s="13">
        <v>0</v>
      </c>
      <c r="Q86" s="12">
        <v>558507</v>
      </c>
      <c r="R86" s="12"/>
      <c r="S86" s="2">
        <v>2545715</v>
      </c>
      <c r="T86" s="2">
        <v>-147363</v>
      </c>
      <c r="U86" s="2">
        <f t="shared" si="1"/>
        <v>2398352</v>
      </c>
    </row>
    <row r="87" spans="1:21">
      <c r="A87" s="10">
        <v>31205</v>
      </c>
      <c r="B87" s="11" t="s">
        <v>79</v>
      </c>
      <c r="C87" s="11"/>
      <c r="D87" s="11"/>
      <c r="E87" s="74">
        <v>867980.91</v>
      </c>
      <c r="F87" s="74">
        <v>4456127.9459999995</v>
      </c>
      <c r="G87" s="12">
        <v>803695</v>
      </c>
      <c r="H87" s="12"/>
      <c r="I87" s="13">
        <v>0</v>
      </c>
      <c r="J87" s="13">
        <v>0</v>
      </c>
      <c r="K87" s="13">
        <v>0</v>
      </c>
      <c r="L87" s="12">
        <v>0</v>
      </c>
      <c r="M87" s="12"/>
      <c r="N87" s="13">
        <v>187337</v>
      </c>
      <c r="O87" s="13">
        <v>2715390</v>
      </c>
      <c r="P87" s="13">
        <v>0</v>
      </c>
      <c r="Q87" s="12">
        <v>178619</v>
      </c>
      <c r="R87" s="12"/>
      <c r="S87" s="2">
        <v>344022</v>
      </c>
      <c r="T87" s="2">
        <v>-47129</v>
      </c>
      <c r="U87" s="2">
        <f t="shared" si="1"/>
        <v>296893</v>
      </c>
    </row>
    <row r="88" spans="1:21">
      <c r="A88" s="10">
        <v>31300</v>
      </c>
      <c r="B88" s="11" t="s">
        <v>80</v>
      </c>
      <c r="C88" s="11"/>
      <c r="D88" s="11"/>
      <c r="E88" s="74">
        <v>11404273.41</v>
      </c>
      <c r="F88" s="74">
        <v>65900911.244999997</v>
      </c>
      <c r="G88" s="12">
        <v>12489566</v>
      </c>
      <c r="H88" s="12"/>
      <c r="I88" s="13">
        <v>0</v>
      </c>
      <c r="J88" s="13">
        <v>0</v>
      </c>
      <c r="K88" s="13">
        <v>0</v>
      </c>
      <c r="L88" s="12">
        <v>0</v>
      </c>
      <c r="M88" s="12"/>
      <c r="N88" s="13">
        <v>2911250</v>
      </c>
      <c r="O88" s="13">
        <v>42197680</v>
      </c>
      <c r="P88" s="13">
        <v>0</v>
      </c>
      <c r="Q88" s="12">
        <v>1775772</v>
      </c>
      <c r="R88" s="12"/>
      <c r="S88" s="2">
        <v>5346172</v>
      </c>
      <c r="T88" s="2">
        <v>-468541</v>
      </c>
      <c r="U88" s="2">
        <f t="shared" si="1"/>
        <v>4877631</v>
      </c>
    </row>
    <row r="89" spans="1:21">
      <c r="A89" s="10">
        <v>31301</v>
      </c>
      <c r="B89" s="11" t="s">
        <v>81</v>
      </c>
      <c r="C89" s="11"/>
      <c r="D89" s="11"/>
      <c r="E89" s="74">
        <v>171021.39</v>
      </c>
      <c r="F89" s="74">
        <v>989576.09700000007</v>
      </c>
      <c r="G89" s="12">
        <v>210450</v>
      </c>
      <c r="H89" s="12"/>
      <c r="I89" s="13">
        <v>0</v>
      </c>
      <c r="J89" s="13">
        <v>0</v>
      </c>
      <c r="K89" s="13">
        <v>0</v>
      </c>
      <c r="L89" s="12">
        <v>48976</v>
      </c>
      <c r="M89" s="12"/>
      <c r="N89" s="13">
        <v>49055</v>
      </c>
      <c r="O89" s="13">
        <v>711032</v>
      </c>
      <c r="P89" s="13">
        <v>0</v>
      </c>
      <c r="Q89" s="12">
        <v>0</v>
      </c>
      <c r="R89" s="12"/>
      <c r="S89" s="2">
        <v>90083</v>
      </c>
      <c r="T89" s="2">
        <v>12922</v>
      </c>
      <c r="U89" s="2">
        <f t="shared" si="1"/>
        <v>103005</v>
      </c>
    </row>
    <row r="90" spans="1:21">
      <c r="A90" s="10">
        <v>31320</v>
      </c>
      <c r="B90" s="11" t="s">
        <v>82</v>
      </c>
      <c r="C90" s="11"/>
      <c r="D90" s="11"/>
      <c r="E90" s="74">
        <v>2321996.39</v>
      </c>
      <c r="F90" s="74">
        <v>13781213.129999999</v>
      </c>
      <c r="G90" s="12">
        <v>2582492</v>
      </c>
      <c r="H90" s="12"/>
      <c r="I90" s="13">
        <v>0</v>
      </c>
      <c r="J90" s="13">
        <v>0</v>
      </c>
      <c r="K90" s="13">
        <v>0</v>
      </c>
      <c r="L90" s="12">
        <v>0</v>
      </c>
      <c r="M90" s="12"/>
      <c r="N90" s="13">
        <v>601965</v>
      </c>
      <c r="O90" s="13">
        <v>8725296</v>
      </c>
      <c r="P90" s="13">
        <v>0</v>
      </c>
      <c r="Q90" s="12">
        <v>518180</v>
      </c>
      <c r="R90" s="12"/>
      <c r="S90" s="2">
        <v>1105438</v>
      </c>
      <c r="T90" s="2">
        <v>-136723</v>
      </c>
      <c r="U90" s="2">
        <f t="shared" si="1"/>
        <v>968715</v>
      </c>
    </row>
    <row r="91" spans="1:21">
      <c r="A91" s="10">
        <v>31400</v>
      </c>
      <c r="B91" s="11" t="s">
        <v>83</v>
      </c>
      <c r="C91" s="11"/>
      <c r="D91" s="11"/>
      <c r="E91" s="74">
        <v>5360638.66</v>
      </c>
      <c r="F91" s="74">
        <v>29244098.523000002</v>
      </c>
      <c r="G91" s="12">
        <v>5556220</v>
      </c>
      <c r="H91" s="12"/>
      <c r="I91" s="13">
        <v>0</v>
      </c>
      <c r="J91" s="13">
        <v>0</v>
      </c>
      <c r="K91" s="13">
        <v>0</v>
      </c>
      <c r="L91" s="12">
        <v>0</v>
      </c>
      <c r="M91" s="12"/>
      <c r="N91" s="13">
        <v>1295125</v>
      </c>
      <c r="O91" s="13">
        <v>18772438</v>
      </c>
      <c r="P91" s="13">
        <v>0</v>
      </c>
      <c r="Q91" s="12">
        <v>504824</v>
      </c>
      <c r="R91" s="12"/>
      <c r="S91" s="2">
        <v>2378346</v>
      </c>
      <c r="T91" s="2">
        <v>-133199</v>
      </c>
      <c r="U91" s="2">
        <f t="shared" si="1"/>
        <v>2245147</v>
      </c>
    </row>
    <row r="92" spans="1:21">
      <c r="A92" s="10">
        <v>31405</v>
      </c>
      <c r="B92" s="11" t="s">
        <v>84</v>
      </c>
      <c r="C92" s="11"/>
      <c r="D92" s="11"/>
      <c r="E92" s="74">
        <v>1361142.08</v>
      </c>
      <c r="F92" s="74">
        <v>6690262.9379999992</v>
      </c>
      <c r="G92" s="12">
        <v>1237725</v>
      </c>
      <c r="H92" s="12"/>
      <c r="I92" s="13">
        <v>0</v>
      </c>
      <c r="J92" s="13">
        <v>0</v>
      </c>
      <c r="K92" s="13">
        <v>0</v>
      </c>
      <c r="L92" s="12">
        <v>0</v>
      </c>
      <c r="M92" s="12"/>
      <c r="N92" s="13">
        <v>288507</v>
      </c>
      <c r="O92" s="13">
        <v>4181820</v>
      </c>
      <c r="P92" s="13">
        <v>0</v>
      </c>
      <c r="Q92" s="12">
        <v>119380</v>
      </c>
      <c r="R92" s="12"/>
      <c r="S92" s="2">
        <v>529809</v>
      </c>
      <c r="T92" s="2">
        <v>-31499</v>
      </c>
      <c r="U92" s="2">
        <f t="shared" si="1"/>
        <v>498310</v>
      </c>
    </row>
    <row r="93" spans="1:21">
      <c r="A93" s="10">
        <v>31500</v>
      </c>
      <c r="B93" s="11" t="s">
        <v>85</v>
      </c>
      <c r="C93" s="11"/>
      <c r="D93" s="11"/>
      <c r="E93" s="74">
        <v>861544.31</v>
      </c>
      <c r="F93" s="74">
        <v>4620045.4589999998</v>
      </c>
      <c r="G93" s="12">
        <v>891157</v>
      </c>
      <c r="H93" s="12"/>
      <c r="I93" s="13">
        <v>0</v>
      </c>
      <c r="J93" s="13">
        <v>0</v>
      </c>
      <c r="K93" s="13">
        <v>0</v>
      </c>
      <c r="L93" s="12">
        <v>0</v>
      </c>
      <c r="M93" s="12"/>
      <c r="N93" s="13">
        <v>207724</v>
      </c>
      <c r="O93" s="13">
        <v>3010894</v>
      </c>
      <c r="P93" s="13">
        <v>0</v>
      </c>
      <c r="Q93" s="12">
        <v>23884</v>
      </c>
      <c r="R93" s="12"/>
      <c r="S93" s="2">
        <v>381461</v>
      </c>
      <c r="T93" s="2">
        <v>-6302</v>
      </c>
      <c r="U93" s="2">
        <f t="shared" si="1"/>
        <v>375159</v>
      </c>
    </row>
    <row r="94" spans="1:21">
      <c r="A94" s="10">
        <v>31600</v>
      </c>
      <c r="B94" s="11" t="s">
        <v>86</v>
      </c>
      <c r="C94" s="11"/>
      <c r="D94" s="11"/>
      <c r="E94" s="74">
        <v>3887294.68</v>
      </c>
      <c r="F94" s="74">
        <v>19299769.401000001</v>
      </c>
      <c r="G94" s="12">
        <v>3813417</v>
      </c>
      <c r="H94" s="12"/>
      <c r="I94" s="13">
        <v>0</v>
      </c>
      <c r="J94" s="13">
        <v>0</v>
      </c>
      <c r="K94" s="13">
        <v>0</v>
      </c>
      <c r="L94" s="12">
        <v>428557</v>
      </c>
      <c r="M94" s="12"/>
      <c r="N94" s="13">
        <v>888887</v>
      </c>
      <c r="O94" s="13">
        <v>12884141</v>
      </c>
      <c r="P94" s="13">
        <v>0</v>
      </c>
      <c r="Q94" s="12">
        <v>0</v>
      </c>
      <c r="R94" s="12"/>
      <c r="S94" s="2">
        <v>1632337</v>
      </c>
      <c r="T94" s="2">
        <v>113076</v>
      </c>
      <c r="U94" s="2">
        <f t="shared" si="1"/>
        <v>1745413</v>
      </c>
    </row>
    <row r="95" spans="1:21">
      <c r="A95" s="10">
        <v>31601</v>
      </c>
      <c r="B95" s="11" t="s">
        <v>286</v>
      </c>
      <c r="C95" s="11"/>
      <c r="D95" s="11"/>
      <c r="E95" s="74"/>
      <c r="F95" s="74">
        <v>54639.171000000002</v>
      </c>
      <c r="G95" s="12">
        <v>10552</v>
      </c>
      <c r="H95" s="12"/>
      <c r="I95" s="13">
        <v>0</v>
      </c>
      <c r="J95" s="13">
        <v>0</v>
      </c>
      <c r="K95" s="13">
        <v>0</v>
      </c>
      <c r="L95" s="12">
        <v>0</v>
      </c>
      <c r="M95" s="12"/>
      <c r="N95" s="13">
        <v>2460</v>
      </c>
      <c r="O95" s="13">
        <v>35651</v>
      </c>
      <c r="P95" s="13">
        <v>0</v>
      </c>
      <c r="Q95" s="12">
        <v>8303</v>
      </c>
      <c r="R95" s="12"/>
      <c r="S95" s="2">
        <v>4517</v>
      </c>
      <c r="T95" s="2">
        <v>-2191</v>
      </c>
      <c r="U95" s="2">
        <f t="shared" si="1"/>
        <v>2326</v>
      </c>
    </row>
    <row r="96" spans="1:21">
      <c r="A96" s="10">
        <v>31605</v>
      </c>
      <c r="B96" s="11" t="s">
        <v>87</v>
      </c>
      <c r="C96" s="11"/>
      <c r="D96" s="11"/>
      <c r="E96" s="74">
        <v>644944.62</v>
      </c>
      <c r="F96" s="74">
        <v>3011225.4240000001</v>
      </c>
      <c r="G96" s="12">
        <v>559831</v>
      </c>
      <c r="H96" s="12"/>
      <c r="I96" s="13">
        <v>0</v>
      </c>
      <c r="J96" s="13">
        <v>0</v>
      </c>
      <c r="K96" s="13">
        <v>0</v>
      </c>
      <c r="L96" s="12">
        <v>0</v>
      </c>
      <c r="M96" s="12"/>
      <c r="N96" s="13">
        <v>130494</v>
      </c>
      <c r="O96" s="13">
        <v>1891464</v>
      </c>
      <c r="P96" s="13">
        <v>0</v>
      </c>
      <c r="Q96" s="12">
        <v>19091</v>
      </c>
      <c r="R96" s="12"/>
      <c r="S96" s="2">
        <v>239636</v>
      </c>
      <c r="T96" s="2">
        <v>-5037</v>
      </c>
      <c r="U96" s="2">
        <f t="shared" si="1"/>
        <v>234599</v>
      </c>
    </row>
    <row r="97" spans="1:21">
      <c r="A97" s="10">
        <v>31700</v>
      </c>
      <c r="B97" s="11" t="s">
        <v>88</v>
      </c>
      <c r="C97" s="11"/>
      <c r="D97" s="11"/>
      <c r="E97" s="74">
        <v>1216142.92</v>
      </c>
      <c r="F97" s="74">
        <v>6022450.8480000002</v>
      </c>
      <c r="G97" s="12">
        <v>1121303</v>
      </c>
      <c r="H97" s="12"/>
      <c r="I97" s="13">
        <v>0</v>
      </c>
      <c r="J97" s="13">
        <v>0</v>
      </c>
      <c r="K97" s="13">
        <v>0</v>
      </c>
      <c r="L97" s="12">
        <v>0</v>
      </c>
      <c r="M97" s="12"/>
      <c r="N97" s="13">
        <v>261370</v>
      </c>
      <c r="O97" s="13">
        <v>3788474</v>
      </c>
      <c r="P97" s="13">
        <v>0</v>
      </c>
      <c r="Q97" s="12">
        <v>91099</v>
      </c>
      <c r="R97" s="12"/>
      <c r="S97" s="2">
        <v>479975</v>
      </c>
      <c r="T97" s="2">
        <v>-24037</v>
      </c>
      <c r="U97" s="2">
        <f t="shared" si="1"/>
        <v>455938</v>
      </c>
    </row>
    <row r="98" spans="1:21">
      <c r="A98" s="10">
        <v>31800</v>
      </c>
      <c r="B98" s="11" t="s">
        <v>89</v>
      </c>
      <c r="C98" s="11"/>
      <c r="D98" s="11"/>
      <c r="E98" s="74">
        <v>7086316.6399999997</v>
      </c>
      <c r="F98" s="74">
        <v>37840661.427000001</v>
      </c>
      <c r="G98" s="12">
        <v>7301252</v>
      </c>
      <c r="H98" s="12"/>
      <c r="I98" s="13">
        <v>0</v>
      </c>
      <c r="J98" s="13">
        <v>0</v>
      </c>
      <c r="K98" s="13">
        <v>0</v>
      </c>
      <c r="L98" s="12">
        <v>0</v>
      </c>
      <c r="M98" s="12"/>
      <c r="N98" s="13">
        <v>1701882</v>
      </c>
      <c r="O98" s="13">
        <v>24668261</v>
      </c>
      <c r="P98" s="13">
        <v>0</v>
      </c>
      <c r="Q98" s="12">
        <v>164781</v>
      </c>
      <c r="R98" s="12"/>
      <c r="S98" s="2">
        <v>3125308</v>
      </c>
      <c r="T98" s="2">
        <v>-43478</v>
      </c>
      <c r="U98" s="2">
        <f t="shared" si="1"/>
        <v>3081830</v>
      </c>
    </row>
    <row r="99" spans="1:21">
      <c r="A99" s="10">
        <v>31805</v>
      </c>
      <c r="B99" s="11" t="s">
        <v>90</v>
      </c>
      <c r="C99" s="11"/>
      <c r="D99" s="11"/>
      <c r="E99" s="74">
        <v>1607015.88</v>
      </c>
      <c r="F99" s="74">
        <v>7594844.7689999994</v>
      </c>
      <c r="G99" s="12">
        <v>1446416</v>
      </c>
      <c r="H99" s="12"/>
      <c r="I99" s="13">
        <v>0</v>
      </c>
      <c r="J99" s="13">
        <v>0</v>
      </c>
      <c r="K99" s="13">
        <v>0</v>
      </c>
      <c r="L99" s="12">
        <v>50250</v>
      </c>
      <c r="M99" s="12"/>
      <c r="N99" s="13">
        <v>337152</v>
      </c>
      <c r="O99" s="13">
        <v>4886910</v>
      </c>
      <c r="P99" s="13">
        <v>0</v>
      </c>
      <c r="Q99" s="12">
        <v>0</v>
      </c>
      <c r="R99" s="12"/>
      <c r="S99" s="2">
        <v>619140</v>
      </c>
      <c r="T99" s="2">
        <v>13259</v>
      </c>
      <c r="U99" s="2">
        <f t="shared" si="1"/>
        <v>632399</v>
      </c>
    </row>
    <row r="100" spans="1:21">
      <c r="A100" s="10">
        <v>31810</v>
      </c>
      <c r="B100" s="11" t="s">
        <v>91</v>
      </c>
      <c r="C100" s="11"/>
      <c r="D100" s="11"/>
      <c r="E100" s="74">
        <v>1755922.53</v>
      </c>
      <c r="F100" s="74">
        <v>9695417.3429999985</v>
      </c>
      <c r="G100" s="12">
        <v>1759569</v>
      </c>
      <c r="H100" s="12"/>
      <c r="I100" s="13">
        <v>0</v>
      </c>
      <c r="J100" s="13">
        <v>0</v>
      </c>
      <c r="K100" s="13">
        <v>0</v>
      </c>
      <c r="L100" s="12">
        <v>0</v>
      </c>
      <c r="M100" s="12"/>
      <c r="N100" s="13">
        <v>410146</v>
      </c>
      <c r="O100" s="13">
        <v>5944942</v>
      </c>
      <c r="P100" s="13">
        <v>0</v>
      </c>
      <c r="Q100" s="12">
        <v>457350</v>
      </c>
      <c r="R100" s="12"/>
      <c r="S100" s="2">
        <v>753185</v>
      </c>
      <c r="T100" s="2">
        <v>-120673</v>
      </c>
      <c r="U100" s="2">
        <f t="shared" si="1"/>
        <v>632512</v>
      </c>
    </row>
    <row r="101" spans="1:21">
      <c r="A101" s="10">
        <v>31820</v>
      </c>
      <c r="B101" s="11" t="s">
        <v>92</v>
      </c>
      <c r="C101" s="11"/>
      <c r="D101" s="11"/>
      <c r="E101" s="74">
        <v>1422079.72</v>
      </c>
      <c r="F101" s="74">
        <v>7685910.0539999995</v>
      </c>
      <c r="G101" s="12">
        <v>1482878</v>
      </c>
      <c r="H101" s="12"/>
      <c r="I101" s="13">
        <v>0</v>
      </c>
      <c r="J101" s="13">
        <v>0</v>
      </c>
      <c r="K101" s="13">
        <v>0</v>
      </c>
      <c r="L101" s="12">
        <v>0</v>
      </c>
      <c r="M101" s="12"/>
      <c r="N101" s="13">
        <v>345651</v>
      </c>
      <c r="O101" s="13">
        <v>5010103</v>
      </c>
      <c r="P101" s="13">
        <v>0</v>
      </c>
      <c r="Q101" s="12">
        <v>47431</v>
      </c>
      <c r="R101" s="12"/>
      <c r="S101" s="2">
        <v>634747</v>
      </c>
      <c r="T101" s="2">
        <v>-12515</v>
      </c>
      <c r="U101" s="2">
        <f t="shared" si="1"/>
        <v>622232</v>
      </c>
    </row>
    <row r="102" spans="1:21">
      <c r="A102" s="10">
        <v>31900</v>
      </c>
      <c r="B102" s="11" t="s">
        <v>93</v>
      </c>
      <c r="C102" s="11"/>
      <c r="D102" s="11"/>
      <c r="E102" s="74">
        <v>3909322.43</v>
      </c>
      <c r="F102" s="74">
        <v>21078577.967999998</v>
      </c>
      <c r="G102" s="12">
        <v>4070294</v>
      </c>
      <c r="H102" s="12"/>
      <c r="I102" s="13">
        <v>0</v>
      </c>
      <c r="J102" s="13">
        <v>0</v>
      </c>
      <c r="K102" s="13">
        <v>0</v>
      </c>
      <c r="L102" s="12">
        <v>0</v>
      </c>
      <c r="M102" s="12"/>
      <c r="N102" s="13">
        <v>948764</v>
      </c>
      <c r="O102" s="13">
        <v>13752036</v>
      </c>
      <c r="P102" s="13">
        <v>0</v>
      </c>
      <c r="Q102" s="12">
        <v>111133</v>
      </c>
      <c r="R102" s="12"/>
      <c r="S102" s="2">
        <v>1742293</v>
      </c>
      <c r="T102" s="2">
        <v>-29323</v>
      </c>
      <c r="U102" s="2">
        <f t="shared" si="1"/>
        <v>1712970</v>
      </c>
    </row>
    <row r="103" spans="1:21">
      <c r="A103" s="10">
        <v>32000</v>
      </c>
      <c r="B103" s="11" t="s">
        <v>94</v>
      </c>
      <c r="C103" s="11"/>
      <c r="D103" s="11"/>
      <c r="E103" s="74">
        <v>1594387.02</v>
      </c>
      <c r="F103" s="74">
        <v>8299082.9729999993</v>
      </c>
      <c r="G103" s="12">
        <v>1580189</v>
      </c>
      <c r="H103" s="12"/>
      <c r="I103" s="13">
        <v>0</v>
      </c>
      <c r="J103" s="13">
        <v>0</v>
      </c>
      <c r="K103" s="13">
        <v>0</v>
      </c>
      <c r="L103" s="12">
        <v>0</v>
      </c>
      <c r="M103" s="12"/>
      <c r="N103" s="13">
        <v>368334</v>
      </c>
      <c r="O103" s="13">
        <v>5338881</v>
      </c>
      <c r="P103" s="13">
        <v>0</v>
      </c>
      <c r="Q103" s="12">
        <v>74134</v>
      </c>
      <c r="R103" s="12"/>
      <c r="S103" s="2">
        <v>676402</v>
      </c>
      <c r="T103" s="2">
        <v>-19560</v>
      </c>
      <c r="U103" s="2">
        <f t="shared" si="1"/>
        <v>656842</v>
      </c>
    </row>
    <row r="104" spans="1:21">
      <c r="A104" s="10">
        <v>32005</v>
      </c>
      <c r="B104" s="11" t="s">
        <v>95</v>
      </c>
      <c r="C104" s="11"/>
      <c r="D104" s="11"/>
      <c r="E104" s="74">
        <v>390754.78</v>
      </c>
      <c r="F104" s="74">
        <v>1839518.757</v>
      </c>
      <c r="G104" s="12">
        <v>375175</v>
      </c>
      <c r="H104" s="12"/>
      <c r="I104" s="13">
        <v>0</v>
      </c>
      <c r="J104" s="13">
        <v>0</v>
      </c>
      <c r="K104" s="13">
        <v>0</v>
      </c>
      <c r="L104" s="12">
        <v>95617</v>
      </c>
      <c r="M104" s="12"/>
      <c r="N104" s="13">
        <v>87451</v>
      </c>
      <c r="O104" s="13">
        <v>1267578</v>
      </c>
      <c r="P104" s="13">
        <v>0</v>
      </c>
      <c r="Q104" s="12">
        <v>0</v>
      </c>
      <c r="R104" s="12"/>
      <c r="S104" s="2">
        <v>160594</v>
      </c>
      <c r="T104" s="2">
        <v>25229</v>
      </c>
      <c r="U104" s="2">
        <f t="shared" si="1"/>
        <v>185823</v>
      </c>
    </row>
    <row r="105" spans="1:21">
      <c r="A105" s="10">
        <v>32100</v>
      </c>
      <c r="B105" s="11" t="s">
        <v>96</v>
      </c>
      <c r="C105" s="11"/>
      <c r="D105" s="11"/>
      <c r="E105" s="74">
        <v>1136414.55</v>
      </c>
      <c r="F105" s="74">
        <v>5925314.5439999998</v>
      </c>
      <c r="G105" s="12">
        <v>1126345</v>
      </c>
      <c r="H105" s="12"/>
      <c r="I105" s="13">
        <v>0</v>
      </c>
      <c r="J105" s="13">
        <v>0</v>
      </c>
      <c r="K105" s="13">
        <v>0</v>
      </c>
      <c r="L105" s="12">
        <v>0</v>
      </c>
      <c r="M105" s="12"/>
      <c r="N105" s="13">
        <v>262545</v>
      </c>
      <c r="O105" s="13">
        <v>3805508</v>
      </c>
      <c r="P105" s="13">
        <v>0</v>
      </c>
      <c r="Q105" s="12">
        <v>60637</v>
      </c>
      <c r="R105" s="12"/>
      <c r="S105" s="2">
        <v>482133</v>
      </c>
      <c r="T105" s="2">
        <v>-15999</v>
      </c>
      <c r="U105" s="2">
        <f t="shared" si="1"/>
        <v>466134</v>
      </c>
    </row>
    <row r="106" spans="1:21">
      <c r="A106" s="10">
        <v>32200</v>
      </c>
      <c r="B106" s="11" t="s">
        <v>97</v>
      </c>
      <c r="C106" s="11"/>
      <c r="D106" s="11"/>
      <c r="E106" s="74">
        <v>637192.59</v>
      </c>
      <c r="F106" s="74">
        <v>3175142.9370000004</v>
      </c>
      <c r="G106" s="12">
        <v>629473</v>
      </c>
      <c r="H106" s="12"/>
      <c r="I106" s="13">
        <v>0</v>
      </c>
      <c r="J106" s="13">
        <v>0</v>
      </c>
      <c r="K106" s="13">
        <v>0</v>
      </c>
      <c r="L106" s="12">
        <v>75611</v>
      </c>
      <c r="M106" s="12"/>
      <c r="N106" s="13">
        <v>146727</v>
      </c>
      <c r="O106" s="13">
        <v>2126759</v>
      </c>
      <c r="P106" s="13">
        <v>0</v>
      </c>
      <c r="Q106" s="12">
        <v>0</v>
      </c>
      <c r="R106" s="12"/>
      <c r="S106" s="2">
        <v>269446</v>
      </c>
      <c r="T106" s="2">
        <v>19950</v>
      </c>
      <c r="U106" s="2">
        <f t="shared" si="1"/>
        <v>289396</v>
      </c>
    </row>
    <row r="107" spans="1:21">
      <c r="A107" s="10">
        <v>32300</v>
      </c>
      <c r="B107" s="11" t="s">
        <v>98</v>
      </c>
      <c r="C107" s="11"/>
      <c r="D107" s="11"/>
      <c r="E107" s="74">
        <v>7147439.6399999997</v>
      </c>
      <c r="F107" s="74">
        <v>39170214.588</v>
      </c>
      <c r="G107" s="12">
        <v>7408880</v>
      </c>
      <c r="H107" s="12"/>
      <c r="I107" s="13">
        <v>0</v>
      </c>
      <c r="J107" s="13">
        <v>0</v>
      </c>
      <c r="K107" s="13">
        <v>0</v>
      </c>
      <c r="L107" s="12">
        <v>0</v>
      </c>
      <c r="M107" s="12"/>
      <c r="N107" s="13">
        <v>1726970</v>
      </c>
      <c r="O107" s="13">
        <v>25031897</v>
      </c>
      <c r="P107" s="13">
        <v>0</v>
      </c>
      <c r="Q107" s="12">
        <v>812126</v>
      </c>
      <c r="R107" s="12"/>
      <c r="S107" s="2">
        <v>3171379</v>
      </c>
      <c r="T107" s="2">
        <v>-214281</v>
      </c>
      <c r="U107" s="2">
        <f t="shared" si="1"/>
        <v>2957098</v>
      </c>
    </row>
    <row r="108" spans="1:21">
      <c r="A108" s="10">
        <v>32305</v>
      </c>
      <c r="B108" s="11" t="s">
        <v>99</v>
      </c>
      <c r="C108" s="11"/>
      <c r="D108" s="11"/>
      <c r="E108" s="74">
        <v>829689.07</v>
      </c>
      <c r="F108" s="74">
        <v>3575830.1910000001</v>
      </c>
      <c r="G108" s="12">
        <v>711660</v>
      </c>
      <c r="H108" s="12"/>
      <c r="I108" s="13">
        <v>0</v>
      </c>
      <c r="J108" s="13">
        <v>0</v>
      </c>
      <c r="K108" s="13">
        <v>0</v>
      </c>
      <c r="L108" s="12">
        <v>182943</v>
      </c>
      <c r="M108" s="12"/>
      <c r="N108" s="13">
        <v>165884</v>
      </c>
      <c r="O108" s="13">
        <v>2404437</v>
      </c>
      <c r="P108" s="13">
        <v>0</v>
      </c>
      <c r="Q108" s="12">
        <v>0</v>
      </c>
      <c r="R108" s="12"/>
      <c r="S108" s="2">
        <v>304627</v>
      </c>
      <c r="T108" s="2">
        <v>48270</v>
      </c>
      <c r="U108" s="2">
        <f t="shared" si="1"/>
        <v>352897</v>
      </c>
    </row>
    <row r="109" spans="1:21">
      <c r="A109" s="10">
        <v>32400</v>
      </c>
      <c r="B109" s="11" t="s">
        <v>100</v>
      </c>
      <c r="C109" s="11"/>
      <c r="D109" s="11"/>
      <c r="E109" s="74">
        <v>2648800.75</v>
      </c>
      <c r="F109" s="74">
        <v>14017982.870999999</v>
      </c>
      <c r="G109" s="12">
        <v>2581788</v>
      </c>
      <c r="H109" s="12"/>
      <c r="I109" s="13">
        <v>0</v>
      </c>
      <c r="J109" s="13">
        <v>0</v>
      </c>
      <c r="K109" s="13">
        <v>0</v>
      </c>
      <c r="L109" s="12">
        <v>0</v>
      </c>
      <c r="M109" s="12"/>
      <c r="N109" s="13">
        <v>601801</v>
      </c>
      <c r="O109" s="13">
        <v>8722919</v>
      </c>
      <c r="P109" s="13">
        <v>0</v>
      </c>
      <c r="Q109" s="12">
        <v>449270</v>
      </c>
      <c r="R109" s="12"/>
      <c r="S109" s="2">
        <v>1105137</v>
      </c>
      <c r="T109" s="2">
        <v>-118541</v>
      </c>
      <c r="U109" s="2">
        <f t="shared" si="1"/>
        <v>986596</v>
      </c>
    </row>
    <row r="110" spans="1:21">
      <c r="A110" s="10">
        <v>32405</v>
      </c>
      <c r="B110" s="11" t="s">
        <v>101</v>
      </c>
      <c r="C110" s="11"/>
      <c r="D110" s="11"/>
      <c r="E110" s="74">
        <v>818088.11</v>
      </c>
      <c r="F110" s="74">
        <v>3934020.3120000004</v>
      </c>
      <c r="G110" s="12">
        <v>727370</v>
      </c>
      <c r="H110" s="12"/>
      <c r="I110" s="13">
        <v>0</v>
      </c>
      <c r="J110" s="13">
        <v>0</v>
      </c>
      <c r="K110" s="13">
        <v>0</v>
      </c>
      <c r="L110" s="12">
        <v>0</v>
      </c>
      <c r="M110" s="12"/>
      <c r="N110" s="13">
        <v>169546</v>
      </c>
      <c r="O110" s="13">
        <v>2457517</v>
      </c>
      <c r="P110" s="13">
        <v>0</v>
      </c>
      <c r="Q110" s="12">
        <v>57642</v>
      </c>
      <c r="R110" s="12"/>
      <c r="S110" s="2">
        <v>311351</v>
      </c>
      <c r="T110" s="2">
        <v>-15209</v>
      </c>
      <c r="U110" s="2">
        <f t="shared" si="1"/>
        <v>296142</v>
      </c>
    </row>
    <row r="111" spans="1:21">
      <c r="A111" s="10">
        <v>32410</v>
      </c>
      <c r="B111" s="11" t="s">
        <v>102</v>
      </c>
      <c r="C111" s="11"/>
      <c r="D111" s="11"/>
      <c r="E111" s="74">
        <v>1076824.5</v>
      </c>
      <c r="F111" s="74">
        <v>5123940.0360000003</v>
      </c>
      <c r="G111" s="12">
        <v>1010744</v>
      </c>
      <c r="H111" s="12"/>
      <c r="I111" s="13">
        <v>0</v>
      </c>
      <c r="J111" s="13">
        <v>0</v>
      </c>
      <c r="K111" s="13">
        <v>0</v>
      </c>
      <c r="L111" s="12">
        <v>143618</v>
      </c>
      <c r="M111" s="12"/>
      <c r="N111" s="13">
        <v>235599</v>
      </c>
      <c r="O111" s="13">
        <v>3414935</v>
      </c>
      <c r="P111" s="13">
        <v>0</v>
      </c>
      <c r="Q111" s="12">
        <v>0</v>
      </c>
      <c r="R111" s="12"/>
      <c r="S111" s="2">
        <v>432650</v>
      </c>
      <c r="T111" s="2">
        <v>37894</v>
      </c>
      <c r="U111" s="2">
        <f t="shared" si="1"/>
        <v>470544</v>
      </c>
    </row>
    <row r="112" spans="1:21">
      <c r="A112" s="10">
        <v>32420</v>
      </c>
      <c r="B112" s="11" t="s">
        <v>103</v>
      </c>
      <c r="C112" s="11"/>
      <c r="D112" s="11"/>
      <c r="E112" s="74">
        <v>14757.74</v>
      </c>
      <c r="F112" s="74"/>
      <c r="G112" s="12">
        <v>25911</v>
      </c>
      <c r="H112" s="12"/>
      <c r="I112" s="13">
        <v>0</v>
      </c>
      <c r="J112" s="13">
        <v>0</v>
      </c>
      <c r="K112" s="13">
        <v>0</v>
      </c>
      <c r="L112" s="12">
        <v>97447</v>
      </c>
      <c r="M112" s="12"/>
      <c r="N112" s="13">
        <v>6040</v>
      </c>
      <c r="O112" s="13">
        <v>87542</v>
      </c>
      <c r="P112" s="13">
        <v>0</v>
      </c>
      <c r="Q112" s="12">
        <v>0</v>
      </c>
      <c r="R112" s="12"/>
      <c r="S112" s="2">
        <v>11091</v>
      </c>
      <c r="T112" s="2">
        <v>25712</v>
      </c>
      <c r="U112" s="2">
        <f t="shared" si="1"/>
        <v>36803</v>
      </c>
    </row>
    <row r="113" spans="1:21">
      <c r="A113" s="10">
        <v>32500</v>
      </c>
      <c r="B113" s="11" t="s">
        <v>104</v>
      </c>
      <c r="C113" s="11"/>
      <c r="D113" s="11"/>
      <c r="E113" s="74">
        <v>5866848.4800000004</v>
      </c>
      <c r="F113" s="74">
        <v>31156469.508000001</v>
      </c>
      <c r="G113" s="12">
        <v>5978526</v>
      </c>
      <c r="H113" s="12"/>
      <c r="I113" s="13">
        <v>0</v>
      </c>
      <c r="J113" s="13">
        <v>0</v>
      </c>
      <c r="K113" s="13">
        <v>0</v>
      </c>
      <c r="L113" s="12">
        <v>0</v>
      </c>
      <c r="M113" s="12"/>
      <c r="N113" s="13">
        <v>1393562</v>
      </c>
      <c r="O113" s="13">
        <v>20199255</v>
      </c>
      <c r="P113" s="13">
        <v>0</v>
      </c>
      <c r="Q113" s="12">
        <v>219481</v>
      </c>
      <c r="R113" s="12"/>
      <c r="S113" s="2">
        <v>2559114</v>
      </c>
      <c r="T113" s="2">
        <v>-57911</v>
      </c>
      <c r="U113" s="2">
        <f t="shared" si="1"/>
        <v>2501203</v>
      </c>
    </row>
    <row r="114" spans="1:21">
      <c r="A114" s="10">
        <v>32505</v>
      </c>
      <c r="B114" s="11" t="s">
        <v>105</v>
      </c>
      <c r="C114" s="11"/>
      <c r="D114" s="11"/>
      <c r="E114" s="74">
        <v>908985.89</v>
      </c>
      <c r="F114" s="74">
        <v>4607903.4210000001</v>
      </c>
      <c r="G114" s="12">
        <v>848716</v>
      </c>
      <c r="H114" s="12"/>
      <c r="I114" s="13">
        <v>0</v>
      </c>
      <c r="J114" s="13">
        <v>0</v>
      </c>
      <c r="K114" s="13">
        <v>0</v>
      </c>
      <c r="L114" s="12">
        <v>0</v>
      </c>
      <c r="M114" s="12"/>
      <c r="N114" s="13">
        <v>197831</v>
      </c>
      <c r="O114" s="13">
        <v>2867500</v>
      </c>
      <c r="P114" s="13">
        <v>0</v>
      </c>
      <c r="Q114" s="12">
        <v>117233</v>
      </c>
      <c r="R114" s="12"/>
      <c r="S114" s="2">
        <v>363294</v>
      </c>
      <c r="T114" s="2">
        <v>-30932</v>
      </c>
      <c r="U114" s="2">
        <f t="shared" si="1"/>
        <v>332362</v>
      </c>
    </row>
    <row r="115" spans="1:21">
      <c r="A115" s="10">
        <v>32600</v>
      </c>
      <c r="B115" s="11" t="s">
        <v>106</v>
      </c>
      <c r="C115" s="11"/>
      <c r="D115" s="11"/>
      <c r="E115" s="74">
        <v>21291312.030000001</v>
      </c>
      <c r="F115" s="74">
        <v>117814194.714</v>
      </c>
      <c r="G115" s="12">
        <v>22097439</v>
      </c>
      <c r="H115" s="12"/>
      <c r="I115" s="13">
        <v>0</v>
      </c>
      <c r="J115" s="13">
        <v>0</v>
      </c>
      <c r="K115" s="13">
        <v>0</v>
      </c>
      <c r="L115" s="12">
        <v>0</v>
      </c>
      <c r="M115" s="12"/>
      <c r="N115" s="13">
        <v>5150794</v>
      </c>
      <c r="O115" s="13">
        <v>74659170</v>
      </c>
      <c r="P115" s="13">
        <v>0</v>
      </c>
      <c r="Q115" s="12">
        <v>3223725</v>
      </c>
      <c r="R115" s="12"/>
      <c r="S115" s="2">
        <v>9458831</v>
      </c>
      <c r="T115" s="2">
        <v>-850587</v>
      </c>
      <c r="U115" s="2">
        <f t="shared" si="1"/>
        <v>8608244</v>
      </c>
    </row>
    <row r="116" spans="1:21">
      <c r="A116" s="10">
        <v>32605</v>
      </c>
      <c r="B116" s="11" t="s">
        <v>107</v>
      </c>
      <c r="C116" s="11"/>
      <c r="D116" s="11"/>
      <c r="E116" s="74">
        <v>3292302.22</v>
      </c>
      <c r="F116" s="74">
        <v>15359678.07</v>
      </c>
      <c r="G116" s="12">
        <v>2953680</v>
      </c>
      <c r="H116" s="12"/>
      <c r="I116" s="13">
        <v>0</v>
      </c>
      <c r="J116" s="13">
        <v>0</v>
      </c>
      <c r="K116" s="13">
        <v>0</v>
      </c>
      <c r="L116" s="12">
        <v>229355</v>
      </c>
      <c r="M116" s="12"/>
      <c r="N116" s="13">
        <v>688487</v>
      </c>
      <c r="O116" s="13">
        <v>9979406</v>
      </c>
      <c r="P116" s="13">
        <v>0</v>
      </c>
      <c r="Q116" s="12">
        <v>0</v>
      </c>
      <c r="R116" s="12"/>
      <c r="S116" s="2">
        <v>1264326</v>
      </c>
      <c r="T116" s="2">
        <v>60516</v>
      </c>
      <c r="U116" s="2">
        <f t="shared" si="1"/>
        <v>1324842</v>
      </c>
    </row>
    <row r="117" spans="1:21">
      <c r="A117" s="10">
        <v>32700</v>
      </c>
      <c r="B117" s="11" t="s">
        <v>108</v>
      </c>
      <c r="C117" s="11"/>
      <c r="D117" s="11"/>
      <c r="E117" s="74">
        <v>1749198.19</v>
      </c>
      <c r="F117" s="74">
        <v>8857616.7210000008</v>
      </c>
      <c r="G117" s="12">
        <v>1722404</v>
      </c>
      <c r="H117" s="12"/>
      <c r="I117" s="13">
        <v>0</v>
      </c>
      <c r="J117" s="13">
        <v>0</v>
      </c>
      <c r="K117" s="13">
        <v>0</v>
      </c>
      <c r="L117" s="12">
        <v>77196</v>
      </c>
      <c r="M117" s="12"/>
      <c r="N117" s="13">
        <v>401483</v>
      </c>
      <c r="O117" s="13">
        <v>5819372</v>
      </c>
      <c r="P117" s="13">
        <v>0</v>
      </c>
      <c r="Q117" s="12">
        <v>0</v>
      </c>
      <c r="R117" s="12"/>
      <c r="S117" s="2">
        <v>737277</v>
      </c>
      <c r="T117" s="2">
        <v>20368</v>
      </c>
      <c r="U117" s="2">
        <f t="shared" si="1"/>
        <v>757645</v>
      </c>
    </row>
    <row r="118" spans="1:21">
      <c r="A118" s="10">
        <v>32800</v>
      </c>
      <c r="B118" s="11" t="s">
        <v>109</v>
      </c>
      <c r="C118" s="11"/>
      <c r="D118" s="11"/>
      <c r="E118" s="74">
        <v>2766176.95</v>
      </c>
      <c r="F118" s="74">
        <v>13028406.774</v>
      </c>
      <c r="G118" s="12">
        <v>2486236</v>
      </c>
      <c r="H118" s="12"/>
      <c r="I118" s="13">
        <v>0</v>
      </c>
      <c r="J118" s="13">
        <v>0</v>
      </c>
      <c r="K118" s="13">
        <v>0</v>
      </c>
      <c r="L118" s="12">
        <v>110283</v>
      </c>
      <c r="M118" s="12"/>
      <c r="N118" s="13">
        <v>579528</v>
      </c>
      <c r="O118" s="13">
        <v>8400083</v>
      </c>
      <c r="P118" s="13">
        <v>0</v>
      </c>
      <c r="Q118" s="12">
        <v>0</v>
      </c>
      <c r="R118" s="12"/>
      <c r="S118" s="2">
        <v>1064236</v>
      </c>
      <c r="T118" s="2">
        <v>29098</v>
      </c>
      <c r="U118" s="2">
        <f t="shared" si="1"/>
        <v>1093334</v>
      </c>
    </row>
    <row r="119" spans="1:21">
      <c r="A119" s="10">
        <v>32900</v>
      </c>
      <c r="B119" s="11" t="s">
        <v>110</v>
      </c>
      <c r="C119" s="11"/>
      <c r="D119" s="11"/>
      <c r="E119" s="74">
        <v>7359424.8300000001</v>
      </c>
      <c r="F119" s="74">
        <v>40208358.837000005</v>
      </c>
      <c r="G119" s="12">
        <v>7665523</v>
      </c>
      <c r="H119" s="12"/>
      <c r="I119" s="13">
        <v>0</v>
      </c>
      <c r="J119" s="13">
        <v>0</v>
      </c>
      <c r="K119" s="13">
        <v>0</v>
      </c>
      <c r="L119" s="12">
        <v>0</v>
      </c>
      <c r="M119" s="12"/>
      <c r="N119" s="13">
        <v>1786792</v>
      </c>
      <c r="O119" s="13">
        <v>25899000</v>
      </c>
      <c r="P119" s="13">
        <v>0</v>
      </c>
      <c r="Q119" s="12">
        <v>616254</v>
      </c>
      <c r="R119" s="12"/>
      <c r="S119" s="2">
        <v>3281235</v>
      </c>
      <c r="T119" s="2">
        <v>-162600</v>
      </c>
      <c r="U119" s="2">
        <f t="shared" si="1"/>
        <v>3118635</v>
      </c>
    </row>
    <row r="120" spans="1:21">
      <c r="A120" s="10">
        <v>32901</v>
      </c>
      <c r="B120" s="11" t="s">
        <v>287</v>
      </c>
      <c r="C120" s="11"/>
      <c r="D120" s="11"/>
      <c r="E120" s="74">
        <v>21922.01</v>
      </c>
      <c r="F120" s="74"/>
      <c r="G120" s="12">
        <v>21455</v>
      </c>
      <c r="H120" s="12"/>
      <c r="I120" s="13">
        <v>0</v>
      </c>
      <c r="J120" s="13">
        <v>0</v>
      </c>
      <c r="K120" s="13">
        <v>0</v>
      </c>
      <c r="L120" s="12">
        <v>88368</v>
      </c>
      <c r="M120" s="12"/>
      <c r="N120" s="13">
        <v>5001</v>
      </c>
      <c r="O120" s="13">
        <v>72490</v>
      </c>
      <c r="P120" s="13">
        <v>0</v>
      </c>
      <c r="Q120" s="12">
        <v>0</v>
      </c>
      <c r="R120" s="12"/>
      <c r="S120" s="2">
        <v>9184</v>
      </c>
      <c r="T120" s="2">
        <v>23316</v>
      </c>
      <c r="U120" s="2">
        <f t="shared" si="1"/>
        <v>32500</v>
      </c>
    </row>
    <row r="121" spans="1:21">
      <c r="A121" s="10">
        <v>32905</v>
      </c>
      <c r="B121" s="11" t="s">
        <v>111</v>
      </c>
      <c r="C121" s="11"/>
      <c r="D121" s="11"/>
      <c r="E121" s="74">
        <v>1222084.28</v>
      </c>
      <c r="F121" s="74">
        <v>6350285.8740000008</v>
      </c>
      <c r="G121" s="12">
        <v>1200676</v>
      </c>
      <c r="H121" s="12"/>
      <c r="I121" s="13">
        <v>0</v>
      </c>
      <c r="J121" s="13">
        <v>0</v>
      </c>
      <c r="K121" s="13">
        <v>0</v>
      </c>
      <c r="L121" s="12">
        <v>0</v>
      </c>
      <c r="M121" s="12"/>
      <c r="N121" s="13">
        <v>279871</v>
      </c>
      <c r="O121" s="13">
        <v>4056646</v>
      </c>
      <c r="P121" s="13">
        <v>0</v>
      </c>
      <c r="Q121" s="12">
        <v>83046</v>
      </c>
      <c r="R121" s="12"/>
      <c r="S121" s="2">
        <v>513951</v>
      </c>
      <c r="T121" s="2">
        <v>-21912</v>
      </c>
      <c r="U121" s="2">
        <f t="shared" si="1"/>
        <v>492039</v>
      </c>
    </row>
    <row r="122" spans="1:21">
      <c r="A122" s="10">
        <v>32910</v>
      </c>
      <c r="B122" s="11" t="s">
        <v>112</v>
      </c>
      <c r="C122" s="11"/>
      <c r="D122" s="11"/>
      <c r="E122" s="74">
        <v>1499066.61</v>
      </c>
      <c r="F122" s="74">
        <v>7965176.9280000003</v>
      </c>
      <c r="G122" s="12">
        <v>1523796</v>
      </c>
      <c r="H122" s="12"/>
      <c r="I122" s="13">
        <v>0</v>
      </c>
      <c r="J122" s="13">
        <v>0</v>
      </c>
      <c r="K122" s="13">
        <v>0</v>
      </c>
      <c r="L122" s="12">
        <v>0</v>
      </c>
      <c r="M122" s="12"/>
      <c r="N122" s="13">
        <v>355189</v>
      </c>
      <c r="O122" s="13">
        <v>5148348</v>
      </c>
      <c r="P122" s="13">
        <v>0</v>
      </c>
      <c r="Q122" s="12">
        <v>72034</v>
      </c>
      <c r="R122" s="12"/>
      <c r="S122" s="2">
        <v>652262</v>
      </c>
      <c r="T122" s="2">
        <v>-19006</v>
      </c>
      <c r="U122" s="2">
        <f t="shared" si="1"/>
        <v>633256</v>
      </c>
    </row>
    <row r="123" spans="1:21">
      <c r="A123" s="10">
        <v>32920</v>
      </c>
      <c r="B123" s="11" t="s">
        <v>113</v>
      </c>
      <c r="C123" s="11"/>
      <c r="D123" s="11"/>
      <c r="E123" s="74">
        <v>1174156.06</v>
      </c>
      <c r="F123" s="74">
        <v>6471706.2540000007</v>
      </c>
      <c r="G123" s="12">
        <v>1182856</v>
      </c>
      <c r="H123" s="12"/>
      <c r="I123" s="13">
        <v>0</v>
      </c>
      <c r="J123" s="13">
        <v>0</v>
      </c>
      <c r="K123" s="13">
        <v>0</v>
      </c>
      <c r="L123" s="12">
        <v>0</v>
      </c>
      <c r="M123" s="12"/>
      <c r="N123" s="13">
        <v>275717</v>
      </c>
      <c r="O123" s="13">
        <v>3996437</v>
      </c>
      <c r="P123" s="13">
        <v>0</v>
      </c>
      <c r="Q123" s="12">
        <v>276032</v>
      </c>
      <c r="R123" s="12"/>
      <c r="S123" s="2">
        <v>506323</v>
      </c>
      <c r="T123" s="2">
        <v>-72832</v>
      </c>
      <c r="U123" s="2">
        <f t="shared" si="1"/>
        <v>433491</v>
      </c>
    </row>
    <row r="124" spans="1:21">
      <c r="A124" s="10">
        <v>33000</v>
      </c>
      <c r="B124" s="11" t="s">
        <v>114</v>
      </c>
      <c r="C124" s="11"/>
      <c r="D124" s="11"/>
      <c r="E124" s="74">
        <v>2812271.07</v>
      </c>
      <c r="F124" s="74">
        <v>15638944.944</v>
      </c>
      <c r="G124" s="12">
        <v>3003391</v>
      </c>
      <c r="H124" s="12"/>
      <c r="I124" s="13">
        <v>0</v>
      </c>
      <c r="J124" s="13">
        <v>0</v>
      </c>
      <c r="K124" s="13">
        <v>0</v>
      </c>
      <c r="L124" s="12">
        <v>0</v>
      </c>
      <c r="M124" s="12"/>
      <c r="N124" s="13">
        <v>700074</v>
      </c>
      <c r="O124" s="13">
        <v>10147360</v>
      </c>
      <c r="P124" s="13">
        <v>0</v>
      </c>
      <c r="Q124" s="12">
        <v>206870</v>
      </c>
      <c r="R124" s="12"/>
      <c r="S124" s="2">
        <v>1285605</v>
      </c>
      <c r="T124" s="2">
        <v>-54583</v>
      </c>
      <c r="U124" s="2">
        <f t="shared" si="1"/>
        <v>1231022</v>
      </c>
    </row>
    <row r="125" spans="1:21">
      <c r="A125" s="10">
        <v>33001</v>
      </c>
      <c r="B125" s="11" t="s">
        <v>115</v>
      </c>
      <c r="C125" s="11"/>
      <c r="D125" s="11"/>
      <c r="E125" s="74">
        <v>39558.39</v>
      </c>
      <c r="F125" s="74">
        <v>115349.361</v>
      </c>
      <c r="G125" s="12">
        <v>50649</v>
      </c>
      <c r="H125" s="12"/>
      <c r="I125" s="13">
        <v>0</v>
      </c>
      <c r="J125" s="13">
        <v>0</v>
      </c>
      <c r="K125" s="13">
        <v>0</v>
      </c>
      <c r="L125" s="12">
        <v>107692</v>
      </c>
      <c r="M125" s="12"/>
      <c r="N125" s="13">
        <v>11806</v>
      </c>
      <c r="O125" s="13">
        <v>171123</v>
      </c>
      <c r="P125" s="13">
        <v>0</v>
      </c>
      <c r="Q125" s="12">
        <v>0</v>
      </c>
      <c r="R125" s="12"/>
      <c r="S125" s="2">
        <v>21680</v>
      </c>
      <c r="T125" s="2">
        <v>28415</v>
      </c>
      <c r="U125" s="2">
        <f t="shared" si="1"/>
        <v>50095</v>
      </c>
    </row>
    <row r="126" spans="1:21">
      <c r="A126" s="10">
        <v>33027</v>
      </c>
      <c r="B126" s="11" t="s">
        <v>116</v>
      </c>
      <c r="C126" s="11"/>
      <c r="D126" s="11"/>
      <c r="E126" s="74">
        <v>144438.39999999999</v>
      </c>
      <c r="F126" s="74">
        <v>637456.995</v>
      </c>
      <c r="G126" s="12">
        <v>163318</v>
      </c>
      <c r="H126" s="12"/>
      <c r="I126" s="13">
        <v>0</v>
      </c>
      <c r="J126" s="13">
        <v>0</v>
      </c>
      <c r="K126" s="13">
        <v>0</v>
      </c>
      <c r="L126" s="12">
        <v>150534</v>
      </c>
      <c r="M126" s="12"/>
      <c r="N126" s="13">
        <v>38069</v>
      </c>
      <c r="O126" s="13">
        <v>551793</v>
      </c>
      <c r="P126" s="13">
        <v>0</v>
      </c>
      <c r="Q126" s="12">
        <v>0</v>
      </c>
      <c r="R126" s="12"/>
      <c r="S126" s="2">
        <v>69909</v>
      </c>
      <c r="T126" s="2">
        <v>39719</v>
      </c>
      <c r="U126" s="2">
        <f t="shared" si="1"/>
        <v>109628</v>
      </c>
    </row>
    <row r="127" spans="1:21">
      <c r="A127" s="10">
        <v>33100</v>
      </c>
      <c r="B127" s="11" t="s">
        <v>117</v>
      </c>
      <c r="C127" s="11"/>
      <c r="D127" s="11"/>
      <c r="E127" s="74">
        <v>3993922.28</v>
      </c>
      <c r="F127" s="74">
        <v>19985794.548</v>
      </c>
      <c r="G127" s="12">
        <v>4036763</v>
      </c>
      <c r="H127" s="12"/>
      <c r="I127" s="13">
        <v>0</v>
      </c>
      <c r="J127" s="13">
        <v>0</v>
      </c>
      <c r="K127" s="13">
        <v>0</v>
      </c>
      <c r="L127" s="12">
        <v>709453</v>
      </c>
      <c r="M127" s="12"/>
      <c r="N127" s="13">
        <v>940948</v>
      </c>
      <c r="O127" s="13">
        <v>13638746</v>
      </c>
      <c r="P127" s="13">
        <v>0</v>
      </c>
      <c r="Q127" s="12">
        <v>0</v>
      </c>
      <c r="R127" s="12"/>
      <c r="S127" s="2">
        <v>1727940</v>
      </c>
      <c r="T127" s="2">
        <v>187191</v>
      </c>
      <c r="U127" s="2">
        <f t="shared" si="1"/>
        <v>1915131</v>
      </c>
    </row>
    <row r="128" spans="1:21">
      <c r="A128" s="10">
        <v>33105</v>
      </c>
      <c r="B128" s="11" t="s">
        <v>118</v>
      </c>
      <c r="C128" s="11"/>
      <c r="D128" s="11"/>
      <c r="E128" s="74">
        <v>572260.67000000004</v>
      </c>
      <c r="F128" s="74">
        <v>2877663.0060000001</v>
      </c>
      <c r="G128" s="12">
        <v>541190</v>
      </c>
      <c r="H128" s="12"/>
      <c r="I128" s="13">
        <v>0</v>
      </c>
      <c r="J128" s="13">
        <v>0</v>
      </c>
      <c r="K128" s="13">
        <v>0</v>
      </c>
      <c r="L128" s="12">
        <v>0</v>
      </c>
      <c r="M128" s="12"/>
      <c r="N128" s="13">
        <v>126148</v>
      </c>
      <c r="O128" s="13">
        <v>1828482</v>
      </c>
      <c r="P128" s="13">
        <v>0</v>
      </c>
      <c r="Q128" s="12">
        <v>32630</v>
      </c>
      <c r="R128" s="12"/>
      <c r="S128" s="2">
        <v>231657</v>
      </c>
      <c r="T128" s="2">
        <v>-8610</v>
      </c>
      <c r="U128" s="2">
        <f t="shared" si="1"/>
        <v>223047</v>
      </c>
    </row>
    <row r="129" spans="1:21">
      <c r="A129" s="10">
        <v>33200</v>
      </c>
      <c r="B129" s="11" t="s">
        <v>119</v>
      </c>
      <c r="C129" s="11"/>
      <c r="D129" s="11"/>
      <c r="E129" s="74">
        <v>16720994.18</v>
      </c>
      <c r="F129" s="74">
        <v>91453830.215999991</v>
      </c>
      <c r="G129" s="12">
        <v>17425928</v>
      </c>
      <c r="H129" s="12"/>
      <c r="I129" s="13">
        <v>0</v>
      </c>
      <c r="J129" s="13">
        <v>0</v>
      </c>
      <c r="K129" s="13">
        <v>0</v>
      </c>
      <c r="L129" s="12">
        <v>0</v>
      </c>
      <c r="M129" s="12"/>
      <c r="N129" s="13">
        <v>4061890</v>
      </c>
      <c r="O129" s="13">
        <v>58875840</v>
      </c>
      <c r="P129" s="13">
        <v>0</v>
      </c>
      <c r="Q129" s="12">
        <v>1446661</v>
      </c>
      <c r="R129" s="12"/>
      <c r="S129" s="2">
        <v>7459186</v>
      </c>
      <c r="T129" s="2">
        <v>-381705</v>
      </c>
      <c r="U129" s="2">
        <f t="shared" si="1"/>
        <v>7077481</v>
      </c>
    </row>
    <row r="130" spans="1:21">
      <c r="A130" s="10">
        <v>33202</v>
      </c>
      <c r="B130" s="11" t="s">
        <v>120</v>
      </c>
      <c r="C130" s="11"/>
      <c r="D130" s="11"/>
      <c r="E130" s="74">
        <v>139656.57</v>
      </c>
      <c r="F130" s="74">
        <v>795303.48900000006</v>
      </c>
      <c r="G130" s="12">
        <v>173636</v>
      </c>
      <c r="H130" s="12"/>
      <c r="I130" s="13">
        <v>0</v>
      </c>
      <c r="J130" s="13">
        <v>0</v>
      </c>
      <c r="K130" s="13">
        <v>0</v>
      </c>
      <c r="L130" s="12">
        <v>56010</v>
      </c>
      <c r="M130" s="12"/>
      <c r="N130" s="13">
        <v>40474</v>
      </c>
      <c r="O130" s="13">
        <v>586651</v>
      </c>
      <c r="P130" s="13">
        <v>0</v>
      </c>
      <c r="Q130" s="12">
        <v>0</v>
      </c>
      <c r="R130" s="12"/>
      <c r="S130" s="2">
        <v>74325</v>
      </c>
      <c r="T130" s="2">
        <v>14778</v>
      </c>
      <c r="U130" s="2">
        <f t="shared" si="1"/>
        <v>89103</v>
      </c>
    </row>
    <row r="131" spans="1:21">
      <c r="A131" s="10">
        <v>33203</v>
      </c>
      <c r="B131" s="11" t="s">
        <v>121</v>
      </c>
      <c r="C131" s="11"/>
      <c r="D131" s="11"/>
      <c r="E131" s="74">
        <v>126977.37</v>
      </c>
      <c r="F131" s="74">
        <v>710309.223</v>
      </c>
      <c r="G131" s="12">
        <v>141042</v>
      </c>
      <c r="H131" s="12"/>
      <c r="I131" s="13">
        <v>0</v>
      </c>
      <c r="J131" s="13">
        <v>0</v>
      </c>
      <c r="K131" s="13">
        <v>0</v>
      </c>
      <c r="L131" s="12">
        <v>5336</v>
      </c>
      <c r="M131" s="12"/>
      <c r="N131" s="13">
        <v>32876</v>
      </c>
      <c r="O131" s="13">
        <v>476530</v>
      </c>
      <c r="P131" s="13">
        <v>0</v>
      </c>
      <c r="Q131" s="12">
        <v>0</v>
      </c>
      <c r="R131" s="12"/>
      <c r="S131" s="2">
        <v>60373</v>
      </c>
      <c r="T131" s="2">
        <v>1408</v>
      </c>
      <c r="U131" s="2">
        <f t="shared" si="1"/>
        <v>61781</v>
      </c>
    </row>
    <row r="132" spans="1:21">
      <c r="A132" s="10">
        <v>33204</v>
      </c>
      <c r="B132" s="11" t="s">
        <v>122</v>
      </c>
      <c r="C132" s="11"/>
      <c r="D132" s="11"/>
      <c r="E132" s="74">
        <v>399873.76</v>
      </c>
      <c r="F132" s="74">
        <v>2446620.6570000001</v>
      </c>
      <c r="G132" s="12">
        <v>470493</v>
      </c>
      <c r="H132" s="12"/>
      <c r="I132" s="13">
        <v>0</v>
      </c>
      <c r="J132" s="13">
        <v>0</v>
      </c>
      <c r="K132" s="13">
        <v>0</v>
      </c>
      <c r="L132" s="12">
        <v>0</v>
      </c>
      <c r="M132" s="12"/>
      <c r="N132" s="13">
        <v>109669</v>
      </c>
      <c r="O132" s="13">
        <v>1589622</v>
      </c>
      <c r="P132" s="13">
        <v>0</v>
      </c>
      <c r="Q132" s="12">
        <v>61999</v>
      </c>
      <c r="R132" s="12"/>
      <c r="S132" s="2">
        <v>201395</v>
      </c>
      <c r="T132" s="2">
        <v>-16359</v>
      </c>
      <c r="U132" s="2">
        <f t="shared" si="1"/>
        <v>185036</v>
      </c>
    </row>
    <row r="133" spans="1:21">
      <c r="A133" s="10">
        <v>33205</v>
      </c>
      <c r="B133" s="11" t="s">
        <v>123</v>
      </c>
      <c r="C133" s="11"/>
      <c r="D133" s="11"/>
      <c r="E133" s="74">
        <v>1526013.79</v>
      </c>
      <c r="F133" s="74">
        <v>7503779.4839999992</v>
      </c>
      <c r="G133" s="12">
        <v>1440202</v>
      </c>
      <c r="H133" s="12"/>
      <c r="I133" s="13">
        <v>0</v>
      </c>
      <c r="J133" s="13">
        <v>0</v>
      </c>
      <c r="K133" s="13">
        <v>0</v>
      </c>
      <c r="L133" s="12">
        <v>37643</v>
      </c>
      <c r="M133" s="12"/>
      <c r="N133" s="13">
        <v>335703</v>
      </c>
      <c r="O133" s="13">
        <v>4865916</v>
      </c>
      <c r="P133" s="13">
        <v>0</v>
      </c>
      <c r="Q133" s="12">
        <v>0</v>
      </c>
      <c r="R133" s="12"/>
      <c r="S133" s="2">
        <v>616480</v>
      </c>
      <c r="T133" s="2">
        <v>9932</v>
      </c>
      <c r="U133" s="2">
        <f t="shared" si="1"/>
        <v>626412</v>
      </c>
    </row>
    <row r="134" spans="1:21">
      <c r="A134" s="10">
        <v>33206</v>
      </c>
      <c r="B134" s="11" t="s">
        <v>124</v>
      </c>
      <c r="C134" s="11"/>
      <c r="D134" s="11"/>
      <c r="E134" s="74">
        <v>104020.87</v>
      </c>
      <c r="F134" s="74">
        <v>540320.69099999999</v>
      </c>
      <c r="G134" s="12">
        <v>115835</v>
      </c>
      <c r="H134" s="12"/>
      <c r="I134" s="13">
        <v>0</v>
      </c>
      <c r="J134" s="13">
        <v>0</v>
      </c>
      <c r="K134" s="13">
        <v>0</v>
      </c>
      <c r="L134" s="12">
        <v>38230</v>
      </c>
      <c r="M134" s="12"/>
      <c r="N134" s="13">
        <v>27001</v>
      </c>
      <c r="O134" s="13">
        <v>391365</v>
      </c>
      <c r="P134" s="13">
        <v>0</v>
      </c>
      <c r="Q134" s="12">
        <v>0</v>
      </c>
      <c r="R134" s="12"/>
      <c r="S134" s="2">
        <v>49583</v>
      </c>
      <c r="T134" s="2">
        <v>10087</v>
      </c>
      <c r="U134" s="2">
        <f t="shared" si="1"/>
        <v>59670</v>
      </c>
    </row>
    <row r="135" spans="1:21">
      <c r="A135" s="10">
        <v>33207</v>
      </c>
      <c r="B135" s="11" t="s">
        <v>362</v>
      </c>
      <c r="C135" s="11"/>
      <c r="D135" s="11"/>
      <c r="E135" s="74">
        <v>0</v>
      </c>
      <c r="F135" s="74">
        <v>0</v>
      </c>
      <c r="G135" s="12">
        <v>0</v>
      </c>
      <c r="H135" s="12"/>
      <c r="I135" s="13">
        <v>0</v>
      </c>
      <c r="J135" s="13">
        <v>0</v>
      </c>
      <c r="K135" s="13">
        <v>0</v>
      </c>
      <c r="L135" s="12">
        <v>0</v>
      </c>
      <c r="M135" s="12"/>
      <c r="N135" s="13">
        <v>0</v>
      </c>
      <c r="O135" s="13">
        <v>0</v>
      </c>
      <c r="P135" s="13">
        <v>0</v>
      </c>
      <c r="Q135" s="12">
        <v>0</v>
      </c>
      <c r="R135" s="12"/>
      <c r="S135" s="2">
        <v>0</v>
      </c>
      <c r="T135" s="2">
        <v>0</v>
      </c>
      <c r="U135" s="2">
        <f t="shared" si="1"/>
        <v>0</v>
      </c>
    </row>
    <row r="136" spans="1:21">
      <c r="A136" s="10">
        <v>33208</v>
      </c>
      <c r="B136" s="11" t="s">
        <v>363</v>
      </c>
      <c r="C136" s="11"/>
      <c r="D136" s="11"/>
      <c r="E136" s="74">
        <v>0</v>
      </c>
      <c r="F136" s="74">
        <v>0</v>
      </c>
      <c r="G136" s="12">
        <v>0</v>
      </c>
      <c r="H136" s="12"/>
      <c r="I136" s="13">
        <v>0</v>
      </c>
      <c r="J136" s="13">
        <v>0</v>
      </c>
      <c r="K136" s="13">
        <v>0</v>
      </c>
      <c r="L136" s="12">
        <v>0</v>
      </c>
      <c r="M136" s="12"/>
      <c r="N136" s="13">
        <v>0</v>
      </c>
      <c r="O136" s="13">
        <v>0</v>
      </c>
      <c r="P136" s="13">
        <v>0</v>
      </c>
      <c r="Q136" s="12">
        <v>0</v>
      </c>
      <c r="R136" s="12"/>
      <c r="S136" s="2">
        <v>0</v>
      </c>
      <c r="T136" s="2">
        <v>0</v>
      </c>
      <c r="U136" s="2">
        <f t="shared" ref="U136:U137" si="2">S136+T136</f>
        <v>0</v>
      </c>
    </row>
    <row r="137" spans="1:21">
      <c r="A137" s="10">
        <v>33209</v>
      </c>
      <c r="B137" s="11" t="s">
        <v>364</v>
      </c>
      <c r="C137" s="11"/>
      <c r="D137" s="11"/>
      <c r="E137" s="74">
        <v>0</v>
      </c>
      <c r="F137" s="74">
        <v>0</v>
      </c>
      <c r="G137" s="12">
        <v>0</v>
      </c>
      <c r="H137" s="12"/>
      <c r="I137" s="13">
        <v>0</v>
      </c>
      <c r="J137" s="13">
        <v>0</v>
      </c>
      <c r="K137" s="13">
        <v>0</v>
      </c>
      <c r="L137" s="12">
        <v>0</v>
      </c>
      <c r="M137" s="12"/>
      <c r="N137" s="13">
        <v>0</v>
      </c>
      <c r="O137" s="13">
        <v>0</v>
      </c>
      <c r="P137" s="13">
        <v>0</v>
      </c>
      <c r="Q137" s="12">
        <v>0</v>
      </c>
      <c r="R137" s="12"/>
      <c r="S137" s="2">
        <v>0</v>
      </c>
      <c r="T137" s="2">
        <v>0</v>
      </c>
      <c r="U137" s="2">
        <f t="shared" si="2"/>
        <v>0</v>
      </c>
    </row>
    <row r="138" spans="1:21">
      <c r="A138" s="10">
        <v>33300</v>
      </c>
      <c r="B138" s="11" t="s">
        <v>125</v>
      </c>
      <c r="C138" s="11"/>
      <c r="D138" s="11"/>
      <c r="E138" s="74">
        <v>2690864.81</v>
      </c>
      <c r="F138" s="74">
        <v>14697936.999</v>
      </c>
      <c r="G138" s="12">
        <v>2687072</v>
      </c>
      <c r="H138" s="12"/>
      <c r="I138" s="13">
        <v>0</v>
      </c>
      <c r="J138" s="13">
        <v>0</v>
      </c>
      <c r="K138" s="13">
        <v>0</v>
      </c>
      <c r="L138" s="12">
        <v>0</v>
      </c>
      <c r="M138" s="12"/>
      <c r="N138" s="13">
        <v>626342</v>
      </c>
      <c r="O138" s="13">
        <v>9078633</v>
      </c>
      <c r="P138" s="13">
        <v>0</v>
      </c>
      <c r="Q138" s="12">
        <v>605474</v>
      </c>
      <c r="R138" s="12"/>
      <c r="S138" s="2">
        <v>1150204</v>
      </c>
      <c r="T138" s="2">
        <v>-159756</v>
      </c>
      <c r="U138" s="2">
        <f t="shared" si="1"/>
        <v>990448</v>
      </c>
    </row>
    <row r="139" spans="1:21">
      <c r="A139" s="10">
        <v>33305</v>
      </c>
      <c r="B139" s="11" t="s">
        <v>126</v>
      </c>
      <c r="C139" s="11"/>
      <c r="D139" s="11"/>
      <c r="E139" s="74">
        <v>895076</v>
      </c>
      <c r="F139" s="74">
        <v>4273997.3760000002</v>
      </c>
      <c r="G139" s="12">
        <v>761605</v>
      </c>
      <c r="H139" s="12"/>
      <c r="I139" s="13">
        <v>0</v>
      </c>
      <c r="J139" s="13">
        <v>0</v>
      </c>
      <c r="K139" s="13">
        <v>0</v>
      </c>
      <c r="L139" s="12">
        <v>0</v>
      </c>
      <c r="M139" s="12"/>
      <c r="N139" s="13">
        <v>177526</v>
      </c>
      <c r="O139" s="13">
        <v>2573184</v>
      </c>
      <c r="P139" s="13">
        <v>0</v>
      </c>
      <c r="Q139" s="12">
        <v>152401</v>
      </c>
      <c r="R139" s="12"/>
      <c r="S139" s="2">
        <v>326006</v>
      </c>
      <c r="T139" s="2">
        <v>-40211</v>
      </c>
      <c r="U139" s="2">
        <f t="shared" ref="U139:U202" si="3">S139+T139</f>
        <v>285795</v>
      </c>
    </row>
    <row r="140" spans="1:21">
      <c r="A140" s="10">
        <v>33400</v>
      </c>
      <c r="B140" s="11" t="s">
        <v>127</v>
      </c>
      <c r="C140" s="11"/>
      <c r="D140" s="11"/>
      <c r="E140" s="74">
        <v>23389910.620000001</v>
      </c>
      <c r="F140" s="74">
        <v>119932980.34500001</v>
      </c>
      <c r="G140" s="12">
        <v>23397537</v>
      </c>
      <c r="H140" s="12"/>
      <c r="I140" s="13">
        <v>0</v>
      </c>
      <c r="J140" s="13">
        <v>0</v>
      </c>
      <c r="K140" s="13">
        <v>0</v>
      </c>
      <c r="L140" s="12">
        <v>1063962</v>
      </c>
      <c r="M140" s="12"/>
      <c r="N140" s="13">
        <v>5453839</v>
      </c>
      <c r="O140" s="13">
        <v>79051725</v>
      </c>
      <c r="P140" s="13">
        <v>0</v>
      </c>
      <c r="Q140" s="12">
        <v>0</v>
      </c>
      <c r="R140" s="12"/>
      <c r="S140" s="2">
        <v>10015339</v>
      </c>
      <c r="T140" s="2">
        <v>280729</v>
      </c>
      <c r="U140" s="2">
        <f t="shared" si="3"/>
        <v>10296068</v>
      </c>
    </row>
    <row r="141" spans="1:21">
      <c r="A141" s="10">
        <v>33402</v>
      </c>
      <c r="B141" s="11" t="s">
        <v>128</v>
      </c>
      <c r="C141" s="11"/>
      <c r="D141" s="11"/>
      <c r="E141" s="74">
        <v>125592.41</v>
      </c>
      <c r="F141" s="74">
        <v>740664.31799999997</v>
      </c>
      <c r="G141" s="12">
        <v>163904</v>
      </c>
      <c r="H141" s="12"/>
      <c r="I141" s="13">
        <v>0</v>
      </c>
      <c r="J141" s="13">
        <v>0</v>
      </c>
      <c r="K141" s="13">
        <v>0</v>
      </c>
      <c r="L141" s="12">
        <v>55902</v>
      </c>
      <c r="M141" s="12"/>
      <c r="N141" s="13">
        <v>38205</v>
      </c>
      <c r="O141" s="13">
        <v>553773</v>
      </c>
      <c r="P141" s="13">
        <v>0</v>
      </c>
      <c r="Q141" s="12">
        <v>0</v>
      </c>
      <c r="R141" s="12"/>
      <c r="S141" s="2">
        <v>70159</v>
      </c>
      <c r="T141" s="2">
        <v>14750</v>
      </c>
      <c r="U141" s="2">
        <f t="shared" si="3"/>
        <v>84909</v>
      </c>
    </row>
    <row r="142" spans="1:21">
      <c r="A142" s="10">
        <v>33403</v>
      </c>
      <c r="B142" s="11" t="s">
        <v>288</v>
      </c>
      <c r="C142" s="11"/>
      <c r="D142" s="11"/>
      <c r="E142" s="74">
        <v>0</v>
      </c>
      <c r="F142" s="74">
        <v>242840.76</v>
      </c>
      <c r="G142" s="12">
        <v>0</v>
      </c>
      <c r="H142" s="12"/>
      <c r="I142" s="13">
        <v>0</v>
      </c>
      <c r="J142" s="13">
        <v>0</v>
      </c>
      <c r="K142" s="13">
        <v>0</v>
      </c>
      <c r="L142" s="12">
        <v>0</v>
      </c>
      <c r="M142" s="12"/>
      <c r="N142" s="13">
        <v>0</v>
      </c>
      <c r="O142" s="13">
        <v>0</v>
      </c>
      <c r="P142" s="13">
        <v>0</v>
      </c>
      <c r="Q142" s="12">
        <v>192143</v>
      </c>
      <c r="R142" s="12"/>
      <c r="S142" s="2">
        <v>0</v>
      </c>
      <c r="T142" s="2">
        <v>-50697</v>
      </c>
      <c r="U142" s="2">
        <f t="shared" si="3"/>
        <v>-50697</v>
      </c>
    </row>
    <row r="143" spans="1:21">
      <c r="A143" s="10">
        <v>33405</v>
      </c>
      <c r="B143" s="11" t="s">
        <v>129</v>
      </c>
      <c r="C143" s="11"/>
      <c r="D143" s="11"/>
      <c r="E143" s="74">
        <v>2516951.34</v>
      </c>
      <c r="F143" s="74">
        <v>11510652.024</v>
      </c>
      <c r="G143" s="12">
        <v>2403815</v>
      </c>
      <c r="H143" s="12"/>
      <c r="I143" s="13">
        <v>0</v>
      </c>
      <c r="J143" s="13">
        <v>0</v>
      </c>
      <c r="K143" s="13">
        <v>0</v>
      </c>
      <c r="L143" s="12">
        <v>841148</v>
      </c>
      <c r="M143" s="12"/>
      <c r="N143" s="13">
        <v>560316</v>
      </c>
      <c r="O143" s="13">
        <v>8121611</v>
      </c>
      <c r="P143" s="13">
        <v>0</v>
      </c>
      <c r="Q143" s="12">
        <v>0</v>
      </c>
      <c r="R143" s="12"/>
      <c r="S143" s="2">
        <v>1028955</v>
      </c>
      <c r="T143" s="2">
        <v>221939</v>
      </c>
      <c r="U143" s="2">
        <f t="shared" si="3"/>
        <v>1250894</v>
      </c>
    </row>
    <row r="144" spans="1:21">
      <c r="A144" s="10">
        <v>33500</v>
      </c>
      <c r="B144" s="11" t="s">
        <v>130</v>
      </c>
      <c r="C144" s="11"/>
      <c r="D144" s="11"/>
      <c r="E144" s="74">
        <v>3652004.34</v>
      </c>
      <c r="F144" s="74">
        <v>18978005.393999998</v>
      </c>
      <c r="G144" s="12">
        <v>3802279</v>
      </c>
      <c r="H144" s="12"/>
      <c r="I144" s="13">
        <v>0</v>
      </c>
      <c r="J144" s="13">
        <v>0</v>
      </c>
      <c r="K144" s="13">
        <v>0</v>
      </c>
      <c r="L144" s="12">
        <v>460108</v>
      </c>
      <c r="M144" s="12"/>
      <c r="N144" s="13">
        <v>886291</v>
      </c>
      <c r="O144" s="13">
        <v>12846509</v>
      </c>
      <c r="P144" s="13">
        <v>0</v>
      </c>
      <c r="Q144" s="12">
        <v>0</v>
      </c>
      <c r="R144" s="12"/>
      <c r="S144" s="2">
        <v>1627569</v>
      </c>
      <c r="T144" s="2">
        <v>121400</v>
      </c>
      <c r="U144" s="2">
        <f t="shared" si="3"/>
        <v>1748969</v>
      </c>
    </row>
    <row r="145" spans="1:21">
      <c r="A145" s="10">
        <v>33501</v>
      </c>
      <c r="B145" s="11" t="s">
        <v>131</v>
      </c>
      <c r="C145" s="11"/>
      <c r="D145" s="11"/>
      <c r="E145" s="74">
        <v>60563.14</v>
      </c>
      <c r="F145" s="74">
        <v>388545.21599999996</v>
      </c>
      <c r="G145" s="12">
        <v>71635</v>
      </c>
      <c r="H145" s="12"/>
      <c r="I145" s="13">
        <v>0</v>
      </c>
      <c r="J145" s="13">
        <v>0</v>
      </c>
      <c r="K145" s="13">
        <v>0</v>
      </c>
      <c r="L145" s="12">
        <v>0</v>
      </c>
      <c r="M145" s="12"/>
      <c r="N145" s="13">
        <v>16698</v>
      </c>
      <c r="O145" s="13">
        <v>242028</v>
      </c>
      <c r="P145" s="13">
        <v>0</v>
      </c>
      <c r="Q145" s="12">
        <v>22380</v>
      </c>
      <c r="R145" s="12"/>
      <c r="S145" s="2">
        <v>30663</v>
      </c>
      <c r="T145" s="2">
        <v>-5905</v>
      </c>
      <c r="U145" s="2">
        <f t="shared" si="3"/>
        <v>24758</v>
      </c>
    </row>
    <row r="146" spans="1:21">
      <c r="A146" s="10">
        <v>33600</v>
      </c>
      <c r="B146" s="11" t="s">
        <v>132</v>
      </c>
      <c r="C146" s="11"/>
      <c r="D146" s="11"/>
      <c r="E146" s="74">
        <v>11623730.33</v>
      </c>
      <c r="F146" s="74">
        <v>63332870.208000004</v>
      </c>
      <c r="G146" s="12">
        <v>12111578</v>
      </c>
      <c r="H146" s="12"/>
      <c r="I146" s="13">
        <v>0</v>
      </c>
      <c r="J146" s="13">
        <v>0</v>
      </c>
      <c r="K146" s="13">
        <v>0</v>
      </c>
      <c r="L146" s="12">
        <v>0</v>
      </c>
      <c r="M146" s="12"/>
      <c r="N146" s="13">
        <v>2823143</v>
      </c>
      <c r="O146" s="13">
        <v>40920595</v>
      </c>
      <c r="P146" s="13">
        <v>0</v>
      </c>
      <c r="Q146" s="12">
        <v>821455</v>
      </c>
      <c r="R146" s="12"/>
      <c r="S146" s="2">
        <v>5184373</v>
      </c>
      <c r="T146" s="2">
        <v>-216743</v>
      </c>
      <c r="U146" s="2">
        <f t="shared" si="3"/>
        <v>4967630</v>
      </c>
    </row>
    <row r="147" spans="1:21">
      <c r="A147" s="10">
        <v>33605</v>
      </c>
      <c r="B147" s="11" t="s">
        <v>133</v>
      </c>
      <c r="C147" s="11"/>
      <c r="D147" s="11"/>
      <c r="E147" s="74">
        <v>1916195.61</v>
      </c>
      <c r="F147" s="74">
        <v>9227948.8800000008</v>
      </c>
      <c r="G147" s="12">
        <v>1769887</v>
      </c>
      <c r="H147" s="12"/>
      <c r="I147" s="13">
        <v>0</v>
      </c>
      <c r="J147" s="13">
        <v>0</v>
      </c>
      <c r="K147" s="13">
        <v>0</v>
      </c>
      <c r="L147" s="12">
        <v>73492</v>
      </c>
      <c r="M147" s="12"/>
      <c r="N147" s="13">
        <v>412551</v>
      </c>
      <c r="O147" s="13">
        <v>5979800</v>
      </c>
      <c r="P147" s="13">
        <v>0</v>
      </c>
      <c r="Q147" s="12">
        <v>0</v>
      </c>
      <c r="R147" s="12"/>
      <c r="S147" s="2">
        <v>757602</v>
      </c>
      <c r="T147" s="2">
        <v>19391</v>
      </c>
      <c r="U147" s="2">
        <f t="shared" si="3"/>
        <v>776993</v>
      </c>
    </row>
    <row r="148" spans="1:21">
      <c r="A148" s="10">
        <v>33700</v>
      </c>
      <c r="B148" s="11" t="s">
        <v>134</v>
      </c>
      <c r="C148" s="11"/>
      <c r="D148" s="11"/>
      <c r="E148" s="74">
        <v>904027.65</v>
      </c>
      <c r="F148" s="74">
        <v>4838602.1430000002</v>
      </c>
      <c r="G148" s="12">
        <v>952123</v>
      </c>
      <c r="H148" s="12"/>
      <c r="I148" s="13">
        <v>0</v>
      </c>
      <c r="J148" s="13">
        <v>0</v>
      </c>
      <c r="K148" s="13">
        <v>0</v>
      </c>
      <c r="L148" s="12">
        <v>38614</v>
      </c>
      <c r="M148" s="12"/>
      <c r="N148" s="13">
        <v>221935</v>
      </c>
      <c r="O148" s="13">
        <v>3216876</v>
      </c>
      <c r="P148" s="13">
        <v>0</v>
      </c>
      <c r="Q148" s="12">
        <v>0</v>
      </c>
      <c r="R148" s="12"/>
      <c r="S148" s="2">
        <v>407557</v>
      </c>
      <c r="T148" s="2">
        <v>10188</v>
      </c>
      <c r="U148" s="2">
        <f t="shared" si="3"/>
        <v>417745</v>
      </c>
    </row>
    <row r="149" spans="1:21">
      <c r="A149" s="10">
        <v>33800</v>
      </c>
      <c r="B149" s="11" t="s">
        <v>135</v>
      </c>
      <c r="C149" s="11"/>
      <c r="D149" s="11"/>
      <c r="E149" s="74">
        <v>638845.57999999996</v>
      </c>
      <c r="F149" s="74">
        <v>3430125.7349999999</v>
      </c>
      <c r="G149" s="12">
        <v>655383</v>
      </c>
      <c r="H149" s="12"/>
      <c r="I149" s="13">
        <v>0</v>
      </c>
      <c r="J149" s="13">
        <v>0</v>
      </c>
      <c r="K149" s="13">
        <v>0</v>
      </c>
      <c r="L149" s="12">
        <v>0</v>
      </c>
      <c r="M149" s="12"/>
      <c r="N149" s="13">
        <v>152766</v>
      </c>
      <c r="O149" s="13">
        <v>2214301</v>
      </c>
      <c r="P149" s="13">
        <v>0</v>
      </c>
      <c r="Q149" s="12">
        <v>39061</v>
      </c>
      <c r="R149" s="12"/>
      <c r="S149" s="2">
        <v>280538</v>
      </c>
      <c r="T149" s="2">
        <v>-10306</v>
      </c>
      <c r="U149" s="2">
        <f t="shared" si="3"/>
        <v>270232</v>
      </c>
    </row>
    <row r="150" spans="1:21">
      <c r="A150" s="10">
        <v>33900</v>
      </c>
      <c r="B150" s="11" t="s">
        <v>136</v>
      </c>
      <c r="C150" s="11"/>
      <c r="D150" s="11"/>
      <c r="E150" s="74">
        <v>3521615.07</v>
      </c>
      <c r="F150" s="74">
        <v>18723022.596000001</v>
      </c>
      <c r="G150" s="12">
        <v>3564629</v>
      </c>
      <c r="H150" s="12"/>
      <c r="I150" s="13">
        <v>0</v>
      </c>
      <c r="J150" s="13">
        <v>0</v>
      </c>
      <c r="K150" s="13">
        <v>0</v>
      </c>
      <c r="L150" s="12">
        <v>0</v>
      </c>
      <c r="M150" s="12"/>
      <c r="N150" s="13">
        <v>830896</v>
      </c>
      <c r="O150" s="13">
        <v>12043578</v>
      </c>
      <c r="P150" s="13">
        <v>0</v>
      </c>
      <c r="Q150" s="12">
        <v>227992</v>
      </c>
      <c r="R150" s="12"/>
      <c r="S150" s="2">
        <v>1525843</v>
      </c>
      <c r="T150" s="2">
        <v>-60156</v>
      </c>
      <c r="U150" s="2">
        <f t="shared" si="3"/>
        <v>1465687</v>
      </c>
    </row>
    <row r="151" spans="1:21">
      <c r="A151" s="10">
        <v>34000</v>
      </c>
      <c r="B151" s="11" t="s">
        <v>137</v>
      </c>
      <c r="C151" s="11"/>
      <c r="D151" s="11"/>
      <c r="E151" s="74">
        <v>1473056.38</v>
      </c>
      <c r="F151" s="74">
        <v>8475142.5240000002</v>
      </c>
      <c r="G151" s="12">
        <v>1600472</v>
      </c>
      <c r="H151" s="12"/>
      <c r="I151" s="13">
        <v>0</v>
      </c>
      <c r="J151" s="13">
        <v>0</v>
      </c>
      <c r="K151" s="13">
        <v>0</v>
      </c>
      <c r="L151" s="12">
        <v>0</v>
      </c>
      <c r="M151" s="12"/>
      <c r="N151" s="13">
        <v>373061</v>
      </c>
      <c r="O151" s="13">
        <v>5407410</v>
      </c>
      <c r="P151" s="13">
        <v>0</v>
      </c>
      <c r="Q151" s="12">
        <v>242297</v>
      </c>
      <c r="R151" s="12"/>
      <c r="S151" s="2">
        <v>685084</v>
      </c>
      <c r="T151" s="2">
        <v>-63930</v>
      </c>
      <c r="U151" s="2">
        <f t="shared" si="3"/>
        <v>621154</v>
      </c>
    </row>
    <row r="152" spans="1:21">
      <c r="A152" s="10">
        <v>34100</v>
      </c>
      <c r="B152" s="11" t="s">
        <v>138</v>
      </c>
      <c r="C152" s="11"/>
      <c r="D152" s="11"/>
      <c r="E152" s="74">
        <v>33739436.439999998</v>
      </c>
      <c r="F152" s="74">
        <v>182494831.13999999</v>
      </c>
      <c r="G152" s="12">
        <v>35777013</v>
      </c>
      <c r="H152" s="12"/>
      <c r="I152" s="13">
        <v>0</v>
      </c>
      <c r="J152" s="13">
        <v>0</v>
      </c>
      <c r="K152" s="13">
        <v>0</v>
      </c>
      <c r="L152" s="12">
        <v>731183</v>
      </c>
      <c r="M152" s="12"/>
      <c r="N152" s="13">
        <v>8339428</v>
      </c>
      <c r="O152" s="13">
        <v>120877449</v>
      </c>
      <c r="P152" s="13">
        <v>0</v>
      </c>
      <c r="Q152" s="12">
        <v>0</v>
      </c>
      <c r="R152" s="12"/>
      <c r="S152" s="2">
        <v>15314387</v>
      </c>
      <c r="T152" s="2">
        <v>192924</v>
      </c>
      <c r="U152" s="2">
        <f t="shared" si="3"/>
        <v>15507311</v>
      </c>
    </row>
    <row r="153" spans="1:21">
      <c r="A153" s="10">
        <v>34105</v>
      </c>
      <c r="B153" s="11" t="s">
        <v>139</v>
      </c>
      <c r="C153" s="11"/>
      <c r="D153" s="11"/>
      <c r="E153" s="74">
        <v>3269090.1</v>
      </c>
      <c r="F153" s="74">
        <v>16598165.945999999</v>
      </c>
      <c r="G153" s="12">
        <v>3158033</v>
      </c>
      <c r="H153" s="12"/>
      <c r="I153" s="13">
        <v>0</v>
      </c>
      <c r="J153" s="13">
        <v>0</v>
      </c>
      <c r="K153" s="13">
        <v>0</v>
      </c>
      <c r="L153" s="12">
        <v>0</v>
      </c>
      <c r="M153" s="12"/>
      <c r="N153" s="13">
        <v>736120</v>
      </c>
      <c r="O153" s="13">
        <v>10669840</v>
      </c>
      <c r="P153" s="13">
        <v>0</v>
      </c>
      <c r="Q153" s="12">
        <v>92481</v>
      </c>
      <c r="R153" s="12"/>
      <c r="S153" s="2">
        <v>1351799</v>
      </c>
      <c r="T153" s="2">
        <v>-24401</v>
      </c>
      <c r="U153" s="2">
        <f t="shared" si="3"/>
        <v>1327398</v>
      </c>
    </row>
    <row r="154" spans="1:21">
      <c r="A154" s="10">
        <v>34200</v>
      </c>
      <c r="B154" s="11" t="s">
        <v>140</v>
      </c>
      <c r="C154" s="11"/>
      <c r="D154" s="11"/>
      <c r="E154" s="74">
        <v>1717329.19</v>
      </c>
      <c r="F154" s="74">
        <v>9531499.8300000001</v>
      </c>
      <c r="G154" s="12">
        <v>1727914</v>
      </c>
      <c r="H154" s="12"/>
      <c r="I154" s="13">
        <v>0</v>
      </c>
      <c r="J154" s="13">
        <v>0</v>
      </c>
      <c r="K154" s="13">
        <v>0</v>
      </c>
      <c r="L154" s="12">
        <v>0</v>
      </c>
      <c r="M154" s="12"/>
      <c r="N154" s="13">
        <v>402767</v>
      </c>
      <c r="O154" s="13">
        <v>5837990</v>
      </c>
      <c r="P154" s="13">
        <v>0</v>
      </c>
      <c r="Q154" s="12">
        <v>462977</v>
      </c>
      <c r="R154" s="12"/>
      <c r="S154" s="2">
        <v>739635</v>
      </c>
      <c r="T154" s="2">
        <v>-122158</v>
      </c>
      <c r="U154" s="2">
        <f t="shared" si="3"/>
        <v>617477</v>
      </c>
    </row>
    <row r="155" spans="1:21">
      <c r="A155" s="10">
        <v>34205</v>
      </c>
      <c r="B155" s="11" t="s">
        <v>141</v>
      </c>
      <c r="C155" s="11"/>
      <c r="D155" s="11"/>
      <c r="E155" s="74">
        <v>664226.32999999996</v>
      </c>
      <c r="F155" s="74">
        <v>3199427.0130000003</v>
      </c>
      <c r="G155" s="12">
        <v>601804</v>
      </c>
      <c r="H155" s="12"/>
      <c r="I155" s="13">
        <v>0</v>
      </c>
      <c r="J155" s="13">
        <v>0</v>
      </c>
      <c r="K155" s="13">
        <v>0</v>
      </c>
      <c r="L155" s="12">
        <v>0</v>
      </c>
      <c r="M155" s="12"/>
      <c r="N155" s="13">
        <v>140277</v>
      </c>
      <c r="O155" s="13">
        <v>2033275</v>
      </c>
      <c r="P155" s="13">
        <v>0</v>
      </c>
      <c r="Q155" s="12">
        <v>13805</v>
      </c>
      <c r="R155" s="12"/>
      <c r="S155" s="2">
        <v>257603</v>
      </c>
      <c r="T155" s="2">
        <v>-3643</v>
      </c>
      <c r="U155" s="2">
        <f t="shared" si="3"/>
        <v>253960</v>
      </c>
    </row>
    <row r="156" spans="1:21">
      <c r="A156" s="10">
        <v>34220</v>
      </c>
      <c r="B156" s="11" t="s">
        <v>142</v>
      </c>
      <c r="C156" s="11"/>
      <c r="D156" s="11"/>
      <c r="E156" s="74">
        <v>1330122.67</v>
      </c>
      <c r="F156" s="74">
        <v>6659907.8430000003</v>
      </c>
      <c r="G156" s="12">
        <v>1266097</v>
      </c>
      <c r="H156" s="12"/>
      <c r="I156" s="13">
        <v>0</v>
      </c>
      <c r="J156" s="13">
        <v>0</v>
      </c>
      <c r="K156" s="13">
        <v>0</v>
      </c>
      <c r="L156" s="12">
        <v>0</v>
      </c>
      <c r="M156" s="12"/>
      <c r="N156" s="13">
        <v>295120</v>
      </c>
      <c r="O156" s="13">
        <v>4277680</v>
      </c>
      <c r="P156" s="13">
        <v>0</v>
      </c>
      <c r="Q156" s="12">
        <v>25985</v>
      </c>
      <c r="R156" s="12"/>
      <c r="S156" s="2">
        <v>541954</v>
      </c>
      <c r="T156" s="2">
        <v>-6856</v>
      </c>
      <c r="U156" s="2">
        <f t="shared" si="3"/>
        <v>535098</v>
      </c>
    </row>
    <row r="157" spans="1:21">
      <c r="A157" s="10">
        <v>34230</v>
      </c>
      <c r="B157" s="11" t="s">
        <v>143</v>
      </c>
      <c r="C157" s="11"/>
      <c r="D157" s="11"/>
      <c r="E157" s="74">
        <v>579680.01</v>
      </c>
      <c r="F157" s="74">
        <v>3047651.5379999997</v>
      </c>
      <c r="G157" s="12">
        <v>590666</v>
      </c>
      <c r="H157" s="12"/>
      <c r="I157" s="13">
        <v>0</v>
      </c>
      <c r="J157" s="13">
        <v>0</v>
      </c>
      <c r="K157" s="13">
        <v>0</v>
      </c>
      <c r="L157" s="12">
        <v>2519</v>
      </c>
      <c r="M157" s="12"/>
      <c r="N157" s="13">
        <v>137681</v>
      </c>
      <c r="O157" s="13">
        <v>1995643</v>
      </c>
      <c r="P157" s="13">
        <v>0</v>
      </c>
      <c r="Q157" s="12">
        <v>0</v>
      </c>
      <c r="R157" s="12"/>
      <c r="S157" s="2">
        <v>252835</v>
      </c>
      <c r="T157" s="2">
        <v>665</v>
      </c>
      <c r="U157" s="2">
        <f t="shared" si="3"/>
        <v>253500</v>
      </c>
    </row>
    <row r="158" spans="1:21">
      <c r="A158" s="10">
        <v>34300</v>
      </c>
      <c r="B158" s="11" t="s">
        <v>144</v>
      </c>
      <c r="C158" s="11"/>
      <c r="D158" s="11"/>
      <c r="E158" s="74">
        <v>7892189.8600000003</v>
      </c>
      <c r="F158" s="74">
        <v>41756468.682000004</v>
      </c>
      <c r="G158" s="12">
        <v>8586811</v>
      </c>
      <c r="H158" s="12"/>
      <c r="I158" s="13">
        <v>0</v>
      </c>
      <c r="J158" s="13">
        <v>0</v>
      </c>
      <c r="K158" s="13">
        <v>0</v>
      </c>
      <c r="L158" s="12">
        <v>1630076</v>
      </c>
      <c r="M158" s="12"/>
      <c r="N158" s="13">
        <v>2001539</v>
      </c>
      <c r="O158" s="13">
        <v>29011697</v>
      </c>
      <c r="P158" s="13">
        <v>0</v>
      </c>
      <c r="Q158" s="12">
        <v>0</v>
      </c>
      <c r="R158" s="12"/>
      <c r="S158" s="2">
        <v>3675593</v>
      </c>
      <c r="T158" s="2">
        <v>430099</v>
      </c>
      <c r="U158" s="2">
        <f t="shared" si="3"/>
        <v>4105692</v>
      </c>
    </row>
    <row r="159" spans="1:21">
      <c r="A159" s="10">
        <v>34400</v>
      </c>
      <c r="B159" s="11" t="s">
        <v>145</v>
      </c>
      <c r="C159" s="11"/>
      <c r="D159" s="11"/>
      <c r="E159" s="74">
        <v>3323921.43</v>
      </c>
      <c r="F159" s="74">
        <v>18000571.335000001</v>
      </c>
      <c r="G159" s="12">
        <v>3446097</v>
      </c>
      <c r="H159" s="12"/>
      <c r="I159" s="13">
        <v>0</v>
      </c>
      <c r="J159" s="13">
        <v>0</v>
      </c>
      <c r="K159" s="13">
        <v>0</v>
      </c>
      <c r="L159" s="12">
        <v>0</v>
      </c>
      <c r="M159" s="12"/>
      <c r="N159" s="13">
        <v>803267</v>
      </c>
      <c r="O159" s="13">
        <v>11643102</v>
      </c>
      <c r="P159" s="13">
        <v>0</v>
      </c>
      <c r="Q159" s="12">
        <v>205158</v>
      </c>
      <c r="R159" s="12"/>
      <c r="S159" s="2">
        <v>1475105</v>
      </c>
      <c r="T159" s="2">
        <v>-54131</v>
      </c>
      <c r="U159" s="2">
        <f t="shared" si="3"/>
        <v>1420974</v>
      </c>
    </row>
    <row r="160" spans="1:21">
      <c r="A160" s="10">
        <v>34405</v>
      </c>
      <c r="B160" s="11" t="s">
        <v>146</v>
      </c>
      <c r="C160" s="11"/>
      <c r="D160" s="11"/>
      <c r="E160" s="74">
        <v>735850.95</v>
      </c>
      <c r="F160" s="74">
        <v>3885452.16</v>
      </c>
      <c r="G160" s="12">
        <v>736984</v>
      </c>
      <c r="H160" s="12"/>
      <c r="I160" s="13">
        <v>0</v>
      </c>
      <c r="J160" s="13">
        <v>0</v>
      </c>
      <c r="K160" s="13">
        <v>0</v>
      </c>
      <c r="L160" s="12">
        <v>0</v>
      </c>
      <c r="M160" s="12"/>
      <c r="N160" s="13">
        <v>171787</v>
      </c>
      <c r="O160" s="13">
        <v>2489999</v>
      </c>
      <c r="P160" s="13">
        <v>0</v>
      </c>
      <c r="Q160" s="12">
        <v>52457</v>
      </c>
      <c r="R160" s="12"/>
      <c r="S160" s="2">
        <v>315467</v>
      </c>
      <c r="T160" s="2">
        <v>-13841</v>
      </c>
      <c r="U160" s="2">
        <f t="shared" si="3"/>
        <v>301626</v>
      </c>
    </row>
    <row r="161" spans="1:21">
      <c r="A161" s="10">
        <v>34500</v>
      </c>
      <c r="B161" s="11" t="s">
        <v>147</v>
      </c>
      <c r="C161" s="11"/>
      <c r="D161" s="11"/>
      <c r="E161" s="74">
        <v>5643211.3799999999</v>
      </c>
      <c r="F161" s="74">
        <v>30191177.487</v>
      </c>
      <c r="G161" s="12">
        <v>5800670</v>
      </c>
      <c r="H161" s="12"/>
      <c r="I161" s="13">
        <v>0</v>
      </c>
      <c r="J161" s="13">
        <v>0</v>
      </c>
      <c r="K161" s="13">
        <v>0</v>
      </c>
      <c r="L161" s="12">
        <v>0</v>
      </c>
      <c r="M161" s="12"/>
      <c r="N161" s="13">
        <v>1352105</v>
      </c>
      <c r="O161" s="13">
        <v>19598344</v>
      </c>
      <c r="P161" s="13">
        <v>0</v>
      </c>
      <c r="Q161" s="12">
        <v>221410</v>
      </c>
      <c r="R161" s="12"/>
      <c r="S161" s="2">
        <v>2482983</v>
      </c>
      <c r="T161" s="2">
        <v>-58420</v>
      </c>
      <c r="U161" s="2">
        <f t="shared" si="3"/>
        <v>2424563</v>
      </c>
    </row>
    <row r="162" spans="1:21">
      <c r="A162" s="10">
        <v>34501</v>
      </c>
      <c r="B162" s="11" t="s">
        <v>148</v>
      </c>
      <c r="C162" s="11"/>
      <c r="D162" s="11"/>
      <c r="E162" s="74">
        <v>61458.2</v>
      </c>
      <c r="F162" s="74">
        <v>339977.06400000001</v>
      </c>
      <c r="G162" s="12">
        <v>66594</v>
      </c>
      <c r="H162" s="12"/>
      <c r="I162" s="13">
        <v>0</v>
      </c>
      <c r="J162" s="13">
        <v>0</v>
      </c>
      <c r="K162" s="13">
        <v>0</v>
      </c>
      <c r="L162" s="12">
        <v>69</v>
      </c>
      <c r="M162" s="12"/>
      <c r="N162" s="13">
        <v>15523</v>
      </c>
      <c r="O162" s="13">
        <v>224995</v>
      </c>
      <c r="P162" s="13">
        <v>0</v>
      </c>
      <c r="Q162" s="12">
        <v>0</v>
      </c>
      <c r="R162" s="12"/>
      <c r="S162" s="2">
        <v>28505</v>
      </c>
      <c r="T162" s="2">
        <v>18</v>
      </c>
      <c r="U162" s="2">
        <f t="shared" si="3"/>
        <v>28523</v>
      </c>
    </row>
    <row r="163" spans="1:21">
      <c r="A163" s="10">
        <v>34505</v>
      </c>
      <c r="B163" s="11" t="s">
        <v>149</v>
      </c>
      <c r="C163" s="11"/>
      <c r="D163" s="11"/>
      <c r="E163" s="74">
        <v>830828.96</v>
      </c>
      <c r="F163" s="74">
        <v>3745818.7230000002</v>
      </c>
      <c r="G163" s="12">
        <v>749412</v>
      </c>
      <c r="H163" s="12"/>
      <c r="I163" s="13">
        <v>0</v>
      </c>
      <c r="J163" s="13">
        <v>0</v>
      </c>
      <c r="K163" s="13">
        <v>0</v>
      </c>
      <c r="L163" s="12">
        <v>174314</v>
      </c>
      <c r="M163" s="12"/>
      <c r="N163" s="13">
        <v>174684</v>
      </c>
      <c r="O163" s="13">
        <v>2531988</v>
      </c>
      <c r="P163" s="13">
        <v>0</v>
      </c>
      <c r="Q163" s="12">
        <v>0</v>
      </c>
      <c r="R163" s="12"/>
      <c r="S163" s="2">
        <v>320786</v>
      </c>
      <c r="T163" s="2">
        <v>45993</v>
      </c>
      <c r="U163" s="2">
        <f t="shared" si="3"/>
        <v>366779</v>
      </c>
    </row>
    <row r="164" spans="1:21">
      <c r="A164" s="10">
        <v>34600</v>
      </c>
      <c r="B164" s="11" t="s">
        <v>150</v>
      </c>
      <c r="C164" s="11"/>
      <c r="D164" s="11"/>
      <c r="E164" s="74">
        <v>1551631.07</v>
      </c>
      <c r="F164" s="74">
        <v>8086597.3080000002</v>
      </c>
      <c r="G164" s="12">
        <v>1499644</v>
      </c>
      <c r="H164" s="12"/>
      <c r="I164" s="13">
        <v>0</v>
      </c>
      <c r="J164" s="13">
        <v>0</v>
      </c>
      <c r="K164" s="13">
        <v>0</v>
      </c>
      <c r="L164" s="12">
        <v>0</v>
      </c>
      <c r="M164" s="12"/>
      <c r="N164" s="13">
        <v>349559</v>
      </c>
      <c r="O164" s="13">
        <v>5066748</v>
      </c>
      <c r="P164" s="13">
        <v>0</v>
      </c>
      <c r="Q164" s="12">
        <v>206464</v>
      </c>
      <c r="R164" s="12"/>
      <c r="S164" s="2">
        <v>641924</v>
      </c>
      <c r="T164" s="2">
        <v>-54476</v>
      </c>
      <c r="U164" s="2">
        <f t="shared" si="3"/>
        <v>587448</v>
      </c>
    </row>
    <row r="165" spans="1:21">
      <c r="A165" s="10">
        <v>34605</v>
      </c>
      <c r="B165" s="11" t="s">
        <v>151</v>
      </c>
      <c r="C165" s="11"/>
      <c r="D165" s="11"/>
      <c r="E165" s="74">
        <v>364155.59</v>
      </c>
      <c r="F165" s="74">
        <v>1748453.4720000001</v>
      </c>
      <c r="G165" s="12">
        <v>337657</v>
      </c>
      <c r="H165" s="12"/>
      <c r="I165" s="13">
        <v>0</v>
      </c>
      <c r="J165" s="13">
        <v>0</v>
      </c>
      <c r="K165" s="13">
        <v>0</v>
      </c>
      <c r="L165" s="12">
        <v>22432</v>
      </c>
      <c r="M165" s="12"/>
      <c r="N165" s="13">
        <v>78706</v>
      </c>
      <c r="O165" s="13">
        <v>1140820</v>
      </c>
      <c r="P165" s="13">
        <v>0</v>
      </c>
      <c r="Q165" s="12">
        <v>0</v>
      </c>
      <c r="R165" s="12"/>
      <c r="S165" s="2">
        <v>144535</v>
      </c>
      <c r="T165" s="2">
        <v>5919</v>
      </c>
      <c r="U165" s="2">
        <f t="shared" si="3"/>
        <v>150454</v>
      </c>
    </row>
    <row r="166" spans="1:21">
      <c r="A166" s="10">
        <v>34700</v>
      </c>
      <c r="B166" s="11" t="s">
        <v>152</v>
      </c>
      <c r="C166" s="11"/>
      <c r="D166" s="11"/>
      <c r="E166" s="74">
        <v>3342278.6</v>
      </c>
      <c r="F166" s="74">
        <v>18759448.710000001</v>
      </c>
      <c r="G166" s="12">
        <v>3728768</v>
      </c>
      <c r="H166" s="12"/>
      <c r="I166" s="13">
        <v>0</v>
      </c>
      <c r="J166" s="13">
        <v>0</v>
      </c>
      <c r="K166" s="13">
        <v>0</v>
      </c>
      <c r="L166" s="12">
        <v>144632</v>
      </c>
      <c r="M166" s="12"/>
      <c r="N166" s="13">
        <v>869156</v>
      </c>
      <c r="O166" s="13">
        <v>12598143</v>
      </c>
      <c r="P166" s="13">
        <v>0</v>
      </c>
      <c r="Q166" s="12">
        <v>0</v>
      </c>
      <c r="R166" s="12"/>
      <c r="S166" s="2">
        <v>1596103</v>
      </c>
      <c r="T166" s="2">
        <v>38161</v>
      </c>
      <c r="U166" s="2">
        <f t="shared" si="3"/>
        <v>1634264</v>
      </c>
    </row>
    <row r="167" spans="1:21">
      <c r="A167" s="10">
        <v>34800</v>
      </c>
      <c r="B167" s="11" t="s">
        <v>153</v>
      </c>
      <c r="C167" s="11"/>
      <c r="D167" s="11"/>
      <c r="E167" s="74">
        <v>464038.34</v>
      </c>
      <c r="F167" s="74">
        <v>2082359.517</v>
      </c>
      <c r="G167" s="12">
        <v>405658</v>
      </c>
      <c r="H167" s="12"/>
      <c r="I167" s="13">
        <v>0</v>
      </c>
      <c r="J167" s="13">
        <v>0</v>
      </c>
      <c r="K167" s="13">
        <v>0</v>
      </c>
      <c r="L167" s="12">
        <v>62365</v>
      </c>
      <c r="M167" s="12"/>
      <c r="N167" s="13">
        <v>94557</v>
      </c>
      <c r="O167" s="13">
        <v>1370569</v>
      </c>
      <c r="P167" s="13">
        <v>0</v>
      </c>
      <c r="Q167" s="12">
        <v>0</v>
      </c>
      <c r="R167" s="12"/>
      <c r="S167" s="2">
        <v>173642</v>
      </c>
      <c r="T167" s="2">
        <v>16455</v>
      </c>
      <c r="U167" s="2">
        <f t="shared" si="3"/>
        <v>190097</v>
      </c>
    </row>
    <row r="168" spans="1:21">
      <c r="A168" s="10">
        <v>34900</v>
      </c>
      <c r="B168" s="11" t="s">
        <v>289</v>
      </c>
      <c r="C168" s="11"/>
      <c r="D168" s="11"/>
      <c r="E168" s="74">
        <v>8402057.1400000006</v>
      </c>
      <c r="F168" s="74">
        <v>47044326.230999999</v>
      </c>
      <c r="G168" s="12">
        <v>8837123</v>
      </c>
      <c r="H168" s="12"/>
      <c r="I168" s="13">
        <v>0</v>
      </c>
      <c r="J168" s="13">
        <v>0</v>
      </c>
      <c r="K168" s="13">
        <v>0</v>
      </c>
      <c r="L168" s="12">
        <v>0</v>
      </c>
      <c r="M168" s="12"/>
      <c r="N168" s="13">
        <v>2059886</v>
      </c>
      <c r="O168" s="13">
        <v>29857409</v>
      </c>
      <c r="P168" s="13">
        <v>0</v>
      </c>
      <c r="Q168" s="12">
        <v>1321825</v>
      </c>
      <c r="R168" s="12"/>
      <c r="S168" s="2">
        <v>3782740</v>
      </c>
      <c r="T168" s="2">
        <v>-348766</v>
      </c>
      <c r="U168" s="2">
        <f t="shared" si="3"/>
        <v>3433974</v>
      </c>
    </row>
    <row r="169" spans="1:21">
      <c r="A169" s="10">
        <v>34901</v>
      </c>
      <c r="B169" s="11" t="s">
        <v>290</v>
      </c>
      <c r="C169" s="11"/>
      <c r="D169" s="11"/>
      <c r="E169" s="74">
        <v>186789.62</v>
      </c>
      <c r="F169" s="74">
        <v>1110996.477</v>
      </c>
      <c r="G169" s="12">
        <v>227450</v>
      </c>
      <c r="H169" s="12"/>
      <c r="I169" s="13">
        <v>0</v>
      </c>
      <c r="J169" s="13">
        <v>0</v>
      </c>
      <c r="K169" s="13">
        <v>0</v>
      </c>
      <c r="L169" s="12">
        <v>21655</v>
      </c>
      <c r="M169" s="12"/>
      <c r="N169" s="13">
        <v>53017</v>
      </c>
      <c r="O169" s="13">
        <v>768469</v>
      </c>
      <c r="P169" s="13">
        <v>0</v>
      </c>
      <c r="Q169" s="12">
        <v>0</v>
      </c>
      <c r="R169" s="12"/>
      <c r="S169" s="2">
        <v>97360</v>
      </c>
      <c r="T169" s="2">
        <v>5714</v>
      </c>
      <c r="U169" s="2">
        <f t="shared" si="3"/>
        <v>103074</v>
      </c>
    </row>
    <row r="170" spans="1:21">
      <c r="A170" s="10">
        <v>34903</v>
      </c>
      <c r="B170" s="11" t="s">
        <v>154</v>
      </c>
      <c r="C170" s="11"/>
      <c r="D170" s="11"/>
      <c r="E170" s="74">
        <v>24642.03</v>
      </c>
      <c r="F170" s="74">
        <v>133562.41800000001</v>
      </c>
      <c r="G170" s="12">
        <v>24738</v>
      </c>
      <c r="H170" s="12"/>
      <c r="I170" s="13">
        <v>0</v>
      </c>
      <c r="J170" s="13">
        <v>0</v>
      </c>
      <c r="K170" s="13">
        <v>0</v>
      </c>
      <c r="L170" s="12">
        <v>0</v>
      </c>
      <c r="M170" s="12"/>
      <c r="N170" s="13">
        <v>5766</v>
      </c>
      <c r="O170" s="13">
        <v>83581</v>
      </c>
      <c r="P170" s="13">
        <v>0</v>
      </c>
      <c r="Q170" s="12">
        <v>4292</v>
      </c>
      <c r="R170" s="12"/>
      <c r="S170" s="2">
        <v>10589</v>
      </c>
      <c r="T170" s="2">
        <v>-1132</v>
      </c>
      <c r="U170" s="2">
        <f t="shared" si="3"/>
        <v>9457</v>
      </c>
    </row>
    <row r="171" spans="1:21">
      <c r="A171" s="10">
        <v>34905</v>
      </c>
      <c r="B171" s="11" t="s">
        <v>155</v>
      </c>
      <c r="C171" s="11"/>
      <c r="D171" s="11"/>
      <c r="E171" s="74">
        <v>937534.2</v>
      </c>
      <c r="F171" s="74">
        <v>4753607.8769999994</v>
      </c>
      <c r="G171" s="12">
        <v>907571</v>
      </c>
      <c r="H171" s="12"/>
      <c r="I171" s="13">
        <v>0</v>
      </c>
      <c r="J171" s="13">
        <v>0</v>
      </c>
      <c r="K171" s="13">
        <v>0</v>
      </c>
      <c r="L171" s="12">
        <v>0</v>
      </c>
      <c r="M171" s="12"/>
      <c r="N171" s="13">
        <v>211550</v>
      </c>
      <c r="O171" s="13">
        <v>3066351</v>
      </c>
      <c r="P171" s="13">
        <v>0</v>
      </c>
      <c r="Q171" s="12">
        <v>15103</v>
      </c>
      <c r="R171" s="12"/>
      <c r="S171" s="2">
        <v>388487</v>
      </c>
      <c r="T171" s="2">
        <v>-3985</v>
      </c>
      <c r="U171" s="2">
        <f t="shared" si="3"/>
        <v>384502</v>
      </c>
    </row>
    <row r="172" spans="1:21">
      <c r="A172" s="10">
        <v>34910</v>
      </c>
      <c r="B172" s="11" t="s">
        <v>156</v>
      </c>
      <c r="C172" s="11"/>
      <c r="D172" s="11"/>
      <c r="E172" s="74">
        <v>2307414.63</v>
      </c>
      <c r="F172" s="74">
        <v>12506299.140000001</v>
      </c>
      <c r="G172" s="12">
        <v>2471581</v>
      </c>
      <c r="H172" s="12"/>
      <c r="I172" s="13">
        <v>0</v>
      </c>
      <c r="J172" s="13">
        <v>0</v>
      </c>
      <c r="K172" s="13">
        <v>0</v>
      </c>
      <c r="L172" s="12">
        <v>111891</v>
      </c>
      <c r="M172" s="12"/>
      <c r="N172" s="13">
        <v>576112</v>
      </c>
      <c r="O172" s="13">
        <v>8350568</v>
      </c>
      <c r="P172" s="13">
        <v>0</v>
      </c>
      <c r="Q172" s="12">
        <v>0</v>
      </c>
      <c r="R172" s="12"/>
      <c r="S172" s="2">
        <v>1057963</v>
      </c>
      <c r="T172" s="2">
        <v>29523</v>
      </c>
      <c r="U172" s="2">
        <f t="shared" si="3"/>
        <v>1087486</v>
      </c>
    </row>
    <row r="173" spans="1:21">
      <c r="A173" s="10">
        <v>35000</v>
      </c>
      <c r="B173" s="11" t="s">
        <v>157</v>
      </c>
      <c r="C173" s="11"/>
      <c r="D173" s="11"/>
      <c r="E173" s="74">
        <v>1593772.59</v>
      </c>
      <c r="F173" s="74">
        <v>8645131.0559999999</v>
      </c>
      <c r="G173" s="12">
        <v>1686293</v>
      </c>
      <c r="H173" s="12"/>
      <c r="I173" s="13">
        <v>0</v>
      </c>
      <c r="J173" s="13">
        <v>0</v>
      </c>
      <c r="K173" s="13">
        <v>0</v>
      </c>
      <c r="L173" s="12">
        <v>2808</v>
      </c>
      <c r="M173" s="12"/>
      <c r="N173" s="13">
        <v>393066</v>
      </c>
      <c r="O173" s="13">
        <v>5697368</v>
      </c>
      <c r="P173" s="13">
        <v>0</v>
      </c>
      <c r="Q173" s="12">
        <v>0</v>
      </c>
      <c r="R173" s="12"/>
      <c r="S173" s="2">
        <v>721819</v>
      </c>
      <c r="T173" s="2">
        <v>741</v>
      </c>
      <c r="U173" s="2">
        <f t="shared" si="3"/>
        <v>722560</v>
      </c>
    </row>
    <row r="174" spans="1:21">
      <c r="A174" s="10">
        <v>35005</v>
      </c>
      <c r="B174" s="11" t="s">
        <v>158</v>
      </c>
      <c r="C174" s="11"/>
      <c r="D174" s="11"/>
      <c r="E174" s="74">
        <v>822916.91</v>
      </c>
      <c r="F174" s="74">
        <v>4061511.7110000001</v>
      </c>
      <c r="G174" s="12">
        <v>828667</v>
      </c>
      <c r="H174" s="12"/>
      <c r="I174" s="13">
        <v>0</v>
      </c>
      <c r="J174" s="13">
        <v>0</v>
      </c>
      <c r="K174" s="13">
        <v>0</v>
      </c>
      <c r="L174" s="12">
        <v>180624</v>
      </c>
      <c r="M174" s="12"/>
      <c r="N174" s="13">
        <v>193158</v>
      </c>
      <c r="O174" s="13">
        <v>2799763</v>
      </c>
      <c r="P174" s="13">
        <v>0</v>
      </c>
      <c r="Q174" s="12">
        <v>0</v>
      </c>
      <c r="R174" s="12"/>
      <c r="S174" s="2">
        <v>354712</v>
      </c>
      <c r="T174" s="2">
        <v>47658</v>
      </c>
      <c r="U174" s="2">
        <f t="shared" si="3"/>
        <v>402370</v>
      </c>
    </row>
    <row r="175" spans="1:21">
      <c r="A175" s="10">
        <v>35100</v>
      </c>
      <c r="B175" s="11" t="s">
        <v>159</v>
      </c>
      <c r="C175" s="11"/>
      <c r="D175" s="11"/>
      <c r="E175" s="74">
        <v>13398976.210000001</v>
      </c>
      <c r="F175" s="74">
        <v>78850394.772</v>
      </c>
      <c r="G175" s="12">
        <v>14677890</v>
      </c>
      <c r="H175" s="12"/>
      <c r="I175" s="13">
        <v>0</v>
      </c>
      <c r="J175" s="13">
        <v>0</v>
      </c>
      <c r="K175" s="13">
        <v>0</v>
      </c>
      <c r="L175" s="12">
        <v>0</v>
      </c>
      <c r="M175" s="12"/>
      <c r="N175" s="13">
        <v>3421337</v>
      </c>
      <c r="O175" s="13">
        <v>49591226</v>
      </c>
      <c r="P175" s="13">
        <v>0</v>
      </c>
      <c r="Q175" s="12">
        <v>3199624</v>
      </c>
      <c r="R175" s="12"/>
      <c r="S175" s="2">
        <v>6282886</v>
      </c>
      <c r="T175" s="2">
        <v>-844228</v>
      </c>
      <c r="U175" s="2">
        <f t="shared" si="3"/>
        <v>5438658</v>
      </c>
    </row>
    <row r="176" spans="1:21">
      <c r="A176" s="10">
        <v>35105</v>
      </c>
      <c r="B176" s="11" t="s">
        <v>160</v>
      </c>
      <c r="C176" s="11"/>
      <c r="D176" s="11"/>
      <c r="E176" s="74">
        <v>1330076.6200000001</v>
      </c>
      <c r="F176" s="74">
        <v>7012026.9450000003</v>
      </c>
      <c r="G176" s="12">
        <v>1418512</v>
      </c>
      <c r="H176" s="12"/>
      <c r="I176" s="13">
        <v>0</v>
      </c>
      <c r="J176" s="13">
        <v>0</v>
      </c>
      <c r="K176" s="13">
        <v>0</v>
      </c>
      <c r="L176" s="12">
        <v>199903</v>
      </c>
      <c r="M176" s="12"/>
      <c r="N176" s="13">
        <v>330648</v>
      </c>
      <c r="O176" s="13">
        <v>4792634</v>
      </c>
      <c r="P176" s="13">
        <v>0</v>
      </c>
      <c r="Q176" s="12">
        <v>0</v>
      </c>
      <c r="R176" s="12"/>
      <c r="S176" s="2">
        <v>607196</v>
      </c>
      <c r="T176" s="2">
        <v>52745</v>
      </c>
      <c r="U176" s="2">
        <f t="shared" si="3"/>
        <v>659941</v>
      </c>
    </row>
    <row r="177" spans="1:21">
      <c r="A177" s="10">
        <v>35106</v>
      </c>
      <c r="B177" s="11" t="s">
        <v>161</v>
      </c>
      <c r="C177" s="11"/>
      <c r="D177" s="11"/>
      <c r="E177" s="74">
        <v>221315.89</v>
      </c>
      <c r="F177" s="74">
        <v>1147422.591</v>
      </c>
      <c r="G177" s="12">
        <v>264146</v>
      </c>
      <c r="H177" s="12"/>
      <c r="I177" s="13">
        <v>0</v>
      </c>
      <c r="J177" s="13">
        <v>0</v>
      </c>
      <c r="K177" s="13">
        <v>0</v>
      </c>
      <c r="L177" s="12">
        <v>141628</v>
      </c>
      <c r="M177" s="12"/>
      <c r="N177" s="13">
        <v>61571</v>
      </c>
      <c r="O177" s="13">
        <v>892454</v>
      </c>
      <c r="P177" s="13">
        <v>0</v>
      </c>
      <c r="Q177" s="12">
        <v>0</v>
      </c>
      <c r="R177" s="12"/>
      <c r="S177" s="2">
        <v>113068</v>
      </c>
      <c r="T177" s="2">
        <v>37369</v>
      </c>
      <c r="U177" s="2">
        <f t="shared" si="3"/>
        <v>150437</v>
      </c>
    </row>
    <row r="178" spans="1:21">
      <c r="A178" s="10">
        <v>35200</v>
      </c>
      <c r="B178" s="11" t="s">
        <v>162</v>
      </c>
      <c r="C178" s="11"/>
      <c r="D178" s="11"/>
      <c r="E178" s="74">
        <v>716610.8</v>
      </c>
      <c r="F178" s="74">
        <v>3296563.3169999998</v>
      </c>
      <c r="G178" s="12">
        <v>653976</v>
      </c>
      <c r="H178" s="12"/>
      <c r="I178" s="13">
        <v>0</v>
      </c>
      <c r="J178" s="13">
        <v>0</v>
      </c>
      <c r="K178" s="13">
        <v>0</v>
      </c>
      <c r="L178" s="12">
        <v>123491</v>
      </c>
      <c r="M178" s="12"/>
      <c r="N178" s="13">
        <v>152438</v>
      </c>
      <c r="O178" s="13">
        <v>2209547</v>
      </c>
      <c r="P178" s="13">
        <v>0</v>
      </c>
      <c r="Q178" s="12">
        <v>0</v>
      </c>
      <c r="R178" s="12"/>
      <c r="S178" s="2">
        <v>279935</v>
      </c>
      <c r="T178" s="2">
        <v>32583</v>
      </c>
      <c r="U178" s="2">
        <f t="shared" si="3"/>
        <v>312518</v>
      </c>
    </row>
    <row r="179" spans="1:21">
      <c r="A179" s="10">
        <v>35300</v>
      </c>
      <c r="B179" s="11" t="s">
        <v>163</v>
      </c>
      <c r="C179" s="11"/>
      <c r="D179" s="11"/>
      <c r="E179" s="74">
        <v>4020580.44</v>
      </c>
      <c r="F179" s="74">
        <v>22256355.653999999</v>
      </c>
      <c r="G179" s="12">
        <v>4201253</v>
      </c>
      <c r="H179" s="12"/>
      <c r="I179" s="13">
        <v>0</v>
      </c>
      <c r="J179" s="13">
        <v>0</v>
      </c>
      <c r="K179" s="13">
        <v>0</v>
      </c>
      <c r="L179" s="12">
        <v>0</v>
      </c>
      <c r="M179" s="12"/>
      <c r="N179" s="13">
        <v>979289</v>
      </c>
      <c r="O179" s="13">
        <v>14194500</v>
      </c>
      <c r="P179" s="13">
        <v>0</v>
      </c>
      <c r="Q179" s="12">
        <v>521488</v>
      </c>
      <c r="R179" s="12"/>
      <c r="S179" s="2">
        <v>1798351</v>
      </c>
      <c r="T179" s="2">
        <v>-137596</v>
      </c>
      <c r="U179" s="2">
        <f t="shared" si="3"/>
        <v>1660755</v>
      </c>
    </row>
    <row r="180" spans="1:21">
      <c r="A180" s="10">
        <v>35305</v>
      </c>
      <c r="B180" s="11" t="s">
        <v>164</v>
      </c>
      <c r="C180" s="11"/>
      <c r="D180" s="11"/>
      <c r="E180" s="74">
        <v>1548288.04</v>
      </c>
      <c r="F180" s="74">
        <v>7406643.1799999997</v>
      </c>
      <c r="G180" s="12">
        <v>1447119</v>
      </c>
      <c r="H180" s="12"/>
      <c r="I180" s="13">
        <v>0</v>
      </c>
      <c r="J180" s="13">
        <v>0</v>
      </c>
      <c r="K180" s="13">
        <v>0</v>
      </c>
      <c r="L180" s="12">
        <v>155023</v>
      </c>
      <c r="M180" s="12"/>
      <c r="N180" s="13">
        <v>337316</v>
      </c>
      <c r="O180" s="13">
        <v>4889287</v>
      </c>
      <c r="P180" s="13">
        <v>0</v>
      </c>
      <c r="Q180" s="12">
        <v>0</v>
      </c>
      <c r="R180" s="12"/>
      <c r="S180" s="2">
        <v>619441</v>
      </c>
      <c r="T180" s="2">
        <v>40903</v>
      </c>
      <c r="U180" s="2">
        <f t="shared" si="3"/>
        <v>660344</v>
      </c>
    </row>
    <row r="181" spans="1:21">
      <c r="A181" s="10">
        <v>35400</v>
      </c>
      <c r="B181" s="11" t="s">
        <v>165</v>
      </c>
      <c r="C181" s="11"/>
      <c r="D181" s="11"/>
      <c r="E181" s="74">
        <v>3658892.38</v>
      </c>
      <c r="F181" s="74">
        <v>19226917.173</v>
      </c>
      <c r="G181" s="12">
        <v>3696057</v>
      </c>
      <c r="H181" s="12"/>
      <c r="I181" s="13">
        <v>0</v>
      </c>
      <c r="J181" s="13">
        <v>0</v>
      </c>
      <c r="K181" s="13">
        <v>0</v>
      </c>
      <c r="L181" s="12">
        <v>0</v>
      </c>
      <c r="M181" s="12"/>
      <c r="N181" s="13">
        <v>861531</v>
      </c>
      <c r="O181" s="13">
        <v>12487626</v>
      </c>
      <c r="P181" s="13">
        <v>0</v>
      </c>
      <c r="Q181" s="12">
        <v>83009</v>
      </c>
      <c r="R181" s="12"/>
      <c r="S181" s="2">
        <v>1582101</v>
      </c>
      <c r="T181" s="2">
        <v>-21902</v>
      </c>
      <c r="U181" s="2">
        <f t="shared" si="3"/>
        <v>1560199</v>
      </c>
    </row>
    <row r="182" spans="1:21">
      <c r="A182" s="10">
        <v>35401</v>
      </c>
      <c r="B182" s="11" t="s">
        <v>166</v>
      </c>
      <c r="C182" s="11"/>
      <c r="D182" s="11"/>
      <c r="E182" s="74">
        <v>29723.279999999999</v>
      </c>
      <c r="F182" s="74">
        <v>194272.60799999998</v>
      </c>
      <c r="G182" s="12">
        <v>27083</v>
      </c>
      <c r="H182" s="12"/>
      <c r="I182" s="13">
        <v>0</v>
      </c>
      <c r="J182" s="13">
        <v>0</v>
      </c>
      <c r="K182" s="13">
        <v>0</v>
      </c>
      <c r="L182" s="12">
        <v>0</v>
      </c>
      <c r="M182" s="12"/>
      <c r="N182" s="13">
        <v>6313</v>
      </c>
      <c r="O182" s="13">
        <v>91503</v>
      </c>
      <c r="P182" s="13">
        <v>0</v>
      </c>
      <c r="Q182" s="12">
        <v>40545</v>
      </c>
      <c r="R182" s="12"/>
      <c r="S182" s="2">
        <v>11593</v>
      </c>
      <c r="T182" s="2">
        <v>-10698</v>
      </c>
      <c r="U182" s="2">
        <f t="shared" si="3"/>
        <v>895</v>
      </c>
    </row>
    <row r="183" spans="1:21">
      <c r="A183" s="10">
        <v>35402</v>
      </c>
      <c r="B183" s="11" t="s">
        <v>167</v>
      </c>
      <c r="C183" s="11"/>
      <c r="D183" s="11"/>
      <c r="E183" s="74">
        <v>0</v>
      </c>
      <c r="F183" s="74">
        <v>601030.88099999994</v>
      </c>
      <c r="G183" s="12">
        <v>0</v>
      </c>
      <c r="H183" s="12"/>
      <c r="I183" s="13">
        <v>0</v>
      </c>
      <c r="J183" s="13">
        <v>0</v>
      </c>
      <c r="K183" s="13">
        <v>0</v>
      </c>
      <c r="L183" s="12">
        <v>0</v>
      </c>
      <c r="M183" s="12"/>
      <c r="N183" s="13">
        <v>0</v>
      </c>
      <c r="O183" s="13">
        <v>0</v>
      </c>
      <c r="P183" s="13">
        <v>0</v>
      </c>
      <c r="Q183" s="12">
        <v>475555</v>
      </c>
      <c r="R183" s="12"/>
      <c r="S183" s="2">
        <v>0</v>
      </c>
      <c r="T183" s="2">
        <v>-125476</v>
      </c>
      <c r="U183" s="2">
        <f t="shared" si="3"/>
        <v>-125476</v>
      </c>
    </row>
    <row r="184" spans="1:21">
      <c r="A184" s="10">
        <v>35405</v>
      </c>
      <c r="B184" s="11" t="s">
        <v>168</v>
      </c>
      <c r="C184" s="11"/>
      <c r="D184" s="11"/>
      <c r="E184" s="74">
        <v>1233917.9099999999</v>
      </c>
      <c r="F184" s="74">
        <v>6483848.2919999994</v>
      </c>
      <c r="G184" s="12">
        <v>1269146</v>
      </c>
      <c r="H184" s="12"/>
      <c r="I184" s="13">
        <v>0</v>
      </c>
      <c r="J184" s="13">
        <v>0</v>
      </c>
      <c r="K184" s="13">
        <v>0</v>
      </c>
      <c r="L184" s="12">
        <v>47289</v>
      </c>
      <c r="M184" s="12"/>
      <c r="N184" s="13">
        <v>295831</v>
      </c>
      <c r="O184" s="13">
        <v>4287980</v>
      </c>
      <c r="P184" s="13">
        <v>0</v>
      </c>
      <c r="Q184" s="12">
        <v>0</v>
      </c>
      <c r="R184" s="12"/>
      <c r="S184" s="2">
        <v>543259</v>
      </c>
      <c r="T184" s="2">
        <v>12477</v>
      </c>
      <c r="U184" s="2">
        <f t="shared" si="3"/>
        <v>555736</v>
      </c>
    </row>
    <row r="185" spans="1:21">
      <c r="A185" s="10">
        <v>35500</v>
      </c>
      <c r="B185" s="11" t="s">
        <v>169</v>
      </c>
      <c r="C185" s="11"/>
      <c r="D185" s="11"/>
      <c r="E185" s="74">
        <v>4698556.42</v>
      </c>
      <c r="F185" s="74">
        <v>25996103.358000003</v>
      </c>
      <c r="G185" s="12">
        <v>4946913</v>
      </c>
      <c r="H185" s="12"/>
      <c r="I185" s="13">
        <v>0</v>
      </c>
      <c r="J185" s="13">
        <v>0</v>
      </c>
      <c r="K185" s="13">
        <v>0</v>
      </c>
      <c r="L185" s="12">
        <v>0</v>
      </c>
      <c r="M185" s="12"/>
      <c r="N185" s="13">
        <v>1153099</v>
      </c>
      <c r="O185" s="13">
        <v>16713811</v>
      </c>
      <c r="P185" s="13">
        <v>0</v>
      </c>
      <c r="Q185" s="12">
        <v>475732</v>
      </c>
      <c r="R185" s="12"/>
      <c r="S185" s="2">
        <v>2117531</v>
      </c>
      <c r="T185" s="2">
        <v>-125523</v>
      </c>
      <c r="U185" s="2">
        <f t="shared" si="3"/>
        <v>1992008</v>
      </c>
    </row>
    <row r="186" spans="1:21">
      <c r="A186" s="10">
        <v>35600</v>
      </c>
      <c r="B186" s="11" t="s">
        <v>170</v>
      </c>
      <c r="C186" s="11"/>
      <c r="D186" s="11"/>
      <c r="E186" s="74">
        <v>2035316.31</v>
      </c>
      <c r="F186" s="74">
        <v>10721419.554</v>
      </c>
      <c r="G186" s="12">
        <v>1998509</v>
      </c>
      <c r="H186" s="12"/>
      <c r="I186" s="13">
        <v>0</v>
      </c>
      <c r="J186" s="13">
        <v>0</v>
      </c>
      <c r="K186" s="13">
        <v>0</v>
      </c>
      <c r="L186" s="12">
        <v>0</v>
      </c>
      <c r="M186" s="12"/>
      <c r="N186" s="13">
        <v>465842</v>
      </c>
      <c r="O186" s="13">
        <v>6752231</v>
      </c>
      <c r="P186" s="13">
        <v>0</v>
      </c>
      <c r="Q186" s="12">
        <v>257139</v>
      </c>
      <c r="R186" s="12"/>
      <c r="S186" s="2">
        <v>855464</v>
      </c>
      <c r="T186" s="2">
        <v>-67847</v>
      </c>
      <c r="U186" s="2">
        <f t="shared" si="3"/>
        <v>787617</v>
      </c>
    </row>
    <row r="187" spans="1:21">
      <c r="A187" s="10">
        <v>35700</v>
      </c>
      <c r="B187" s="11" t="s">
        <v>171</v>
      </c>
      <c r="C187" s="11"/>
      <c r="D187" s="11"/>
      <c r="E187" s="74">
        <v>1110765.8899999999</v>
      </c>
      <c r="F187" s="74">
        <v>6137800.2089999998</v>
      </c>
      <c r="G187" s="12">
        <v>1164214</v>
      </c>
      <c r="H187" s="12"/>
      <c r="I187" s="13">
        <v>0</v>
      </c>
      <c r="J187" s="13">
        <v>0</v>
      </c>
      <c r="K187" s="13">
        <v>0</v>
      </c>
      <c r="L187" s="12">
        <v>0</v>
      </c>
      <c r="M187" s="12"/>
      <c r="N187" s="13">
        <v>271372</v>
      </c>
      <c r="O187" s="13">
        <v>3933454</v>
      </c>
      <c r="P187" s="13">
        <v>0</v>
      </c>
      <c r="Q187" s="12">
        <v>123699</v>
      </c>
      <c r="R187" s="12"/>
      <c r="S187" s="2">
        <v>498343</v>
      </c>
      <c r="T187" s="2">
        <v>-32638</v>
      </c>
      <c r="U187" s="2">
        <f t="shared" si="3"/>
        <v>465705</v>
      </c>
    </row>
    <row r="188" spans="1:21">
      <c r="A188" s="10">
        <v>35800</v>
      </c>
      <c r="B188" s="11" t="s">
        <v>172</v>
      </c>
      <c r="C188" s="11"/>
      <c r="D188" s="11"/>
      <c r="E188" s="74">
        <v>1766775.09</v>
      </c>
      <c r="F188" s="74">
        <v>9149025.6330000013</v>
      </c>
      <c r="G188" s="12">
        <v>1730611</v>
      </c>
      <c r="H188" s="12"/>
      <c r="I188" s="13">
        <v>0</v>
      </c>
      <c r="J188" s="13">
        <v>0</v>
      </c>
      <c r="K188" s="13">
        <v>0</v>
      </c>
      <c r="L188" s="12">
        <v>0</v>
      </c>
      <c r="M188" s="12"/>
      <c r="N188" s="13">
        <v>403396</v>
      </c>
      <c r="O188" s="13">
        <v>5847101</v>
      </c>
      <c r="P188" s="13">
        <v>0</v>
      </c>
      <c r="Q188" s="12">
        <v>112302</v>
      </c>
      <c r="R188" s="12"/>
      <c r="S188" s="2">
        <v>740790</v>
      </c>
      <c r="T188" s="2">
        <v>-29631</v>
      </c>
      <c r="U188" s="2">
        <f t="shared" si="3"/>
        <v>711159</v>
      </c>
    </row>
    <row r="189" spans="1:21">
      <c r="A189" s="10">
        <v>35805</v>
      </c>
      <c r="B189" s="11" t="s">
        <v>173</v>
      </c>
      <c r="C189" s="11"/>
      <c r="D189" s="11"/>
      <c r="E189" s="74">
        <v>272712.11</v>
      </c>
      <c r="F189" s="74">
        <v>1299198.0659999999</v>
      </c>
      <c r="G189" s="12">
        <v>237767</v>
      </c>
      <c r="H189" s="12"/>
      <c r="I189" s="13">
        <v>0</v>
      </c>
      <c r="J189" s="13">
        <v>0</v>
      </c>
      <c r="K189" s="13">
        <v>0</v>
      </c>
      <c r="L189" s="12">
        <v>0</v>
      </c>
      <c r="M189" s="12"/>
      <c r="N189" s="13">
        <v>55422</v>
      </c>
      <c r="O189" s="13">
        <v>803328</v>
      </c>
      <c r="P189" s="13">
        <v>0</v>
      </c>
      <c r="Q189" s="12">
        <v>25118</v>
      </c>
      <c r="R189" s="12"/>
      <c r="S189" s="2">
        <v>101776</v>
      </c>
      <c r="T189" s="2">
        <v>-6627</v>
      </c>
      <c r="U189" s="2">
        <f t="shared" si="3"/>
        <v>95149</v>
      </c>
    </row>
    <row r="190" spans="1:21">
      <c r="A190" s="10">
        <v>35900</v>
      </c>
      <c r="B190" s="11" t="s">
        <v>174</v>
      </c>
      <c r="C190" s="11"/>
      <c r="D190" s="11"/>
      <c r="E190" s="74">
        <v>2797060.08</v>
      </c>
      <c r="F190" s="74">
        <v>16088200.35</v>
      </c>
      <c r="G190" s="12">
        <v>3010191</v>
      </c>
      <c r="H190" s="12"/>
      <c r="I190" s="13">
        <v>0</v>
      </c>
      <c r="J190" s="13">
        <v>0</v>
      </c>
      <c r="K190" s="13">
        <v>0</v>
      </c>
      <c r="L190" s="12">
        <v>0</v>
      </c>
      <c r="M190" s="12"/>
      <c r="N190" s="13">
        <v>701659</v>
      </c>
      <c r="O190" s="13">
        <v>10170335</v>
      </c>
      <c r="P190" s="13">
        <v>0</v>
      </c>
      <c r="Q190" s="12">
        <v>551861</v>
      </c>
      <c r="R190" s="12"/>
      <c r="S190" s="2">
        <v>1288515</v>
      </c>
      <c r="T190" s="2">
        <v>-145610</v>
      </c>
      <c r="U190" s="2">
        <f t="shared" si="3"/>
        <v>1142905</v>
      </c>
    </row>
    <row r="191" spans="1:21">
      <c r="A191" s="10">
        <v>35905</v>
      </c>
      <c r="B191" s="11" t="s">
        <v>175</v>
      </c>
      <c r="C191" s="11"/>
      <c r="D191" s="11"/>
      <c r="E191" s="74">
        <v>503894.71</v>
      </c>
      <c r="F191" s="74">
        <v>2319129.2579999999</v>
      </c>
      <c r="G191" s="12">
        <v>439892</v>
      </c>
      <c r="H191" s="12"/>
      <c r="I191" s="13">
        <v>0</v>
      </c>
      <c r="J191" s="13">
        <v>0</v>
      </c>
      <c r="K191" s="13">
        <v>0</v>
      </c>
      <c r="L191" s="12">
        <v>19886</v>
      </c>
      <c r="M191" s="12"/>
      <c r="N191" s="13">
        <v>102537</v>
      </c>
      <c r="O191" s="13">
        <v>1486235</v>
      </c>
      <c r="P191" s="13">
        <v>0</v>
      </c>
      <c r="Q191" s="12">
        <v>0</v>
      </c>
      <c r="R191" s="12"/>
      <c r="S191" s="2">
        <v>188296</v>
      </c>
      <c r="T191" s="2">
        <v>5247</v>
      </c>
      <c r="U191" s="2">
        <f t="shared" si="3"/>
        <v>193543</v>
      </c>
    </row>
    <row r="192" spans="1:21">
      <c r="A192" s="10">
        <v>36000</v>
      </c>
      <c r="B192" s="11" t="s">
        <v>176</v>
      </c>
      <c r="C192" s="11"/>
      <c r="D192" s="11"/>
      <c r="E192" s="74">
        <v>60166159.479999997</v>
      </c>
      <c r="F192" s="74">
        <v>344002149.597</v>
      </c>
      <c r="G192" s="12">
        <v>66800328</v>
      </c>
      <c r="H192" s="12"/>
      <c r="I192" s="13">
        <v>0</v>
      </c>
      <c r="J192" s="13">
        <v>0</v>
      </c>
      <c r="K192" s="13">
        <v>0</v>
      </c>
      <c r="L192" s="12">
        <v>0</v>
      </c>
      <c r="M192" s="12"/>
      <c r="N192" s="13">
        <v>15570795</v>
      </c>
      <c r="O192" s="13">
        <v>225693890</v>
      </c>
      <c r="P192" s="13">
        <v>0</v>
      </c>
      <c r="Q192" s="12">
        <v>3453670</v>
      </c>
      <c r="R192" s="12"/>
      <c r="S192" s="2">
        <v>28593948</v>
      </c>
      <c r="T192" s="2">
        <v>-911259</v>
      </c>
      <c r="U192" s="2">
        <f t="shared" si="3"/>
        <v>27682689</v>
      </c>
    </row>
    <row r="193" spans="1:21">
      <c r="A193" s="10">
        <v>36001</v>
      </c>
      <c r="B193" s="11" t="s">
        <v>177</v>
      </c>
      <c r="C193" s="11"/>
      <c r="D193" s="11"/>
      <c r="E193" s="74">
        <v>44573.35</v>
      </c>
      <c r="F193" s="74">
        <v>358190.12099999998</v>
      </c>
      <c r="G193" s="12">
        <v>61669</v>
      </c>
      <c r="H193" s="12"/>
      <c r="I193" s="13">
        <v>0</v>
      </c>
      <c r="J193" s="13">
        <v>0</v>
      </c>
      <c r="K193" s="13">
        <v>0</v>
      </c>
      <c r="L193" s="12">
        <v>0</v>
      </c>
      <c r="M193" s="12"/>
      <c r="N193" s="13">
        <v>14375</v>
      </c>
      <c r="O193" s="13">
        <v>208358</v>
      </c>
      <c r="P193" s="13">
        <v>0</v>
      </c>
      <c r="Q193" s="12">
        <v>44002</v>
      </c>
      <c r="R193" s="12"/>
      <c r="S193" s="2">
        <v>26398</v>
      </c>
      <c r="T193" s="2">
        <v>-11610</v>
      </c>
      <c r="U193" s="2">
        <f t="shared" si="3"/>
        <v>14788</v>
      </c>
    </row>
    <row r="194" spans="1:21">
      <c r="A194" s="10">
        <v>36002</v>
      </c>
      <c r="B194" s="11" t="s">
        <v>178</v>
      </c>
      <c r="C194" s="11"/>
      <c r="D194" s="11"/>
      <c r="E194" s="74">
        <v>199946.2</v>
      </c>
      <c r="F194" s="74">
        <v>1050286.287</v>
      </c>
      <c r="G194" s="12">
        <v>242457</v>
      </c>
      <c r="H194" s="12"/>
      <c r="I194" s="13">
        <v>0</v>
      </c>
      <c r="J194" s="13">
        <v>0</v>
      </c>
      <c r="K194" s="13">
        <v>0</v>
      </c>
      <c r="L194" s="12">
        <v>129778</v>
      </c>
      <c r="M194" s="12"/>
      <c r="N194" s="13">
        <v>56515</v>
      </c>
      <c r="O194" s="13">
        <v>819172</v>
      </c>
      <c r="P194" s="13">
        <v>0</v>
      </c>
      <c r="Q194" s="12">
        <v>0</v>
      </c>
      <c r="R194" s="12"/>
      <c r="S194" s="2">
        <v>103784</v>
      </c>
      <c r="T194" s="2">
        <v>34242</v>
      </c>
      <c r="U194" s="2">
        <f t="shared" si="3"/>
        <v>138026</v>
      </c>
    </row>
    <row r="195" spans="1:21">
      <c r="A195" s="10">
        <v>36003</v>
      </c>
      <c r="B195" s="11" t="s">
        <v>179</v>
      </c>
      <c r="C195" s="11"/>
      <c r="D195" s="11"/>
      <c r="E195" s="74">
        <v>392449.02</v>
      </c>
      <c r="F195" s="74">
        <v>2501259.8279999997</v>
      </c>
      <c r="G195" s="12">
        <v>508596</v>
      </c>
      <c r="H195" s="12"/>
      <c r="I195" s="13">
        <v>0</v>
      </c>
      <c r="J195" s="13">
        <v>0</v>
      </c>
      <c r="K195" s="13">
        <v>0</v>
      </c>
      <c r="L195" s="12">
        <v>15027</v>
      </c>
      <c r="M195" s="12"/>
      <c r="N195" s="13">
        <v>118551</v>
      </c>
      <c r="O195" s="13">
        <v>1718361</v>
      </c>
      <c r="P195" s="13">
        <v>0</v>
      </c>
      <c r="Q195" s="12">
        <v>0</v>
      </c>
      <c r="R195" s="12"/>
      <c r="S195" s="2">
        <v>217705</v>
      </c>
      <c r="T195" s="2">
        <v>3965</v>
      </c>
      <c r="U195" s="2">
        <f t="shared" si="3"/>
        <v>221670</v>
      </c>
    </row>
    <row r="196" spans="1:21">
      <c r="A196" s="10">
        <v>36004</v>
      </c>
      <c r="B196" s="11" t="s">
        <v>291</v>
      </c>
      <c r="C196" s="11"/>
      <c r="D196" s="11"/>
      <c r="E196" s="74">
        <v>102551.12</v>
      </c>
      <c r="F196" s="74"/>
      <c r="G196" s="12">
        <v>101180</v>
      </c>
      <c r="H196" s="12"/>
      <c r="I196" s="13">
        <v>0</v>
      </c>
      <c r="J196" s="13">
        <v>0</v>
      </c>
      <c r="K196" s="13">
        <v>0</v>
      </c>
      <c r="L196" s="12">
        <v>416073</v>
      </c>
      <c r="M196" s="12"/>
      <c r="N196" s="13">
        <v>23584</v>
      </c>
      <c r="O196" s="13">
        <v>341850</v>
      </c>
      <c r="P196" s="13">
        <v>0</v>
      </c>
      <c r="Q196" s="12">
        <v>0</v>
      </c>
      <c r="R196" s="12"/>
      <c r="S196" s="2">
        <v>43310</v>
      </c>
      <c r="T196" s="2">
        <v>109782</v>
      </c>
      <c r="U196" s="2">
        <f t="shared" si="3"/>
        <v>153092</v>
      </c>
    </row>
    <row r="197" spans="1:21">
      <c r="A197" s="10">
        <v>36005</v>
      </c>
      <c r="B197" s="11" t="s">
        <v>180</v>
      </c>
      <c r="C197" s="11"/>
      <c r="D197" s="11"/>
      <c r="E197" s="74">
        <v>5776490.7699999996</v>
      </c>
      <c r="F197" s="74">
        <v>26985679.455000002</v>
      </c>
      <c r="G197" s="12">
        <v>5441323</v>
      </c>
      <c r="H197" s="12"/>
      <c r="I197" s="13">
        <v>0</v>
      </c>
      <c r="J197" s="13">
        <v>0</v>
      </c>
      <c r="K197" s="13">
        <v>0</v>
      </c>
      <c r="L197" s="12">
        <v>1230805</v>
      </c>
      <c r="M197" s="12"/>
      <c r="N197" s="13">
        <v>1268343</v>
      </c>
      <c r="O197" s="13">
        <v>18384242</v>
      </c>
      <c r="P197" s="13">
        <v>0</v>
      </c>
      <c r="Q197" s="12">
        <v>0</v>
      </c>
      <c r="R197" s="12"/>
      <c r="S197" s="2">
        <v>2329164</v>
      </c>
      <c r="T197" s="2">
        <v>324751</v>
      </c>
      <c r="U197" s="2">
        <f t="shared" si="3"/>
        <v>2653915</v>
      </c>
    </row>
    <row r="198" spans="1:21">
      <c r="A198" s="10">
        <v>36006</v>
      </c>
      <c r="B198" s="11" t="s">
        <v>181</v>
      </c>
      <c r="C198" s="11"/>
      <c r="D198" s="11"/>
      <c r="E198" s="74">
        <v>495570.17</v>
      </c>
      <c r="F198" s="74">
        <v>3029438.4810000001</v>
      </c>
      <c r="G198" s="12">
        <v>624783</v>
      </c>
      <c r="H198" s="12"/>
      <c r="I198" s="13">
        <v>0</v>
      </c>
      <c r="J198" s="13">
        <v>0</v>
      </c>
      <c r="K198" s="13">
        <v>0</v>
      </c>
      <c r="L198" s="12">
        <v>63317</v>
      </c>
      <c r="M198" s="12"/>
      <c r="N198" s="13">
        <v>145634</v>
      </c>
      <c r="O198" s="13">
        <v>2110914</v>
      </c>
      <c r="P198" s="13">
        <v>0</v>
      </c>
      <c r="Q198" s="12">
        <v>0</v>
      </c>
      <c r="R198" s="12"/>
      <c r="S198" s="2">
        <v>267439</v>
      </c>
      <c r="T198" s="2">
        <v>16706</v>
      </c>
      <c r="U198" s="2">
        <f t="shared" si="3"/>
        <v>284145</v>
      </c>
    </row>
    <row r="199" spans="1:21">
      <c r="A199" s="10">
        <v>36007</v>
      </c>
      <c r="B199" s="11" t="s">
        <v>182</v>
      </c>
      <c r="C199" s="11"/>
      <c r="D199" s="11"/>
      <c r="E199" s="74">
        <v>176817.54</v>
      </c>
      <c r="F199" s="74">
        <v>1013860.173</v>
      </c>
      <c r="G199" s="12">
        <v>212325</v>
      </c>
      <c r="H199" s="12"/>
      <c r="I199" s="13">
        <v>0</v>
      </c>
      <c r="J199" s="13">
        <v>0</v>
      </c>
      <c r="K199" s="13">
        <v>0</v>
      </c>
      <c r="L199" s="12">
        <v>40557</v>
      </c>
      <c r="M199" s="12"/>
      <c r="N199" s="13">
        <v>49492</v>
      </c>
      <c r="O199" s="13">
        <v>717370</v>
      </c>
      <c r="P199" s="13">
        <v>0</v>
      </c>
      <c r="Q199" s="12">
        <v>0</v>
      </c>
      <c r="R199" s="12"/>
      <c r="S199" s="2">
        <v>90886</v>
      </c>
      <c r="T199" s="2">
        <v>10701</v>
      </c>
      <c r="U199" s="2">
        <f t="shared" si="3"/>
        <v>101587</v>
      </c>
    </row>
    <row r="200" spans="1:21">
      <c r="A200" s="10">
        <v>36008</v>
      </c>
      <c r="B200" s="11" t="s">
        <v>183</v>
      </c>
      <c r="C200" s="11"/>
      <c r="D200" s="11"/>
      <c r="E200" s="74">
        <v>460390.94</v>
      </c>
      <c r="F200" s="74">
        <v>2901947.0819999999</v>
      </c>
      <c r="G200" s="12">
        <v>602155</v>
      </c>
      <c r="H200" s="12"/>
      <c r="I200" s="13">
        <v>0</v>
      </c>
      <c r="J200" s="13">
        <v>0</v>
      </c>
      <c r="K200" s="13">
        <v>0</v>
      </c>
      <c r="L200" s="12">
        <v>61454</v>
      </c>
      <c r="M200" s="12"/>
      <c r="N200" s="13">
        <v>140359</v>
      </c>
      <c r="O200" s="13">
        <v>2034463</v>
      </c>
      <c r="P200" s="13">
        <v>0</v>
      </c>
      <c r="Q200" s="12">
        <v>0</v>
      </c>
      <c r="R200" s="12"/>
      <c r="S200" s="2">
        <v>257753</v>
      </c>
      <c r="T200" s="2">
        <v>16215</v>
      </c>
      <c r="U200" s="2">
        <f t="shared" si="3"/>
        <v>273968</v>
      </c>
    </row>
    <row r="201" spans="1:21">
      <c r="A201" s="10">
        <v>36009</v>
      </c>
      <c r="B201" s="11" t="s">
        <v>184</v>
      </c>
      <c r="C201" s="11"/>
      <c r="D201" s="11"/>
      <c r="E201" s="74">
        <v>107915.35</v>
      </c>
      <c r="F201" s="74">
        <v>503894.57699999999</v>
      </c>
      <c r="G201" s="12">
        <v>118649</v>
      </c>
      <c r="H201" s="12"/>
      <c r="I201" s="13">
        <v>0</v>
      </c>
      <c r="J201" s="13">
        <v>0</v>
      </c>
      <c r="K201" s="13">
        <v>0</v>
      </c>
      <c r="L201" s="12">
        <v>79448</v>
      </c>
      <c r="M201" s="12"/>
      <c r="N201" s="13">
        <v>27656</v>
      </c>
      <c r="O201" s="13">
        <v>400872</v>
      </c>
      <c r="P201" s="13">
        <v>0</v>
      </c>
      <c r="Q201" s="12">
        <v>0</v>
      </c>
      <c r="R201" s="12"/>
      <c r="S201" s="2">
        <v>50788</v>
      </c>
      <c r="T201" s="2">
        <v>20962</v>
      </c>
      <c r="U201" s="2">
        <f t="shared" si="3"/>
        <v>71750</v>
      </c>
    </row>
    <row r="202" spans="1:21">
      <c r="A202" s="10">
        <v>36100</v>
      </c>
      <c r="B202" s="11" t="s">
        <v>185</v>
      </c>
      <c r="C202" s="11"/>
      <c r="D202" s="11"/>
      <c r="E202" s="74">
        <v>968559.26</v>
      </c>
      <c r="F202" s="74">
        <v>5051087.8079999993</v>
      </c>
      <c r="G202" s="12">
        <v>927385</v>
      </c>
      <c r="H202" s="12"/>
      <c r="I202" s="13">
        <v>0</v>
      </c>
      <c r="J202" s="13">
        <v>0</v>
      </c>
      <c r="K202" s="13">
        <v>0</v>
      </c>
      <c r="L202" s="12">
        <v>0</v>
      </c>
      <c r="M202" s="12"/>
      <c r="N202" s="13">
        <v>216168</v>
      </c>
      <c r="O202" s="13">
        <v>3133295</v>
      </c>
      <c r="P202" s="13">
        <v>0</v>
      </c>
      <c r="Q202" s="12">
        <v>160342</v>
      </c>
      <c r="R202" s="12"/>
      <c r="S202" s="2">
        <v>396968</v>
      </c>
      <c r="T202" s="2">
        <v>-42307</v>
      </c>
      <c r="U202" s="2">
        <f t="shared" si="3"/>
        <v>354661</v>
      </c>
    </row>
    <row r="203" spans="1:21">
      <c r="A203" s="10">
        <v>36102</v>
      </c>
      <c r="B203" s="11" t="s">
        <v>186</v>
      </c>
      <c r="C203" s="11"/>
      <c r="D203" s="11"/>
      <c r="E203" s="74">
        <v>152730.47</v>
      </c>
      <c r="F203" s="74">
        <v>1007789.154</v>
      </c>
      <c r="G203" s="12">
        <v>194036</v>
      </c>
      <c r="H203" s="12"/>
      <c r="I203" s="13">
        <v>0</v>
      </c>
      <c r="J203" s="13">
        <v>0</v>
      </c>
      <c r="K203" s="13">
        <v>0</v>
      </c>
      <c r="L203" s="12">
        <v>0</v>
      </c>
      <c r="M203" s="12"/>
      <c r="N203" s="13">
        <v>45229</v>
      </c>
      <c r="O203" s="13">
        <v>655576</v>
      </c>
      <c r="P203" s="13">
        <v>0</v>
      </c>
      <c r="Q203" s="12">
        <v>34241</v>
      </c>
      <c r="R203" s="12"/>
      <c r="S203" s="2">
        <v>83057</v>
      </c>
      <c r="T203" s="2">
        <v>-9035</v>
      </c>
      <c r="U203" s="2">
        <f t="shared" ref="U203:U267" si="4">S203+T203</f>
        <v>74022</v>
      </c>
    </row>
    <row r="204" spans="1:21">
      <c r="A204" s="10">
        <v>36105</v>
      </c>
      <c r="B204" s="11" t="s">
        <v>187</v>
      </c>
      <c r="C204" s="11"/>
      <c r="D204" s="11"/>
      <c r="E204" s="74">
        <v>548247.79</v>
      </c>
      <c r="F204" s="74">
        <v>2677319.3789999997</v>
      </c>
      <c r="G204" s="12">
        <v>492534</v>
      </c>
      <c r="H204" s="12"/>
      <c r="I204" s="13">
        <v>0</v>
      </c>
      <c r="J204" s="13">
        <v>0</v>
      </c>
      <c r="K204" s="13">
        <v>0</v>
      </c>
      <c r="L204" s="12">
        <v>0</v>
      </c>
      <c r="M204" s="12"/>
      <c r="N204" s="13">
        <v>114807</v>
      </c>
      <c r="O204" s="13">
        <v>1664093</v>
      </c>
      <c r="P204" s="13">
        <v>0</v>
      </c>
      <c r="Q204" s="12">
        <v>54174</v>
      </c>
      <c r="R204" s="12"/>
      <c r="S204" s="2">
        <v>210830</v>
      </c>
      <c r="T204" s="2">
        <v>-14294</v>
      </c>
      <c r="U204" s="2">
        <f t="shared" si="4"/>
        <v>196536</v>
      </c>
    </row>
    <row r="205" spans="1:21">
      <c r="A205" s="10">
        <v>36200</v>
      </c>
      <c r="B205" s="11" t="s">
        <v>188</v>
      </c>
      <c r="C205" s="11"/>
      <c r="D205" s="11"/>
      <c r="E205" s="74">
        <v>1923669.82</v>
      </c>
      <c r="F205" s="74">
        <v>9853263.8370000012</v>
      </c>
      <c r="G205" s="12">
        <v>1875170</v>
      </c>
      <c r="H205" s="12"/>
      <c r="I205" s="13">
        <v>0</v>
      </c>
      <c r="J205" s="13">
        <v>0</v>
      </c>
      <c r="K205" s="13">
        <v>0</v>
      </c>
      <c r="L205" s="12">
        <v>0</v>
      </c>
      <c r="M205" s="12"/>
      <c r="N205" s="13">
        <v>437092</v>
      </c>
      <c r="O205" s="13">
        <v>6335514</v>
      </c>
      <c r="P205" s="13">
        <v>0</v>
      </c>
      <c r="Q205" s="12">
        <v>66848</v>
      </c>
      <c r="R205" s="12"/>
      <c r="S205" s="2">
        <v>802668</v>
      </c>
      <c r="T205" s="2">
        <v>-17638</v>
      </c>
      <c r="U205" s="2">
        <f t="shared" si="4"/>
        <v>785030</v>
      </c>
    </row>
    <row r="206" spans="1:21">
      <c r="A206" s="10">
        <v>36205</v>
      </c>
      <c r="B206" s="11" t="s">
        <v>189</v>
      </c>
      <c r="C206" s="11"/>
      <c r="D206" s="11"/>
      <c r="E206" s="74">
        <v>339767.98</v>
      </c>
      <c r="F206" s="74">
        <v>1535967.807</v>
      </c>
      <c r="G206" s="12">
        <v>298498</v>
      </c>
      <c r="H206" s="12"/>
      <c r="I206" s="13">
        <v>0</v>
      </c>
      <c r="J206" s="13">
        <v>0</v>
      </c>
      <c r="K206" s="13">
        <v>0</v>
      </c>
      <c r="L206" s="12">
        <v>41636</v>
      </c>
      <c r="M206" s="12"/>
      <c r="N206" s="13">
        <v>69578</v>
      </c>
      <c r="O206" s="13">
        <v>1008517</v>
      </c>
      <c r="P206" s="13">
        <v>0</v>
      </c>
      <c r="Q206" s="12">
        <v>0</v>
      </c>
      <c r="R206" s="12"/>
      <c r="S206" s="2">
        <v>127773</v>
      </c>
      <c r="T206" s="2">
        <v>10986</v>
      </c>
      <c r="U206" s="2">
        <f t="shared" si="4"/>
        <v>138759</v>
      </c>
    </row>
    <row r="207" spans="1:21">
      <c r="A207" s="10">
        <v>36300</v>
      </c>
      <c r="B207" s="11" t="s">
        <v>190</v>
      </c>
      <c r="C207" s="11"/>
      <c r="D207" s="11"/>
      <c r="E207" s="74">
        <v>5606186.4100000001</v>
      </c>
      <c r="F207" s="74">
        <v>29675140.872000001</v>
      </c>
      <c r="G207" s="12">
        <v>5681083</v>
      </c>
      <c r="H207" s="12"/>
      <c r="I207" s="13">
        <v>0</v>
      </c>
      <c r="J207" s="13">
        <v>0</v>
      </c>
      <c r="K207" s="13">
        <v>0</v>
      </c>
      <c r="L207" s="12">
        <v>0</v>
      </c>
      <c r="M207" s="12"/>
      <c r="N207" s="13">
        <v>1324230</v>
      </c>
      <c r="O207" s="13">
        <v>19194303</v>
      </c>
      <c r="P207" s="13">
        <v>0</v>
      </c>
      <c r="Q207" s="12">
        <v>238265</v>
      </c>
      <c r="R207" s="12"/>
      <c r="S207" s="2">
        <v>2431793</v>
      </c>
      <c r="T207" s="2">
        <v>-62867</v>
      </c>
      <c r="U207" s="2">
        <f t="shared" si="4"/>
        <v>2368926</v>
      </c>
    </row>
    <row r="208" spans="1:21">
      <c r="A208" s="10">
        <v>36301</v>
      </c>
      <c r="B208" s="11" t="s">
        <v>191</v>
      </c>
      <c r="C208" s="11"/>
      <c r="D208" s="11"/>
      <c r="E208" s="74">
        <v>55677.53</v>
      </c>
      <c r="F208" s="74">
        <v>285337.89299999998</v>
      </c>
      <c r="G208" s="12">
        <v>58269</v>
      </c>
      <c r="H208" s="12"/>
      <c r="I208" s="13">
        <v>0</v>
      </c>
      <c r="J208" s="13">
        <v>0</v>
      </c>
      <c r="K208" s="13">
        <v>0</v>
      </c>
      <c r="L208" s="12">
        <v>11172</v>
      </c>
      <c r="M208" s="12"/>
      <c r="N208" s="13">
        <v>13582</v>
      </c>
      <c r="O208" s="13">
        <v>196871</v>
      </c>
      <c r="P208" s="13">
        <v>0</v>
      </c>
      <c r="Q208" s="12">
        <v>0</v>
      </c>
      <c r="R208" s="12"/>
      <c r="S208" s="2">
        <v>24942</v>
      </c>
      <c r="T208" s="2">
        <v>2948</v>
      </c>
      <c r="U208" s="2">
        <f t="shared" si="4"/>
        <v>27890</v>
      </c>
    </row>
    <row r="209" spans="1:21">
      <c r="A209" s="10">
        <v>36302</v>
      </c>
      <c r="B209" s="11" t="s">
        <v>192</v>
      </c>
      <c r="C209" s="11"/>
      <c r="D209" s="11"/>
      <c r="E209" s="74">
        <v>109372.33</v>
      </c>
      <c r="F209" s="74">
        <v>576746.80500000005</v>
      </c>
      <c r="G209" s="12">
        <v>123456</v>
      </c>
      <c r="H209" s="12"/>
      <c r="I209" s="13">
        <v>0</v>
      </c>
      <c r="J209" s="13">
        <v>0</v>
      </c>
      <c r="K209" s="13">
        <v>0</v>
      </c>
      <c r="L209" s="12">
        <v>38870</v>
      </c>
      <c r="M209" s="12"/>
      <c r="N209" s="13">
        <v>28777</v>
      </c>
      <c r="O209" s="13">
        <v>417112</v>
      </c>
      <c r="P209" s="13">
        <v>0</v>
      </c>
      <c r="Q209" s="12">
        <v>0</v>
      </c>
      <c r="R209" s="12"/>
      <c r="S209" s="2">
        <v>52845</v>
      </c>
      <c r="T209" s="2">
        <v>10256</v>
      </c>
      <c r="U209" s="2">
        <f t="shared" si="4"/>
        <v>63101</v>
      </c>
    </row>
    <row r="210" spans="1:21">
      <c r="A210" s="10">
        <v>36305</v>
      </c>
      <c r="B210" s="11" t="s">
        <v>193</v>
      </c>
      <c r="C210" s="11"/>
      <c r="D210" s="11"/>
      <c r="E210" s="74">
        <v>1304019.7</v>
      </c>
      <c r="F210" s="74">
        <v>6198510.3990000002</v>
      </c>
      <c r="G210" s="12">
        <v>1132676</v>
      </c>
      <c r="H210" s="12"/>
      <c r="I210" s="13">
        <v>0</v>
      </c>
      <c r="J210" s="13">
        <v>0</v>
      </c>
      <c r="K210" s="13">
        <v>0</v>
      </c>
      <c r="L210" s="12">
        <v>0</v>
      </c>
      <c r="M210" s="12"/>
      <c r="N210" s="13">
        <v>264021</v>
      </c>
      <c r="O210" s="13">
        <v>3826898</v>
      </c>
      <c r="P210" s="13">
        <v>0</v>
      </c>
      <c r="Q210" s="12">
        <v>123226</v>
      </c>
      <c r="R210" s="12"/>
      <c r="S210" s="2">
        <v>484843</v>
      </c>
      <c r="T210" s="2">
        <v>-32513</v>
      </c>
      <c r="U210" s="2">
        <f t="shared" si="4"/>
        <v>452330</v>
      </c>
    </row>
    <row r="211" spans="1:21">
      <c r="A211" s="10">
        <v>36400</v>
      </c>
      <c r="B211" s="11" t="s">
        <v>194</v>
      </c>
      <c r="C211" s="11"/>
      <c r="D211" s="11"/>
      <c r="E211" s="74">
        <v>6539036.5999999996</v>
      </c>
      <c r="F211" s="74">
        <v>36644670.684</v>
      </c>
      <c r="G211" s="12">
        <v>6478212</v>
      </c>
      <c r="H211" s="12"/>
      <c r="I211" s="13">
        <v>0</v>
      </c>
      <c r="J211" s="13">
        <v>0</v>
      </c>
      <c r="K211" s="13">
        <v>0</v>
      </c>
      <c r="L211" s="12">
        <v>0</v>
      </c>
      <c r="M211" s="12"/>
      <c r="N211" s="13">
        <v>1510036</v>
      </c>
      <c r="O211" s="13">
        <v>21887511</v>
      </c>
      <c r="P211" s="13">
        <v>0</v>
      </c>
      <c r="Q211" s="12">
        <v>2375974</v>
      </c>
      <c r="R211" s="12"/>
      <c r="S211" s="2">
        <v>2773005</v>
      </c>
      <c r="T211" s="2">
        <v>-626906</v>
      </c>
      <c r="U211" s="2">
        <f t="shared" si="4"/>
        <v>2146099</v>
      </c>
    </row>
    <row r="212" spans="1:21">
      <c r="A212" s="10">
        <v>36405</v>
      </c>
      <c r="B212" s="11" t="s">
        <v>195</v>
      </c>
      <c r="C212" s="11"/>
      <c r="D212" s="11"/>
      <c r="E212" s="74">
        <v>1050612.83</v>
      </c>
      <c r="F212" s="74">
        <v>5020732.7130000005</v>
      </c>
      <c r="G212" s="12">
        <v>1048848</v>
      </c>
      <c r="H212" s="12"/>
      <c r="I212" s="13">
        <v>0</v>
      </c>
      <c r="J212" s="13">
        <v>0</v>
      </c>
      <c r="K212" s="13">
        <v>0</v>
      </c>
      <c r="L212" s="12">
        <v>330673</v>
      </c>
      <c r="M212" s="12"/>
      <c r="N212" s="13">
        <v>244481</v>
      </c>
      <c r="O212" s="13">
        <v>3543673</v>
      </c>
      <c r="P212" s="13">
        <v>0</v>
      </c>
      <c r="Q212" s="12">
        <v>0</v>
      </c>
      <c r="R212" s="12"/>
      <c r="S212" s="2">
        <v>448960</v>
      </c>
      <c r="T212" s="2">
        <v>87249</v>
      </c>
      <c r="U212" s="2">
        <f t="shared" si="4"/>
        <v>536209</v>
      </c>
    </row>
    <row r="213" spans="1:21">
      <c r="A213" s="10">
        <v>36500</v>
      </c>
      <c r="B213" s="11" t="s">
        <v>196</v>
      </c>
      <c r="C213" s="11"/>
      <c r="D213" s="11"/>
      <c r="E213" s="74">
        <v>11636082.9</v>
      </c>
      <c r="F213" s="74">
        <v>60400568.030999996</v>
      </c>
      <c r="G213" s="12">
        <v>12015205</v>
      </c>
      <c r="H213" s="12"/>
      <c r="I213" s="13">
        <v>0</v>
      </c>
      <c r="J213" s="13">
        <v>0</v>
      </c>
      <c r="K213" s="13">
        <v>0</v>
      </c>
      <c r="L213" s="12">
        <v>1189430</v>
      </c>
      <c r="M213" s="12"/>
      <c r="N213" s="13">
        <v>2800679</v>
      </c>
      <c r="O213" s="13">
        <v>40594985</v>
      </c>
      <c r="P213" s="13">
        <v>0</v>
      </c>
      <c r="Q213" s="12">
        <v>0</v>
      </c>
      <c r="R213" s="12"/>
      <c r="S213" s="2">
        <v>5143121</v>
      </c>
      <c r="T213" s="2">
        <v>313834</v>
      </c>
      <c r="U213" s="2">
        <f t="shared" si="4"/>
        <v>5456955</v>
      </c>
    </row>
    <row r="214" spans="1:21">
      <c r="A214" s="10">
        <v>36501</v>
      </c>
      <c r="B214" s="11" t="s">
        <v>197</v>
      </c>
      <c r="C214" s="11"/>
      <c r="D214" s="11"/>
      <c r="E214" s="74">
        <v>132985.79</v>
      </c>
      <c r="F214" s="74">
        <v>667812.09</v>
      </c>
      <c r="G214" s="12">
        <v>129435</v>
      </c>
      <c r="H214" s="12"/>
      <c r="I214" s="13">
        <v>0</v>
      </c>
      <c r="J214" s="13">
        <v>0</v>
      </c>
      <c r="K214" s="13">
        <v>0</v>
      </c>
      <c r="L214" s="12">
        <v>5293</v>
      </c>
      <c r="M214" s="12"/>
      <c r="N214" s="13">
        <v>30171</v>
      </c>
      <c r="O214" s="13">
        <v>437314</v>
      </c>
      <c r="P214" s="13">
        <v>0</v>
      </c>
      <c r="Q214" s="12">
        <v>0</v>
      </c>
      <c r="R214" s="12"/>
      <c r="S214" s="2">
        <v>55405</v>
      </c>
      <c r="T214" s="2">
        <v>1396</v>
      </c>
      <c r="U214" s="2">
        <f t="shared" si="4"/>
        <v>56801</v>
      </c>
    </row>
    <row r="215" spans="1:21">
      <c r="A215" s="10">
        <v>36502</v>
      </c>
      <c r="B215" s="11" t="s">
        <v>198</v>
      </c>
      <c r="C215" s="11"/>
      <c r="D215" s="11"/>
      <c r="E215" s="74">
        <v>45996.65</v>
      </c>
      <c r="F215" s="74">
        <v>236769.74100000001</v>
      </c>
      <c r="G215" s="12">
        <v>53111</v>
      </c>
      <c r="H215" s="12"/>
      <c r="I215" s="13">
        <v>0</v>
      </c>
      <c r="J215" s="13">
        <v>0</v>
      </c>
      <c r="K215" s="13">
        <v>0</v>
      </c>
      <c r="L215" s="12">
        <v>24864</v>
      </c>
      <c r="M215" s="12"/>
      <c r="N215" s="13">
        <v>12380</v>
      </c>
      <c r="O215" s="13">
        <v>179442</v>
      </c>
      <c r="P215" s="13">
        <v>0</v>
      </c>
      <c r="Q215" s="12">
        <v>0</v>
      </c>
      <c r="R215" s="12"/>
      <c r="S215" s="2">
        <v>22734</v>
      </c>
      <c r="T215" s="2">
        <v>6561</v>
      </c>
      <c r="U215" s="2">
        <f t="shared" si="4"/>
        <v>29295</v>
      </c>
    </row>
    <row r="216" spans="1:21">
      <c r="A216" s="10">
        <v>36505</v>
      </c>
      <c r="B216" s="11" t="s">
        <v>199</v>
      </c>
      <c r="C216" s="11"/>
      <c r="D216" s="11"/>
      <c r="E216" s="74">
        <v>2562543.41</v>
      </c>
      <c r="F216" s="74">
        <v>12500228.121000001</v>
      </c>
      <c r="G216" s="12">
        <v>2524222</v>
      </c>
      <c r="H216" s="12"/>
      <c r="I216" s="13">
        <v>0</v>
      </c>
      <c r="J216" s="13">
        <v>0</v>
      </c>
      <c r="K216" s="13">
        <v>0</v>
      </c>
      <c r="L216" s="12">
        <v>492818</v>
      </c>
      <c r="M216" s="12"/>
      <c r="N216" s="13">
        <v>588383</v>
      </c>
      <c r="O216" s="13">
        <v>8528425</v>
      </c>
      <c r="P216" s="13">
        <v>0</v>
      </c>
      <c r="Q216" s="12">
        <v>0</v>
      </c>
      <c r="R216" s="12"/>
      <c r="S216" s="2">
        <v>1080496</v>
      </c>
      <c r="T216" s="2">
        <v>130031</v>
      </c>
      <c r="U216" s="2">
        <f t="shared" si="4"/>
        <v>1210527</v>
      </c>
    </row>
    <row r="217" spans="1:21">
      <c r="A217" s="10">
        <v>36600</v>
      </c>
      <c r="B217" s="11" t="s">
        <v>200</v>
      </c>
      <c r="C217" s="11"/>
      <c r="D217" s="11"/>
      <c r="E217" s="74">
        <v>1071038.03</v>
      </c>
      <c r="F217" s="74">
        <v>5561053.4040000001</v>
      </c>
      <c r="G217" s="12">
        <v>1029151</v>
      </c>
      <c r="H217" s="12"/>
      <c r="I217" s="13">
        <v>0</v>
      </c>
      <c r="J217" s="13">
        <v>0</v>
      </c>
      <c r="K217" s="13">
        <v>0</v>
      </c>
      <c r="L217" s="12">
        <v>0</v>
      </c>
      <c r="M217" s="12"/>
      <c r="N217" s="13">
        <v>239890</v>
      </c>
      <c r="O217" s="13">
        <v>3477126</v>
      </c>
      <c r="P217" s="13">
        <v>0</v>
      </c>
      <c r="Q217" s="12">
        <v>145886</v>
      </c>
      <c r="R217" s="12"/>
      <c r="S217" s="2">
        <v>440529</v>
      </c>
      <c r="T217" s="2">
        <v>-38492</v>
      </c>
      <c r="U217" s="2">
        <f t="shared" si="4"/>
        <v>402037</v>
      </c>
    </row>
    <row r="218" spans="1:21">
      <c r="A218" s="10">
        <v>36601</v>
      </c>
      <c r="B218" s="11" t="s">
        <v>201</v>
      </c>
      <c r="C218" s="11"/>
      <c r="D218" s="11"/>
      <c r="E218" s="74">
        <v>294172.26</v>
      </c>
      <c r="F218" s="74">
        <v>1669530.2250000001</v>
      </c>
      <c r="G218" s="12">
        <v>358761</v>
      </c>
      <c r="H218" s="12"/>
      <c r="I218" s="13">
        <v>0</v>
      </c>
      <c r="J218" s="13">
        <v>0</v>
      </c>
      <c r="K218" s="13">
        <v>0</v>
      </c>
      <c r="L218" s="12">
        <v>99364</v>
      </c>
      <c r="M218" s="12"/>
      <c r="N218" s="13">
        <v>83625</v>
      </c>
      <c r="O218" s="13">
        <v>1212122</v>
      </c>
      <c r="P218" s="13">
        <v>0</v>
      </c>
      <c r="Q218" s="12">
        <v>0</v>
      </c>
      <c r="R218" s="12"/>
      <c r="S218" s="2">
        <v>153568</v>
      </c>
      <c r="T218" s="2">
        <v>26217</v>
      </c>
      <c r="U218" s="2">
        <f t="shared" si="4"/>
        <v>179785</v>
      </c>
    </row>
    <row r="219" spans="1:21">
      <c r="A219" s="10">
        <v>36700</v>
      </c>
      <c r="B219" s="11" t="s">
        <v>202</v>
      </c>
      <c r="C219" s="11"/>
      <c r="D219" s="11"/>
      <c r="E219" s="74">
        <v>10190013.720000001</v>
      </c>
      <c r="F219" s="74">
        <v>53619239.807999998</v>
      </c>
      <c r="G219" s="12">
        <v>10575472</v>
      </c>
      <c r="H219" s="12"/>
      <c r="I219" s="13">
        <v>0</v>
      </c>
      <c r="J219" s="13">
        <v>0</v>
      </c>
      <c r="K219" s="13">
        <v>0</v>
      </c>
      <c r="L219" s="12">
        <v>644967</v>
      </c>
      <c r="M219" s="12"/>
      <c r="N219" s="13">
        <v>2465085</v>
      </c>
      <c r="O219" s="13">
        <v>35730654</v>
      </c>
      <c r="P219" s="13">
        <v>0</v>
      </c>
      <c r="Q219" s="12">
        <v>0</v>
      </c>
      <c r="R219" s="12"/>
      <c r="S219" s="2">
        <v>4526841</v>
      </c>
      <c r="T219" s="2">
        <v>170176</v>
      </c>
      <c r="U219" s="2">
        <f t="shared" si="4"/>
        <v>4697017</v>
      </c>
    </row>
    <row r="220" spans="1:21">
      <c r="A220" s="10">
        <v>36701</v>
      </c>
      <c r="B220" s="11" t="s">
        <v>203</v>
      </c>
      <c r="C220" s="11"/>
      <c r="D220" s="11"/>
      <c r="E220" s="74">
        <v>25998.03</v>
      </c>
      <c r="F220" s="74"/>
      <c r="G220" s="12">
        <v>25676</v>
      </c>
      <c r="H220" s="12"/>
      <c r="I220" s="13">
        <v>0</v>
      </c>
      <c r="J220" s="13">
        <v>0</v>
      </c>
      <c r="K220" s="13">
        <v>0</v>
      </c>
      <c r="L220" s="12">
        <v>105565</v>
      </c>
      <c r="M220" s="12"/>
      <c r="N220" s="13">
        <v>5985</v>
      </c>
      <c r="O220" s="13">
        <v>86750</v>
      </c>
      <c r="P220" s="13">
        <v>0</v>
      </c>
      <c r="Q220" s="12">
        <v>0</v>
      </c>
      <c r="R220" s="12"/>
      <c r="S220" s="2">
        <v>10991</v>
      </c>
      <c r="T220" s="2">
        <v>27853</v>
      </c>
      <c r="U220" s="2">
        <f t="shared" si="4"/>
        <v>38844</v>
      </c>
    </row>
    <row r="221" spans="1:21">
      <c r="A221" s="10">
        <v>36705</v>
      </c>
      <c r="B221" s="11" t="s">
        <v>204</v>
      </c>
      <c r="C221" s="11"/>
      <c r="D221" s="11"/>
      <c r="E221" s="74">
        <v>1206430.1299999999</v>
      </c>
      <c r="F221" s="74">
        <v>6350285.8740000008</v>
      </c>
      <c r="G221" s="12">
        <v>1193407</v>
      </c>
      <c r="H221" s="12"/>
      <c r="I221" s="13">
        <v>0</v>
      </c>
      <c r="J221" s="13">
        <v>0</v>
      </c>
      <c r="K221" s="13">
        <v>0</v>
      </c>
      <c r="L221" s="12">
        <v>0</v>
      </c>
      <c r="M221" s="12"/>
      <c r="N221" s="13">
        <v>278177</v>
      </c>
      <c r="O221" s="13">
        <v>4032087</v>
      </c>
      <c r="P221" s="13">
        <v>0</v>
      </c>
      <c r="Q221" s="12">
        <v>119495</v>
      </c>
      <c r="R221" s="12"/>
      <c r="S221" s="2">
        <v>510839</v>
      </c>
      <c r="T221" s="2">
        <v>-31529</v>
      </c>
      <c r="U221" s="2">
        <f t="shared" si="4"/>
        <v>479310</v>
      </c>
    </row>
    <row r="222" spans="1:21">
      <c r="A222" s="10">
        <v>36800</v>
      </c>
      <c r="B222" s="11" t="s">
        <v>205</v>
      </c>
      <c r="C222" s="11"/>
      <c r="D222" s="11"/>
      <c r="E222" s="74">
        <v>3852215.2</v>
      </c>
      <c r="F222" s="74">
        <v>20125427.984999999</v>
      </c>
      <c r="G222" s="12">
        <v>3845424</v>
      </c>
      <c r="H222" s="12"/>
      <c r="I222" s="13">
        <v>0</v>
      </c>
      <c r="J222" s="13">
        <v>0</v>
      </c>
      <c r="K222" s="13">
        <v>0</v>
      </c>
      <c r="L222" s="12">
        <v>0</v>
      </c>
      <c r="M222" s="12"/>
      <c r="N222" s="13">
        <v>896347</v>
      </c>
      <c r="O222" s="13">
        <v>12992281</v>
      </c>
      <c r="P222" s="13">
        <v>0</v>
      </c>
      <c r="Q222" s="12">
        <v>146535</v>
      </c>
      <c r="R222" s="12"/>
      <c r="S222" s="2">
        <v>1646037</v>
      </c>
      <c r="T222" s="2">
        <v>-38664</v>
      </c>
      <c r="U222" s="2">
        <f t="shared" si="4"/>
        <v>1607373</v>
      </c>
    </row>
    <row r="223" spans="1:21">
      <c r="A223" s="10">
        <v>36801</v>
      </c>
      <c r="B223" s="11" t="s">
        <v>206</v>
      </c>
      <c r="C223" s="11"/>
      <c r="D223" s="11"/>
      <c r="E223" s="74">
        <v>55685.86</v>
      </c>
      <c r="F223" s="74">
        <v>376403.17800000001</v>
      </c>
      <c r="G223" s="12">
        <v>72925</v>
      </c>
      <c r="H223" s="12"/>
      <c r="I223" s="13">
        <v>0</v>
      </c>
      <c r="J223" s="13">
        <v>0</v>
      </c>
      <c r="K223" s="13">
        <v>0</v>
      </c>
      <c r="L223" s="12">
        <v>0</v>
      </c>
      <c r="M223" s="12"/>
      <c r="N223" s="13">
        <v>16998</v>
      </c>
      <c r="O223" s="13">
        <v>246386</v>
      </c>
      <c r="P223" s="13">
        <v>0</v>
      </c>
      <c r="Q223" s="12">
        <v>12362</v>
      </c>
      <c r="R223" s="12"/>
      <c r="S223" s="2">
        <v>31215</v>
      </c>
      <c r="T223" s="2">
        <v>-3262</v>
      </c>
      <c r="U223" s="2">
        <f t="shared" si="4"/>
        <v>27953</v>
      </c>
    </row>
    <row r="224" spans="1:21">
      <c r="A224" s="10">
        <v>36802</v>
      </c>
      <c r="B224" s="11" t="s">
        <v>207</v>
      </c>
      <c r="C224" s="11"/>
      <c r="D224" s="11"/>
      <c r="E224" s="74">
        <v>79441.36</v>
      </c>
      <c r="F224" s="74">
        <v>570675.78599999996</v>
      </c>
      <c r="G224" s="12">
        <v>101766</v>
      </c>
      <c r="H224" s="12"/>
      <c r="I224" s="13">
        <v>0</v>
      </c>
      <c r="J224" s="13">
        <v>0</v>
      </c>
      <c r="K224" s="13">
        <v>0</v>
      </c>
      <c r="L224" s="12">
        <v>0</v>
      </c>
      <c r="M224" s="12"/>
      <c r="N224" s="13">
        <v>23721</v>
      </c>
      <c r="O224" s="13">
        <v>343831</v>
      </c>
      <c r="P224" s="13">
        <v>0</v>
      </c>
      <c r="Q224" s="12">
        <v>51808</v>
      </c>
      <c r="R224" s="12"/>
      <c r="S224" s="2">
        <v>43561</v>
      </c>
      <c r="T224" s="2">
        <v>-13670</v>
      </c>
      <c r="U224" s="2">
        <f t="shared" si="4"/>
        <v>29891</v>
      </c>
    </row>
    <row r="225" spans="1:21">
      <c r="A225" s="10">
        <v>36810</v>
      </c>
      <c r="B225" s="11" t="s">
        <v>208</v>
      </c>
      <c r="C225" s="11"/>
      <c r="D225" s="11"/>
      <c r="E225" s="74">
        <v>7107956.7400000002</v>
      </c>
      <c r="F225" s="74">
        <v>37907442.636</v>
      </c>
      <c r="G225" s="12">
        <v>7373238</v>
      </c>
      <c r="H225" s="12"/>
      <c r="I225" s="13">
        <v>0</v>
      </c>
      <c r="J225" s="13">
        <v>0</v>
      </c>
      <c r="K225" s="13">
        <v>0</v>
      </c>
      <c r="L225" s="12">
        <v>37797</v>
      </c>
      <c r="M225" s="12"/>
      <c r="N225" s="13">
        <v>1718662</v>
      </c>
      <c r="O225" s="13">
        <v>24911477</v>
      </c>
      <c r="P225" s="13">
        <v>0</v>
      </c>
      <c r="Q225" s="12">
        <v>0</v>
      </c>
      <c r="R225" s="12"/>
      <c r="S225" s="2">
        <v>3156122</v>
      </c>
      <c r="T225" s="2">
        <v>9973</v>
      </c>
      <c r="U225" s="2">
        <f t="shared" si="4"/>
        <v>3166095</v>
      </c>
    </row>
    <row r="226" spans="1:21">
      <c r="A226" s="10">
        <v>36900</v>
      </c>
      <c r="B226" s="11" t="s">
        <v>209</v>
      </c>
      <c r="C226" s="11"/>
      <c r="D226" s="11"/>
      <c r="E226" s="74">
        <v>742286.1</v>
      </c>
      <c r="F226" s="74">
        <v>3842955.0269999998</v>
      </c>
      <c r="G226" s="12">
        <v>745543</v>
      </c>
      <c r="H226" s="12"/>
      <c r="I226" s="13">
        <v>0</v>
      </c>
      <c r="J226" s="13">
        <v>0</v>
      </c>
      <c r="K226" s="13">
        <v>0</v>
      </c>
      <c r="L226" s="12">
        <v>14591</v>
      </c>
      <c r="M226" s="12"/>
      <c r="N226" s="13">
        <v>173782</v>
      </c>
      <c r="O226" s="13">
        <v>2518916</v>
      </c>
      <c r="P226" s="13">
        <v>0</v>
      </c>
      <c r="Q226" s="12">
        <v>0</v>
      </c>
      <c r="R226" s="12"/>
      <c r="S226" s="2">
        <v>319130</v>
      </c>
      <c r="T226" s="2">
        <v>3850</v>
      </c>
      <c r="U226" s="2">
        <f t="shared" si="4"/>
        <v>322980</v>
      </c>
    </row>
    <row r="227" spans="1:21">
      <c r="A227" s="10">
        <v>36901</v>
      </c>
      <c r="B227" s="11" t="s">
        <v>210</v>
      </c>
      <c r="C227" s="11"/>
      <c r="D227" s="11"/>
      <c r="E227" s="74">
        <v>206101.76000000001</v>
      </c>
      <c r="F227" s="74">
        <v>1110996.477</v>
      </c>
      <c r="G227" s="12">
        <v>215725</v>
      </c>
      <c r="H227" s="12"/>
      <c r="I227" s="13">
        <v>0</v>
      </c>
      <c r="J227" s="13">
        <v>0</v>
      </c>
      <c r="K227" s="13">
        <v>0</v>
      </c>
      <c r="L227" s="12">
        <v>0</v>
      </c>
      <c r="M227" s="12"/>
      <c r="N227" s="13">
        <v>50284</v>
      </c>
      <c r="O227" s="13">
        <v>728857</v>
      </c>
      <c r="P227" s="13">
        <v>0</v>
      </c>
      <c r="Q227" s="12">
        <v>1874</v>
      </c>
      <c r="R227" s="12"/>
      <c r="S227" s="2">
        <v>92342</v>
      </c>
      <c r="T227" s="2">
        <v>-495</v>
      </c>
      <c r="U227" s="2">
        <f t="shared" si="4"/>
        <v>91847</v>
      </c>
    </row>
    <row r="228" spans="1:21">
      <c r="A228" s="10">
        <v>36905</v>
      </c>
      <c r="B228" s="11" t="s">
        <v>211</v>
      </c>
      <c r="C228" s="11"/>
      <c r="D228" s="11"/>
      <c r="E228" s="74">
        <v>283425.8</v>
      </c>
      <c r="F228" s="74">
        <v>1256700.933</v>
      </c>
      <c r="G228" s="12">
        <v>244802</v>
      </c>
      <c r="H228" s="12"/>
      <c r="I228" s="13">
        <v>0</v>
      </c>
      <c r="J228" s="13">
        <v>0</v>
      </c>
      <c r="K228" s="13">
        <v>0</v>
      </c>
      <c r="L228" s="12">
        <v>40270</v>
      </c>
      <c r="M228" s="12"/>
      <c r="N228" s="13">
        <v>57062</v>
      </c>
      <c r="O228" s="13">
        <v>827095</v>
      </c>
      <c r="P228" s="13">
        <v>0</v>
      </c>
      <c r="Q228" s="12">
        <v>0</v>
      </c>
      <c r="R228" s="12"/>
      <c r="S228" s="2">
        <v>104788</v>
      </c>
      <c r="T228" s="2">
        <v>10625</v>
      </c>
      <c r="U228" s="2">
        <f t="shared" si="4"/>
        <v>115413</v>
      </c>
    </row>
    <row r="229" spans="1:21">
      <c r="A229" s="10">
        <v>37000</v>
      </c>
      <c r="B229" s="11" t="s">
        <v>212</v>
      </c>
      <c r="C229" s="11"/>
      <c r="D229" s="11"/>
      <c r="E229" s="74">
        <v>2548088.1</v>
      </c>
      <c r="F229" s="74">
        <v>13447307.084999999</v>
      </c>
      <c r="G229" s="12">
        <v>2491746</v>
      </c>
      <c r="H229" s="12"/>
      <c r="I229" s="13">
        <v>0</v>
      </c>
      <c r="J229" s="13">
        <v>0</v>
      </c>
      <c r="K229" s="13">
        <v>0</v>
      </c>
      <c r="L229" s="12">
        <v>0</v>
      </c>
      <c r="M229" s="12"/>
      <c r="N229" s="13">
        <v>580813</v>
      </c>
      <c r="O229" s="13">
        <v>8418700</v>
      </c>
      <c r="P229" s="13">
        <v>0</v>
      </c>
      <c r="Q229" s="12">
        <v>375483</v>
      </c>
      <c r="R229" s="12"/>
      <c r="S229" s="2">
        <v>1066595</v>
      </c>
      <c r="T229" s="2">
        <v>-99072</v>
      </c>
      <c r="U229" s="2">
        <f t="shared" si="4"/>
        <v>967523</v>
      </c>
    </row>
    <row r="230" spans="1:21">
      <c r="A230" s="10">
        <v>37001</v>
      </c>
      <c r="B230" s="11" t="s">
        <v>525</v>
      </c>
      <c r="C230" s="11"/>
      <c r="D230" s="11"/>
      <c r="E230" s="74">
        <v>0</v>
      </c>
      <c r="F230" s="74">
        <v>0</v>
      </c>
      <c r="G230" s="12">
        <v>0</v>
      </c>
      <c r="H230" s="12"/>
      <c r="I230" s="13">
        <v>0</v>
      </c>
      <c r="J230" s="13">
        <v>0</v>
      </c>
      <c r="K230" s="13">
        <v>0</v>
      </c>
      <c r="L230" s="12">
        <v>0</v>
      </c>
      <c r="M230" s="12"/>
      <c r="N230" s="13">
        <v>0</v>
      </c>
      <c r="O230" s="13">
        <v>0</v>
      </c>
      <c r="P230" s="13">
        <v>0</v>
      </c>
      <c r="Q230" s="12">
        <v>0</v>
      </c>
      <c r="R230" s="12"/>
      <c r="S230" s="2">
        <v>0</v>
      </c>
      <c r="T230" s="2">
        <v>0</v>
      </c>
      <c r="U230" s="2">
        <f t="shared" si="4"/>
        <v>0</v>
      </c>
    </row>
    <row r="231" spans="1:21">
      <c r="A231" s="10">
        <v>37005</v>
      </c>
      <c r="B231" s="11" t="s">
        <v>213</v>
      </c>
      <c r="C231" s="11"/>
      <c r="D231" s="11"/>
      <c r="E231" s="74">
        <v>719579.5</v>
      </c>
      <c r="F231" s="74">
        <v>3369415.5450000004</v>
      </c>
      <c r="G231" s="12">
        <v>641900</v>
      </c>
      <c r="H231" s="12"/>
      <c r="I231" s="13">
        <v>0</v>
      </c>
      <c r="J231" s="13">
        <v>0</v>
      </c>
      <c r="K231" s="13">
        <v>0</v>
      </c>
      <c r="L231" s="12">
        <v>28222</v>
      </c>
      <c r="M231" s="12"/>
      <c r="N231" s="13">
        <v>149624</v>
      </c>
      <c r="O231" s="13">
        <v>2168747</v>
      </c>
      <c r="P231" s="13">
        <v>0</v>
      </c>
      <c r="Q231" s="12">
        <v>0</v>
      </c>
      <c r="R231" s="12"/>
      <c r="S231" s="2">
        <v>274766</v>
      </c>
      <c r="T231" s="2">
        <v>7447</v>
      </c>
      <c r="U231" s="2">
        <f t="shared" si="4"/>
        <v>282213</v>
      </c>
    </row>
    <row r="232" spans="1:21">
      <c r="A232" s="10">
        <v>37100</v>
      </c>
      <c r="B232" s="11" t="s">
        <v>214</v>
      </c>
      <c r="C232" s="11"/>
      <c r="D232" s="11"/>
      <c r="E232" s="74">
        <v>3207155.24</v>
      </c>
      <c r="F232" s="74">
        <v>18516607.950000003</v>
      </c>
      <c r="G232" s="12">
        <v>3443635</v>
      </c>
      <c r="H232" s="12"/>
      <c r="I232" s="13">
        <v>0</v>
      </c>
      <c r="J232" s="13">
        <v>0</v>
      </c>
      <c r="K232" s="13">
        <v>0</v>
      </c>
      <c r="L232" s="12">
        <v>0</v>
      </c>
      <c r="M232" s="12"/>
      <c r="N232" s="13">
        <v>802693</v>
      </c>
      <c r="O232" s="13">
        <v>11634784</v>
      </c>
      <c r="P232" s="13">
        <v>0</v>
      </c>
      <c r="Q232" s="12">
        <v>714002</v>
      </c>
      <c r="R232" s="12"/>
      <c r="S232" s="2">
        <v>1474051</v>
      </c>
      <c r="T232" s="2">
        <v>-188391</v>
      </c>
      <c r="U232" s="2">
        <f t="shared" si="4"/>
        <v>1285660</v>
      </c>
    </row>
    <row r="233" spans="1:21">
      <c r="A233" s="10">
        <v>37200</v>
      </c>
      <c r="B233" s="11" t="s">
        <v>215</v>
      </c>
      <c r="C233" s="11"/>
      <c r="D233" s="11"/>
      <c r="E233" s="74">
        <v>856525.37</v>
      </c>
      <c r="F233" s="74">
        <v>4516838.1359999999</v>
      </c>
      <c r="G233" s="12">
        <v>843322</v>
      </c>
      <c r="H233" s="12"/>
      <c r="I233" s="13">
        <v>0</v>
      </c>
      <c r="J233" s="13">
        <v>0</v>
      </c>
      <c r="K233" s="13">
        <v>0</v>
      </c>
      <c r="L233" s="12">
        <v>0</v>
      </c>
      <c r="M233" s="12"/>
      <c r="N233" s="13">
        <v>196574</v>
      </c>
      <c r="O233" s="13">
        <v>2849278</v>
      </c>
      <c r="P233" s="13">
        <v>0</v>
      </c>
      <c r="Q233" s="12">
        <v>104540</v>
      </c>
      <c r="R233" s="12"/>
      <c r="S233" s="2">
        <v>360985</v>
      </c>
      <c r="T233" s="2">
        <v>-27583</v>
      </c>
      <c r="U233" s="2">
        <f t="shared" si="4"/>
        <v>333402</v>
      </c>
    </row>
    <row r="234" spans="1:21">
      <c r="A234" s="10">
        <v>37300</v>
      </c>
      <c r="B234" s="11" t="s">
        <v>216</v>
      </c>
      <c r="C234" s="11"/>
      <c r="D234" s="11"/>
      <c r="E234" s="74">
        <v>2140096.4300000002</v>
      </c>
      <c r="F234" s="74">
        <v>11984191.506000001</v>
      </c>
      <c r="G234" s="12">
        <v>2203214</v>
      </c>
      <c r="H234" s="12"/>
      <c r="I234" s="13">
        <v>0</v>
      </c>
      <c r="J234" s="13">
        <v>0</v>
      </c>
      <c r="K234" s="13">
        <v>0</v>
      </c>
      <c r="L234" s="12">
        <v>0</v>
      </c>
      <c r="M234" s="12"/>
      <c r="N234" s="13">
        <v>513557</v>
      </c>
      <c r="O234" s="13">
        <v>7443853</v>
      </c>
      <c r="P234" s="13">
        <v>0</v>
      </c>
      <c r="Q234" s="12">
        <v>495753</v>
      </c>
      <c r="R234" s="12"/>
      <c r="S234" s="2">
        <v>943088</v>
      </c>
      <c r="T234" s="2">
        <v>-130806</v>
      </c>
      <c r="U234" s="2">
        <f t="shared" si="4"/>
        <v>812282</v>
      </c>
    </row>
    <row r="235" spans="1:21">
      <c r="A235" s="10">
        <v>37301</v>
      </c>
      <c r="B235" s="11" t="s">
        <v>217</v>
      </c>
      <c r="C235" s="11"/>
      <c r="D235" s="11"/>
      <c r="E235" s="74">
        <v>209505.23</v>
      </c>
      <c r="F235" s="74">
        <v>1001718.135</v>
      </c>
      <c r="G235" s="12">
        <v>198022</v>
      </c>
      <c r="H235" s="12"/>
      <c r="I235" s="13">
        <v>0</v>
      </c>
      <c r="J235" s="13">
        <v>0</v>
      </c>
      <c r="K235" s="13">
        <v>0</v>
      </c>
      <c r="L235" s="12">
        <v>28680</v>
      </c>
      <c r="M235" s="12"/>
      <c r="N235" s="13">
        <v>46158</v>
      </c>
      <c r="O235" s="13">
        <v>669044</v>
      </c>
      <c r="P235" s="13">
        <v>0</v>
      </c>
      <c r="Q235" s="12">
        <v>0</v>
      </c>
      <c r="R235" s="12"/>
      <c r="S235" s="2">
        <v>84763</v>
      </c>
      <c r="T235" s="2">
        <v>7567</v>
      </c>
      <c r="U235" s="2">
        <f t="shared" si="4"/>
        <v>92330</v>
      </c>
    </row>
    <row r="236" spans="1:21">
      <c r="A236" s="10">
        <v>37305</v>
      </c>
      <c r="B236" s="11" t="s">
        <v>218</v>
      </c>
      <c r="C236" s="11"/>
      <c r="D236" s="11"/>
      <c r="E236" s="74">
        <v>906234.79</v>
      </c>
      <c r="F236" s="74">
        <v>4516838.1359999999</v>
      </c>
      <c r="G236" s="12">
        <v>836640</v>
      </c>
      <c r="H236" s="12"/>
      <c r="I236" s="13">
        <v>0</v>
      </c>
      <c r="J236" s="13">
        <v>0</v>
      </c>
      <c r="K236" s="13">
        <v>0</v>
      </c>
      <c r="L236" s="12">
        <v>0</v>
      </c>
      <c r="M236" s="12"/>
      <c r="N236" s="13">
        <v>195016</v>
      </c>
      <c r="O236" s="13">
        <v>2826699</v>
      </c>
      <c r="P236" s="13">
        <v>0</v>
      </c>
      <c r="Q236" s="12">
        <v>87330</v>
      </c>
      <c r="R236" s="12"/>
      <c r="S236" s="2">
        <v>358124</v>
      </c>
      <c r="T236" s="2">
        <v>-23042</v>
      </c>
      <c r="U236" s="2">
        <f t="shared" si="4"/>
        <v>335082</v>
      </c>
    </row>
    <row r="237" spans="1:21">
      <c r="A237" s="10">
        <v>37400</v>
      </c>
      <c r="B237" s="11" t="s">
        <v>219</v>
      </c>
      <c r="C237" s="11"/>
      <c r="D237" s="11"/>
      <c r="E237" s="74">
        <v>9758714.1699999999</v>
      </c>
      <c r="F237" s="74">
        <v>54918437.873999998</v>
      </c>
      <c r="G237" s="12">
        <v>10587079</v>
      </c>
      <c r="H237" s="12"/>
      <c r="I237" s="13">
        <v>0</v>
      </c>
      <c r="J237" s="13">
        <v>0</v>
      </c>
      <c r="K237" s="13">
        <v>0</v>
      </c>
      <c r="L237" s="12">
        <v>0</v>
      </c>
      <c r="M237" s="12"/>
      <c r="N237" s="13">
        <v>2467791</v>
      </c>
      <c r="O237" s="13">
        <v>35769870</v>
      </c>
      <c r="P237" s="13">
        <v>0</v>
      </c>
      <c r="Q237" s="12">
        <v>685836</v>
      </c>
      <c r="R237" s="12"/>
      <c r="S237" s="2">
        <v>4531810</v>
      </c>
      <c r="T237" s="2">
        <v>-180959</v>
      </c>
      <c r="U237" s="2">
        <f t="shared" si="4"/>
        <v>4350851</v>
      </c>
    </row>
    <row r="238" spans="1:21">
      <c r="A238" s="10">
        <v>37405</v>
      </c>
      <c r="B238" s="11" t="s">
        <v>220</v>
      </c>
      <c r="C238" s="11"/>
      <c r="D238" s="11"/>
      <c r="E238" s="74">
        <v>2200364.0499999998</v>
      </c>
      <c r="F238" s="74">
        <v>11122106.808</v>
      </c>
      <c r="G238" s="12">
        <v>2210014</v>
      </c>
      <c r="H238" s="12"/>
      <c r="I238" s="13">
        <v>0</v>
      </c>
      <c r="J238" s="13">
        <v>0</v>
      </c>
      <c r="K238" s="13">
        <v>0</v>
      </c>
      <c r="L238" s="12">
        <v>256551</v>
      </c>
      <c r="M238" s="12"/>
      <c r="N238" s="13">
        <v>515142</v>
      </c>
      <c r="O238" s="13">
        <v>7466828</v>
      </c>
      <c r="P238" s="13">
        <v>0</v>
      </c>
      <c r="Q238" s="12">
        <v>0</v>
      </c>
      <c r="R238" s="12"/>
      <c r="S238" s="2">
        <v>945999</v>
      </c>
      <c r="T238" s="2">
        <v>67692</v>
      </c>
      <c r="U238" s="2">
        <f t="shared" si="4"/>
        <v>1013691</v>
      </c>
    </row>
    <row r="239" spans="1:21">
      <c r="A239" s="10">
        <v>37500</v>
      </c>
      <c r="B239" s="11" t="s">
        <v>221</v>
      </c>
      <c r="C239" s="11"/>
      <c r="D239" s="11"/>
      <c r="E239" s="74">
        <v>1262125.3799999999</v>
      </c>
      <c r="F239" s="74">
        <v>6089232.057</v>
      </c>
      <c r="G239" s="12">
        <v>1205483</v>
      </c>
      <c r="H239" s="12"/>
      <c r="I239" s="13">
        <v>0</v>
      </c>
      <c r="J239" s="13">
        <v>0</v>
      </c>
      <c r="K239" s="13">
        <v>0</v>
      </c>
      <c r="L239" s="12">
        <v>171102</v>
      </c>
      <c r="M239" s="12"/>
      <c r="N239" s="13">
        <v>280992</v>
      </c>
      <c r="O239" s="13">
        <v>4072887</v>
      </c>
      <c r="P239" s="13">
        <v>0</v>
      </c>
      <c r="Q239" s="12">
        <v>0</v>
      </c>
      <c r="R239" s="12"/>
      <c r="S239" s="2">
        <v>516008</v>
      </c>
      <c r="T239" s="2">
        <v>45146</v>
      </c>
      <c r="U239" s="2">
        <f t="shared" si="4"/>
        <v>561154</v>
      </c>
    </row>
    <row r="240" spans="1:21">
      <c r="A240" s="10">
        <v>37600</v>
      </c>
      <c r="B240" s="11" t="s">
        <v>222</v>
      </c>
      <c r="C240" s="11"/>
      <c r="D240" s="11"/>
      <c r="E240" s="74">
        <v>7264313.8899999997</v>
      </c>
      <c r="F240" s="74">
        <v>39838026.678000003</v>
      </c>
      <c r="G240" s="12">
        <v>7720392</v>
      </c>
      <c r="H240" s="12"/>
      <c r="I240" s="13">
        <v>0</v>
      </c>
      <c r="J240" s="13">
        <v>0</v>
      </c>
      <c r="K240" s="13">
        <v>0</v>
      </c>
      <c r="L240" s="12">
        <v>0</v>
      </c>
      <c r="M240" s="12"/>
      <c r="N240" s="13">
        <v>1799582</v>
      </c>
      <c r="O240" s="13">
        <v>26084383</v>
      </c>
      <c r="P240" s="13">
        <v>0</v>
      </c>
      <c r="Q240" s="12">
        <v>216859</v>
      </c>
      <c r="R240" s="12"/>
      <c r="S240" s="2">
        <v>3304722</v>
      </c>
      <c r="T240" s="2">
        <v>-57219</v>
      </c>
      <c r="U240" s="2">
        <f t="shared" si="4"/>
        <v>3247503</v>
      </c>
    </row>
    <row r="241" spans="1:21">
      <c r="A241" s="10">
        <v>37601</v>
      </c>
      <c r="B241" s="11" t="s">
        <v>223</v>
      </c>
      <c r="C241" s="11"/>
      <c r="D241" s="11"/>
      <c r="E241" s="74">
        <v>43527.86</v>
      </c>
      <c r="F241" s="74"/>
      <c r="G241" s="12">
        <v>49359</v>
      </c>
      <c r="H241" s="12"/>
      <c r="I241" s="13">
        <v>0</v>
      </c>
      <c r="J241" s="13">
        <v>0</v>
      </c>
      <c r="K241" s="13">
        <v>0</v>
      </c>
      <c r="L241" s="12">
        <v>197831</v>
      </c>
      <c r="M241" s="12"/>
      <c r="N241" s="13">
        <v>11505</v>
      </c>
      <c r="O241" s="13">
        <v>166766</v>
      </c>
      <c r="P241" s="13">
        <v>0</v>
      </c>
      <c r="Q241" s="12">
        <v>0</v>
      </c>
      <c r="R241" s="12"/>
      <c r="S241" s="2">
        <v>21128</v>
      </c>
      <c r="T241" s="2">
        <v>52198</v>
      </c>
      <c r="U241" s="2">
        <f t="shared" si="4"/>
        <v>73326</v>
      </c>
    </row>
    <row r="242" spans="1:21">
      <c r="A242" s="10">
        <v>37605</v>
      </c>
      <c r="B242" s="11" t="s">
        <v>224</v>
      </c>
      <c r="C242" s="11"/>
      <c r="D242" s="11"/>
      <c r="E242" s="74">
        <v>851548.27</v>
      </c>
      <c r="F242" s="74">
        <v>4510767.1169999996</v>
      </c>
      <c r="G242" s="12">
        <v>872750</v>
      </c>
      <c r="H242" s="12"/>
      <c r="I242" s="13">
        <v>0</v>
      </c>
      <c r="J242" s="13">
        <v>0</v>
      </c>
      <c r="K242" s="13">
        <v>0</v>
      </c>
      <c r="L242" s="12">
        <v>0</v>
      </c>
      <c r="M242" s="12"/>
      <c r="N242" s="13">
        <v>203433</v>
      </c>
      <c r="O242" s="13">
        <v>2948704</v>
      </c>
      <c r="P242" s="13">
        <v>0</v>
      </c>
      <c r="Q242" s="12">
        <v>6261</v>
      </c>
      <c r="R242" s="12"/>
      <c r="S242" s="2">
        <v>373582</v>
      </c>
      <c r="T242" s="2">
        <v>-1652</v>
      </c>
      <c r="U242" s="2">
        <f t="shared" si="4"/>
        <v>371930</v>
      </c>
    </row>
    <row r="243" spans="1:21">
      <c r="A243" s="10">
        <v>37610</v>
      </c>
      <c r="B243" s="11" t="s">
        <v>225</v>
      </c>
      <c r="C243" s="11"/>
      <c r="D243" s="11"/>
      <c r="E243" s="74">
        <v>2186175.9</v>
      </c>
      <c r="F243" s="74">
        <v>12366665.703000002</v>
      </c>
      <c r="G243" s="12">
        <v>2440043</v>
      </c>
      <c r="H243" s="12"/>
      <c r="I243" s="13">
        <v>0</v>
      </c>
      <c r="J243" s="13">
        <v>0</v>
      </c>
      <c r="K243" s="13">
        <v>0</v>
      </c>
      <c r="L243" s="12">
        <v>22046</v>
      </c>
      <c r="M243" s="12"/>
      <c r="N243" s="13">
        <v>568761</v>
      </c>
      <c r="O243" s="13">
        <v>8244012</v>
      </c>
      <c r="P243" s="13">
        <v>0</v>
      </c>
      <c r="Q243" s="12">
        <v>0</v>
      </c>
      <c r="R243" s="12"/>
      <c r="S243" s="2">
        <v>1044463</v>
      </c>
      <c r="T243" s="2">
        <v>5817</v>
      </c>
      <c r="U243" s="2">
        <f t="shared" si="4"/>
        <v>1050280</v>
      </c>
    </row>
    <row r="244" spans="1:21">
      <c r="A244" s="10">
        <v>37700</v>
      </c>
      <c r="B244" s="11" t="s">
        <v>226</v>
      </c>
      <c r="C244" s="11"/>
      <c r="D244" s="11"/>
      <c r="E244" s="74">
        <v>3104875.83</v>
      </c>
      <c r="F244" s="74">
        <v>16768154.478</v>
      </c>
      <c r="G244" s="12">
        <v>3178433</v>
      </c>
      <c r="H244" s="12"/>
      <c r="I244" s="13">
        <v>0</v>
      </c>
      <c r="J244" s="13">
        <v>0</v>
      </c>
      <c r="K244" s="13">
        <v>0</v>
      </c>
      <c r="L244" s="12">
        <v>0</v>
      </c>
      <c r="M244" s="12"/>
      <c r="N244" s="13">
        <v>740876</v>
      </c>
      <c r="O244" s="13">
        <v>10738764</v>
      </c>
      <c r="P244" s="13">
        <v>0</v>
      </c>
      <c r="Q244" s="12">
        <v>289383</v>
      </c>
      <c r="R244" s="12"/>
      <c r="S244" s="2">
        <v>1360532</v>
      </c>
      <c r="T244" s="2">
        <v>-76354</v>
      </c>
      <c r="U244" s="2">
        <f t="shared" si="4"/>
        <v>1284178</v>
      </c>
    </row>
    <row r="245" spans="1:21">
      <c r="A245" s="10">
        <v>37705</v>
      </c>
      <c r="B245" s="11" t="s">
        <v>227</v>
      </c>
      <c r="C245" s="11"/>
      <c r="D245" s="11"/>
      <c r="E245" s="74">
        <v>903209.89</v>
      </c>
      <c r="F245" s="74">
        <v>4298281.4519999996</v>
      </c>
      <c r="G245" s="12">
        <v>916247</v>
      </c>
      <c r="H245" s="12"/>
      <c r="I245" s="13">
        <v>0</v>
      </c>
      <c r="J245" s="13">
        <v>0</v>
      </c>
      <c r="K245" s="13">
        <v>0</v>
      </c>
      <c r="L245" s="12">
        <v>346726</v>
      </c>
      <c r="M245" s="12"/>
      <c r="N245" s="13">
        <v>213572</v>
      </c>
      <c r="O245" s="13">
        <v>3095664</v>
      </c>
      <c r="P245" s="13">
        <v>0</v>
      </c>
      <c r="Q245" s="12">
        <v>0</v>
      </c>
      <c r="R245" s="12"/>
      <c r="S245" s="2">
        <v>392200</v>
      </c>
      <c r="T245" s="2">
        <v>91485</v>
      </c>
      <c r="U245" s="2">
        <f t="shared" si="4"/>
        <v>483685</v>
      </c>
    </row>
    <row r="246" spans="1:21">
      <c r="A246" s="10">
        <v>37800</v>
      </c>
      <c r="B246" s="11" t="s">
        <v>228</v>
      </c>
      <c r="C246" s="11"/>
      <c r="D246" s="11"/>
      <c r="E246" s="74">
        <v>9742278.7599999998</v>
      </c>
      <c r="F246" s="74">
        <v>50055551.655000001</v>
      </c>
      <c r="G246" s="12">
        <v>9784674</v>
      </c>
      <c r="H246" s="12"/>
      <c r="I246" s="13">
        <v>0</v>
      </c>
      <c r="J246" s="13">
        <v>0</v>
      </c>
      <c r="K246" s="13">
        <v>0</v>
      </c>
      <c r="L246" s="12">
        <v>492662</v>
      </c>
      <c r="M246" s="12"/>
      <c r="N246" s="13">
        <v>2280755</v>
      </c>
      <c r="O246" s="13">
        <v>33058837</v>
      </c>
      <c r="P246" s="13">
        <v>0</v>
      </c>
      <c r="Q246" s="12">
        <v>0</v>
      </c>
      <c r="R246" s="12"/>
      <c r="S246" s="2">
        <v>4188340</v>
      </c>
      <c r="T246" s="2">
        <v>129990</v>
      </c>
      <c r="U246" s="2">
        <f t="shared" si="4"/>
        <v>4318330</v>
      </c>
    </row>
    <row r="247" spans="1:21">
      <c r="A247" s="10">
        <v>37801</v>
      </c>
      <c r="B247" s="11" t="s">
        <v>229</v>
      </c>
      <c r="C247" s="11"/>
      <c r="D247" s="11"/>
      <c r="E247" s="74">
        <v>40103.050000000003</v>
      </c>
      <c r="F247" s="74"/>
      <c r="G247" s="12">
        <v>36462</v>
      </c>
      <c r="H247" s="12"/>
      <c r="I247" s="13">
        <v>0</v>
      </c>
      <c r="J247" s="13">
        <v>0</v>
      </c>
      <c r="K247" s="13">
        <v>0</v>
      </c>
      <c r="L247" s="12">
        <v>152430</v>
      </c>
      <c r="M247" s="12"/>
      <c r="N247" s="13">
        <v>8499</v>
      </c>
      <c r="O247" s="13">
        <v>123193</v>
      </c>
      <c r="P247" s="13">
        <v>0</v>
      </c>
      <c r="Q247" s="12">
        <v>0</v>
      </c>
      <c r="R247" s="12"/>
      <c r="S247" s="2">
        <v>15608</v>
      </c>
      <c r="T247" s="2">
        <v>40219</v>
      </c>
      <c r="U247" s="2">
        <f t="shared" si="4"/>
        <v>55827</v>
      </c>
    </row>
    <row r="248" spans="1:21">
      <c r="A248" s="10">
        <v>37805</v>
      </c>
      <c r="B248" s="11" t="s">
        <v>230</v>
      </c>
      <c r="C248" s="11"/>
      <c r="D248" s="11"/>
      <c r="E248" s="74">
        <v>950849.56</v>
      </c>
      <c r="F248" s="74">
        <v>4765749.915</v>
      </c>
      <c r="G248" s="12">
        <v>962558</v>
      </c>
      <c r="H248" s="12"/>
      <c r="I248" s="13">
        <v>0</v>
      </c>
      <c r="J248" s="13">
        <v>0</v>
      </c>
      <c r="K248" s="13">
        <v>0</v>
      </c>
      <c r="L248" s="12">
        <v>167845</v>
      </c>
      <c r="M248" s="12"/>
      <c r="N248" s="13">
        <v>224367</v>
      </c>
      <c r="O248" s="13">
        <v>3252130</v>
      </c>
      <c r="P248" s="13">
        <v>0</v>
      </c>
      <c r="Q248" s="12">
        <v>0</v>
      </c>
      <c r="R248" s="12"/>
      <c r="S248" s="2">
        <v>412024</v>
      </c>
      <c r="T248" s="2">
        <v>44286</v>
      </c>
      <c r="U248" s="2">
        <f t="shared" si="4"/>
        <v>456310</v>
      </c>
    </row>
    <row r="249" spans="1:21">
      <c r="A249" s="10">
        <v>37900</v>
      </c>
      <c r="B249" s="11" t="s">
        <v>231</v>
      </c>
      <c r="C249" s="11"/>
      <c r="D249" s="11"/>
      <c r="E249" s="74">
        <v>5764321.0999999996</v>
      </c>
      <c r="F249" s="74">
        <v>29839058.385000002</v>
      </c>
      <c r="G249" s="12">
        <v>5810870</v>
      </c>
      <c r="H249" s="12"/>
      <c r="I249" s="13">
        <v>0</v>
      </c>
      <c r="J249" s="13">
        <v>0</v>
      </c>
      <c r="K249" s="13">
        <v>0</v>
      </c>
      <c r="L249" s="12">
        <v>186788</v>
      </c>
      <c r="M249" s="12"/>
      <c r="N249" s="13">
        <v>1354482</v>
      </c>
      <c r="O249" s="13">
        <v>19632806</v>
      </c>
      <c r="P249" s="13">
        <v>0</v>
      </c>
      <c r="Q249" s="12">
        <v>0</v>
      </c>
      <c r="R249" s="12"/>
      <c r="S249" s="2">
        <v>2487349</v>
      </c>
      <c r="T249" s="2">
        <v>49284</v>
      </c>
      <c r="U249" s="2">
        <f t="shared" si="4"/>
        <v>2536633</v>
      </c>
    </row>
    <row r="250" spans="1:21">
      <c r="A250" s="10">
        <v>37901</v>
      </c>
      <c r="B250" s="11" t="s">
        <v>232</v>
      </c>
      <c r="C250" s="11"/>
      <c r="D250" s="11"/>
      <c r="E250" s="74">
        <v>65866.67</v>
      </c>
      <c r="F250" s="74">
        <v>370332.15899999999</v>
      </c>
      <c r="G250" s="12">
        <v>73042</v>
      </c>
      <c r="H250" s="12"/>
      <c r="I250" s="13">
        <v>0</v>
      </c>
      <c r="J250" s="13">
        <v>0</v>
      </c>
      <c r="K250" s="13">
        <v>0</v>
      </c>
      <c r="L250" s="12">
        <v>885</v>
      </c>
      <c r="M250" s="12"/>
      <c r="N250" s="13">
        <v>17026</v>
      </c>
      <c r="O250" s="13">
        <v>246782</v>
      </c>
      <c r="P250" s="13">
        <v>0</v>
      </c>
      <c r="Q250" s="12">
        <v>0</v>
      </c>
      <c r="R250" s="12"/>
      <c r="S250" s="2">
        <v>31266</v>
      </c>
      <c r="T250" s="2">
        <v>233</v>
      </c>
      <c r="U250" s="2">
        <f t="shared" si="4"/>
        <v>31499</v>
      </c>
    </row>
    <row r="251" spans="1:21">
      <c r="A251" s="10">
        <v>37905</v>
      </c>
      <c r="B251" s="11" t="s">
        <v>233</v>
      </c>
      <c r="C251" s="11"/>
      <c r="D251" s="11"/>
      <c r="E251" s="74">
        <v>712461.9</v>
      </c>
      <c r="F251" s="74">
        <v>3405841.659</v>
      </c>
      <c r="G251" s="12">
        <v>645183</v>
      </c>
      <c r="H251" s="12"/>
      <c r="I251" s="13">
        <v>0</v>
      </c>
      <c r="J251" s="13">
        <v>0</v>
      </c>
      <c r="K251" s="13">
        <v>0</v>
      </c>
      <c r="L251" s="12">
        <v>4636</v>
      </c>
      <c r="M251" s="12"/>
      <c r="N251" s="13">
        <v>150389</v>
      </c>
      <c r="O251" s="13">
        <v>2179838</v>
      </c>
      <c r="P251" s="13">
        <v>0</v>
      </c>
      <c r="Q251" s="12">
        <v>0</v>
      </c>
      <c r="R251" s="12"/>
      <c r="S251" s="2">
        <v>276171</v>
      </c>
      <c r="T251" s="2">
        <v>1223</v>
      </c>
      <c r="U251" s="2">
        <f t="shared" si="4"/>
        <v>277394</v>
      </c>
    </row>
    <row r="252" spans="1:21">
      <c r="A252" s="10">
        <v>38000</v>
      </c>
      <c r="B252" s="11" t="s">
        <v>234</v>
      </c>
      <c r="C252" s="11"/>
      <c r="D252" s="11"/>
      <c r="E252" s="74">
        <v>8299058.29</v>
      </c>
      <c r="F252" s="74">
        <v>46504005.539999999</v>
      </c>
      <c r="G252" s="12">
        <v>8483052</v>
      </c>
      <c r="H252" s="12"/>
      <c r="I252" s="13">
        <v>0</v>
      </c>
      <c r="J252" s="13">
        <v>0</v>
      </c>
      <c r="K252" s="13">
        <v>0</v>
      </c>
      <c r="L252" s="12">
        <v>0</v>
      </c>
      <c r="M252" s="12"/>
      <c r="N252" s="13">
        <v>1977354</v>
      </c>
      <c r="O252" s="13">
        <v>28661132</v>
      </c>
      <c r="P252" s="13">
        <v>0</v>
      </c>
      <c r="Q252" s="12">
        <v>2147869</v>
      </c>
      <c r="R252" s="12"/>
      <c r="S252" s="2">
        <v>3631179</v>
      </c>
      <c r="T252" s="2">
        <v>-566720</v>
      </c>
      <c r="U252" s="2">
        <f t="shared" si="4"/>
        <v>3064459</v>
      </c>
    </row>
    <row r="253" spans="1:21">
      <c r="A253" s="10">
        <v>38005</v>
      </c>
      <c r="B253" s="11" t="s">
        <v>235</v>
      </c>
      <c r="C253" s="11"/>
      <c r="D253" s="11"/>
      <c r="E253" s="74">
        <v>1738312.11</v>
      </c>
      <c r="F253" s="74">
        <v>8463000.4859999996</v>
      </c>
      <c r="G253" s="12">
        <v>1675976</v>
      </c>
      <c r="H253" s="12"/>
      <c r="I253" s="13">
        <v>0</v>
      </c>
      <c r="J253" s="13">
        <v>0</v>
      </c>
      <c r="K253" s="13">
        <v>0</v>
      </c>
      <c r="L253" s="12">
        <v>227127</v>
      </c>
      <c r="M253" s="12"/>
      <c r="N253" s="13">
        <v>390661</v>
      </c>
      <c r="O253" s="13">
        <v>5662510</v>
      </c>
      <c r="P253" s="13">
        <v>0</v>
      </c>
      <c r="Q253" s="12">
        <v>0</v>
      </c>
      <c r="R253" s="12"/>
      <c r="S253" s="2">
        <v>717403</v>
      </c>
      <c r="T253" s="2">
        <v>59928</v>
      </c>
      <c r="U253" s="2">
        <f t="shared" si="4"/>
        <v>777331</v>
      </c>
    </row>
    <row r="254" spans="1:21">
      <c r="A254" s="10">
        <v>38100</v>
      </c>
      <c r="B254" s="11" t="s">
        <v>236</v>
      </c>
      <c r="C254" s="11"/>
      <c r="D254" s="11"/>
      <c r="E254" s="74">
        <v>3796528.21</v>
      </c>
      <c r="F254" s="74">
        <v>21236424.461999997</v>
      </c>
      <c r="G254" s="12">
        <v>3924679</v>
      </c>
      <c r="H254" s="12"/>
      <c r="I254" s="13">
        <v>0</v>
      </c>
      <c r="J254" s="13">
        <v>0</v>
      </c>
      <c r="K254" s="13">
        <v>0</v>
      </c>
      <c r="L254" s="12">
        <v>0</v>
      </c>
      <c r="M254" s="12"/>
      <c r="N254" s="13">
        <v>914822</v>
      </c>
      <c r="O254" s="13">
        <v>13260057</v>
      </c>
      <c r="P254" s="13">
        <v>0</v>
      </c>
      <c r="Q254" s="12">
        <v>807295</v>
      </c>
      <c r="R254" s="12"/>
      <c r="S254" s="2">
        <v>1679963</v>
      </c>
      <c r="T254" s="2">
        <v>-213007</v>
      </c>
      <c r="U254" s="2">
        <f t="shared" si="4"/>
        <v>1466956</v>
      </c>
    </row>
    <row r="255" spans="1:21">
      <c r="A255" s="10">
        <v>38105</v>
      </c>
      <c r="B255" s="11" t="s">
        <v>237</v>
      </c>
      <c r="C255" s="11"/>
      <c r="D255" s="11"/>
      <c r="E255" s="74">
        <v>814102.9</v>
      </c>
      <c r="F255" s="74">
        <v>4298281.4519999996</v>
      </c>
      <c r="G255" s="12">
        <v>823509</v>
      </c>
      <c r="H255" s="12"/>
      <c r="I255" s="13">
        <v>0</v>
      </c>
      <c r="J255" s="13">
        <v>0</v>
      </c>
      <c r="K255" s="13">
        <v>0</v>
      </c>
      <c r="L255" s="12">
        <v>0</v>
      </c>
      <c r="M255" s="12"/>
      <c r="N255" s="13">
        <v>191955</v>
      </c>
      <c r="O255" s="13">
        <v>2782334</v>
      </c>
      <c r="P255" s="13">
        <v>0</v>
      </c>
      <c r="Q255" s="12">
        <v>30766</v>
      </c>
      <c r="R255" s="12"/>
      <c r="S255" s="2">
        <v>352504</v>
      </c>
      <c r="T255" s="2">
        <v>-8118</v>
      </c>
      <c r="U255" s="2">
        <f t="shared" si="4"/>
        <v>344386</v>
      </c>
    </row>
    <row r="256" spans="1:21">
      <c r="A256" s="10">
        <v>38200</v>
      </c>
      <c r="B256" s="11" t="s">
        <v>238</v>
      </c>
      <c r="C256" s="11"/>
      <c r="D256" s="11"/>
      <c r="E256" s="74">
        <v>3613959.01</v>
      </c>
      <c r="F256" s="74">
        <v>19554752.199000001</v>
      </c>
      <c r="G256" s="12">
        <v>3842375</v>
      </c>
      <c r="H256" s="12"/>
      <c r="I256" s="13">
        <v>0</v>
      </c>
      <c r="J256" s="13">
        <v>0</v>
      </c>
      <c r="K256" s="13">
        <v>0</v>
      </c>
      <c r="L256" s="12">
        <v>106395</v>
      </c>
      <c r="M256" s="12"/>
      <c r="N256" s="13">
        <v>895637</v>
      </c>
      <c r="O256" s="13">
        <v>12981982</v>
      </c>
      <c r="P256" s="13">
        <v>0</v>
      </c>
      <c r="Q256" s="12">
        <v>0</v>
      </c>
      <c r="R256" s="12"/>
      <c r="S256" s="2">
        <v>1644733</v>
      </c>
      <c r="T256" s="2">
        <v>28073</v>
      </c>
      <c r="U256" s="2">
        <f t="shared" si="4"/>
        <v>1672806</v>
      </c>
    </row>
    <row r="257" spans="1:21">
      <c r="A257" s="10">
        <v>38205</v>
      </c>
      <c r="B257" s="11" t="s">
        <v>239</v>
      </c>
      <c r="C257" s="11"/>
      <c r="D257" s="11"/>
      <c r="E257" s="74">
        <v>618855.87</v>
      </c>
      <c r="F257" s="74">
        <v>3065864.5950000002</v>
      </c>
      <c r="G257" s="12">
        <v>576597</v>
      </c>
      <c r="H257" s="12"/>
      <c r="I257" s="13">
        <v>0</v>
      </c>
      <c r="J257" s="13">
        <v>0</v>
      </c>
      <c r="K257" s="13">
        <v>0</v>
      </c>
      <c r="L257" s="12">
        <v>0</v>
      </c>
      <c r="M257" s="12"/>
      <c r="N257" s="13">
        <v>134402</v>
      </c>
      <c r="O257" s="13">
        <v>1948109</v>
      </c>
      <c r="P257" s="13">
        <v>0</v>
      </c>
      <c r="Q257" s="12">
        <v>27467</v>
      </c>
      <c r="R257" s="12"/>
      <c r="S257" s="2">
        <v>246813</v>
      </c>
      <c r="T257" s="2">
        <v>-7247</v>
      </c>
      <c r="U257" s="2">
        <f t="shared" si="4"/>
        <v>239566</v>
      </c>
    </row>
    <row r="258" spans="1:21">
      <c r="A258" s="10">
        <v>38210</v>
      </c>
      <c r="B258" s="11" t="s">
        <v>240</v>
      </c>
      <c r="C258" s="11"/>
      <c r="D258" s="11"/>
      <c r="E258" s="74">
        <v>1329991.4099999999</v>
      </c>
      <c r="F258" s="74">
        <v>6939174.7169999992</v>
      </c>
      <c r="G258" s="12">
        <v>1369036</v>
      </c>
      <c r="H258" s="12"/>
      <c r="I258" s="13">
        <v>0</v>
      </c>
      <c r="J258" s="13">
        <v>0</v>
      </c>
      <c r="K258" s="13">
        <v>0</v>
      </c>
      <c r="L258" s="12">
        <v>93700</v>
      </c>
      <c r="M258" s="12"/>
      <c r="N258" s="13">
        <v>319115</v>
      </c>
      <c r="O258" s="13">
        <v>4625472</v>
      </c>
      <c r="P258" s="13">
        <v>0</v>
      </c>
      <c r="Q258" s="12">
        <v>0</v>
      </c>
      <c r="R258" s="12"/>
      <c r="S258" s="2">
        <v>586017</v>
      </c>
      <c r="T258" s="2">
        <v>24723</v>
      </c>
      <c r="U258" s="2">
        <f t="shared" si="4"/>
        <v>610740</v>
      </c>
    </row>
    <row r="259" spans="1:21">
      <c r="A259" s="10">
        <v>38300</v>
      </c>
      <c r="B259" s="11" t="s">
        <v>241</v>
      </c>
      <c r="C259" s="11"/>
      <c r="D259" s="11"/>
      <c r="E259" s="74">
        <v>2949206.45</v>
      </c>
      <c r="F259" s="74">
        <v>16494958.623</v>
      </c>
      <c r="G259" s="12">
        <v>2968687</v>
      </c>
      <c r="H259" s="12"/>
      <c r="I259" s="13">
        <v>0</v>
      </c>
      <c r="J259" s="13">
        <v>0</v>
      </c>
      <c r="K259" s="13">
        <v>0</v>
      </c>
      <c r="L259" s="12">
        <v>0</v>
      </c>
      <c r="M259" s="12"/>
      <c r="N259" s="13">
        <v>691985</v>
      </c>
      <c r="O259" s="13">
        <v>10030109</v>
      </c>
      <c r="P259" s="13">
        <v>0</v>
      </c>
      <c r="Q259" s="12">
        <v>890706</v>
      </c>
      <c r="R259" s="12"/>
      <c r="S259" s="2">
        <v>1270750</v>
      </c>
      <c r="T259" s="2">
        <v>-235015</v>
      </c>
      <c r="U259" s="2">
        <f t="shared" si="4"/>
        <v>1035735</v>
      </c>
    </row>
    <row r="260" spans="1:21">
      <c r="A260" s="10">
        <v>38400</v>
      </c>
      <c r="B260" s="11" t="s">
        <v>242</v>
      </c>
      <c r="C260" s="11"/>
      <c r="D260" s="11"/>
      <c r="E260" s="74">
        <v>3526192.52</v>
      </c>
      <c r="F260" s="74">
        <v>20234706.327</v>
      </c>
      <c r="G260" s="12">
        <v>3729823</v>
      </c>
      <c r="H260" s="12"/>
      <c r="I260" s="13">
        <v>0</v>
      </c>
      <c r="J260" s="13">
        <v>0</v>
      </c>
      <c r="K260" s="13">
        <v>0</v>
      </c>
      <c r="L260" s="12">
        <v>0</v>
      </c>
      <c r="M260" s="12"/>
      <c r="N260" s="13">
        <v>869402</v>
      </c>
      <c r="O260" s="13">
        <v>12601708</v>
      </c>
      <c r="P260" s="13">
        <v>0</v>
      </c>
      <c r="Q260" s="12">
        <v>873627</v>
      </c>
      <c r="R260" s="12"/>
      <c r="S260" s="2">
        <v>1596554</v>
      </c>
      <c r="T260" s="2">
        <v>-230508</v>
      </c>
      <c r="U260" s="2">
        <f t="shared" si="4"/>
        <v>1366046</v>
      </c>
    </row>
    <row r="261" spans="1:21">
      <c r="A261" s="10">
        <v>38402</v>
      </c>
      <c r="B261" s="11" t="s">
        <v>243</v>
      </c>
      <c r="C261" s="11"/>
      <c r="D261" s="11"/>
      <c r="E261" s="74">
        <v>108913.08</v>
      </c>
      <c r="F261" s="74">
        <v>588888.84299999999</v>
      </c>
      <c r="G261" s="12">
        <v>127794</v>
      </c>
      <c r="H261" s="12"/>
      <c r="I261" s="13">
        <v>0</v>
      </c>
      <c r="J261" s="13">
        <v>0</v>
      </c>
      <c r="K261" s="13">
        <v>0</v>
      </c>
      <c r="L261" s="12">
        <v>43259</v>
      </c>
      <c r="M261" s="12"/>
      <c r="N261" s="13">
        <v>29788</v>
      </c>
      <c r="O261" s="13">
        <v>431769</v>
      </c>
      <c r="P261" s="13">
        <v>0</v>
      </c>
      <c r="Q261" s="12">
        <v>0</v>
      </c>
      <c r="R261" s="12"/>
      <c r="S261" s="2">
        <v>54702</v>
      </c>
      <c r="T261" s="2">
        <v>11414</v>
      </c>
      <c r="U261" s="2">
        <f t="shared" si="4"/>
        <v>66116</v>
      </c>
    </row>
    <row r="262" spans="1:21">
      <c r="A262" s="10">
        <v>38405</v>
      </c>
      <c r="B262" s="11" t="s">
        <v>244</v>
      </c>
      <c r="C262" s="11"/>
      <c r="D262" s="11"/>
      <c r="E262" s="74">
        <v>874608.14</v>
      </c>
      <c r="F262" s="74">
        <v>4796105.01</v>
      </c>
      <c r="G262" s="12">
        <v>910033</v>
      </c>
      <c r="H262" s="12"/>
      <c r="I262" s="13">
        <v>0</v>
      </c>
      <c r="J262" s="13">
        <v>0</v>
      </c>
      <c r="K262" s="13">
        <v>0</v>
      </c>
      <c r="L262" s="12">
        <v>0</v>
      </c>
      <c r="M262" s="12"/>
      <c r="N262" s="13">
        <v>212124</v>
      </c>
      <c r="O262" s="13">
        <v>3074669</v>
      </c>
      <c r="P262" s="13">
        <v>0</v>
      </c>
      <c r="Q262" s="12">
        <v>90367</v>
      </c>
      <c r="R262" s="12"/>
      <c r="S262" s="2">
        <v>389541</v>
      </c>
      <c r="T262" s="2">
        <v>-23844</v>
      </c>
      <c r="U262" s="2">
        <f t="shared" si="4"/>
        <v>365697</v>
      </c>
    </row>
    <row r="263" spans="1:21">
      <c r="A263" s="10">
        <v>38500</v>
      </c>
      <c r="B263" s="11" t="s">
        <v>245</v>
      </c>
      <c r="C263" s="11"/>
      <c r="D263" s="11"/>
      <c r="E263" s="74">
        <v>2945199.68</v>
      </c>
      <c r="F263" s="74">
        <v>16118555.444999998</v>
      </c>
      <c r="G263" s="12">
        <v>3076784</v>
      </c>
      <c r="H263" s="12"/>
      <c r="I263" s="13">
        <v>0</v>
      </c>
      <c r="J263" s="13">
        <v>0</v>
      </c>
      <c r="K263" s="13">
        <v>0</v>
      </c>
      <c r="L263" s="12">
        <v>0</v>
      </c>
      <c r="M263" s="12"/>
      <c r="N263" s="13">
        <v>717182</v>
      </c>
      <c r="O263" s="13">
        <v>10395330</v>
      </c>
      <c r="P263" s="13">
        <v>0</v>
      </c>
      <c r="Q263" s="12">
        <v>238224</v>
      </c>
      <c r="R263" s="12"/>
      <c r="S263" s="2">
        <v>1317021</v>
      </c>
      <c r="T263" s="2">
        <v>-62856</v>
      </c>
      <c r="U263" s="2">
        <f t="shared" si="4"/>
        <v>1254165</v>
      </c>
    </row>
    <row r="264" spans="1:21">
      <c r="A264" s="10">
        <v>38600</v>
      </c>
      <c r="B264" s="11" t="s">
        <v>246</v>
      </c>
      <c r="C264" s="11"/>
      <c r="D264" s="11"/>
      <c r="E264" s="74">
        <v>3496677.24</v>
      </c>
      <c r="F264" s="74">
        <v>19755095.826000001</v>
      </c>
      <c r="G264" s="12">
        <v>3640953</v>
      </c>
      <c r="H264" s="12"/>
      <c r="I264" s="13">
        <v>0</v>
      </c>
      <c r="J264" s="13">
        <v>0</v>
      </c>
      <c r="K264" s="13">
        <v>0</v>
      </c>
      <c r="L264" s="12">
        <v>0</v>
      </c>
      <c r="M264" s="12"/>
      <c r="N264" s="13">
        <v>848687</v>
      </c>
      <c r="O264" s="13">
        <v>12301451</v>
      </c>
      <c r="P264" s="13">
        <v>0</v>
      </c>
      <c r="Q264" s="12">
        <v>811679</v>
      </c>
      <c r="R264" s="12"/>
      <c r="S264" s="2">
        <v>1558514</v>
      </c>
      <c r="T264" s="2">
        <v>-214163</v>
      </c>
      <c r="U264" s="2">
        <f t="shared" si="4"/>
        <v>1344351</v>
      </c>
    </row>
    <row r="265" spans="1:21">
      <c r="A265" s="10">
        <v>38601</v>
      </c>
      <c r="B265" s="11" t="s">
        <v>247</v>
      </c>
      <c r="C265" s="11"/>
      <c r="D265" s="11"/>
      <c r="E265" s="74">
        <v>38324.99</v>
      </c>
      <c r="F265" s="74">
        <v>182130.57</v>
      </c>
      <c r="G265" s="12">
        <v>40214</v>
      </c>
      <c r="H265" s="12"/>
      <c r="I265" s="13">
        <v>0</v>
      </c>
      <c r="J265" s="13">
        <v>0</v>
      </c>
      <c r="K265" s="13">
        <v>0</v>
      </c>
      <c r="L265" s="12">
        <v>19335</v>
      </c>
      <c r="M265" s="12"/>
      <c r="N265" s="13">
        <v>9374</v>
      </c>
      <c r="O265" s="13">
        <v>135869</v>
      </c>
      <c r="P265" s="13">
        <v>0</v>
      </c>
      <c r="Q265" s="12">
        <v>0</v>
      </c>
      <c r="R265" s="12"/>
      <c r="S265" s="2">
        <v>17214</v>
      </c>
      <c r="T265" s="2">
        <v>5102</v>
      </c>
      <c r="U265" s="2">
        <f t="shared" si="4"/>
        <v>22316</v>
      </c>
    </row>
    <row r="266" spans="1:21">
      <c r="A266" s="10">
        <v>38602</v>
      </c>
      <c r="B266" s="11" t="s">
        <v>248</v>
      </c>
      <c r="C266" s="11"/>
      <c r="D266" s="11"/>
      <c r="E266" s="74">
        <v>168972.12</v>
      </c>
      <c r="F266" s="74">
        <v>898510.81199999992</v>
      </c>
      <c r="G266" s="12">
        <v>175511</v>
      </c>
      <c r="H266" s="12"/>
      <c r="I266" s="13">
        <v>0</v>
      </c>
      <c r="J266" s="13">
        <v>0</v>
      </c>
      <c r="K266" s="13">
        <v>0</v>
      </c>
      <c r="L266" s="12">
        <v>3754</v>
      </c>
      <c r="M266" s="12"/>
      <c r="N266" s="13">
        <v>40911</v>
      </c>
      <c r="O266" s="13">
        <v>592989</v>
      </c>
      <c r="P266" s="13">
        <v>0</v>
      </c>
      <c r="Q266" s="12">
        <v>0</v>
      </c>
      <c r="R266" s="12"/>
      <c r="S266" s="2">
        <v>75128</v>
      </c>
      <c r="T266" s="2">
        <v>991</v>
      </c>
      <c r="U266" s="2">
        <f t="shared" si="4"/>
        <v>76119</v>
      </c>
    </row>
    <row r="267" spans="1:21">
      <c r="A267" s="10">
        <v>38605</v>
      </c>
      <c r="B267" s="11" t="s">
        <v>249</v>
      </c>
      <c r="C267" s="11"/>
      <c r="D267" s="11"/>
      <c r="E267" s="74">
        <v>1024056.58</v>
      </c>
      <c r="F267" s="74">
        <v>5136082.074</v>
      </c>
      <c r="G267" s="12">
        <v>1006875</v>
      </c>
      <c r="H267" s="12"/>
      <c r="I267" s="13">
        <v>0</v>
      </c>
      <c r="J267" s="13">
        <v>0</v>
      </c>
      <c r="K267" s="13">
        <v>0</v>
      </c>
      <c r="L267" s="12">
        <v>79452</v>
      </c>
      <c r="M267" s="12"/>
      <c r="N267" s="13">
        <v>234697</v>
      </c>
      <c r="O267" s="13">
        <v>3401863</v>
      </c>
      <c r="P267" s="13">
        <v>0</v>
      </c>
      <c r="Q267" s="12">
        <v>0</v>
      </c>
      <c r="R267" s="12"/>
      <c r="S267" s="2">
        <v>430994</v>
      </c>
      <c r="T267" s="2">
        <v>20964</v>
      </c>
      <c r="U267" s="2">
        <f t="shared" si="4"/>
        <v>451958</v>
      </c>
    </row>
    <row r="268" spans="1:21">
      <c r="A268" s="10">
        <v>38610</v>
      </c>
      <c r="B268" s="11" t="s">
        <v>250</v>
      </c>
      <c r="C268" s="11"/>
      <c r="D268" s="11"/>
      <c r="E268" s="74">
        <v>785382.3</v>
      </c>
      <c r="F268" s="74">
        <v>3855097.0650000004</v>
      </c>
      <c r="G268" s="12">
        <v>757149</v>
      </c>
      <c r="H268" s="12"/>
      <c r="I268" s="13">
        <v>0</v>
      </c>
      <c r="J268" s="13">
        <v>0</v>
      </c>
      <c r="K268" s="13">
        <v>0</v>
      </c>
      <c r="L268" s="12">
        <v>77505</v>
      </c>
      <c r="M268" s="12"/>
      <c r="N268" s="13">
        <v>176487</v>
      </c>
      <c r="O268" s="13">
        <v>2558131</v>
      </c>
      <c r="P268" s="13">
        <v>0</v>
      </c>
      <c r="Q268" s="12">
        <v>0</v>
      </c>
      <c r="R268" s="12"/>
      <c r="S268" s="2">
        <v>324099</v>
      </c>
      <c r="T268" s="2">
        <v>20450</v>
      </c>
      <c r="U268" s="2">
        <f t="shared" ref="U268:U299" si="5">S268+T268</f>
        <v>344549</v>
      </c>
    </row>
    <row r="269" spans="1:21">
      <c r="A269" s="10">
        <v>38620</v>
      </c>
      <c r="B269" s="11" t="s">
        <v>251</v>
      </c>
      <c r="C269" s="11"/>
      <c r="D269" s="11"/>
      <c r="E269" s="74">
        <v>582206.43999999994</v>
      </c>
      <c r="F269" s="74">
        <v>3011225.4240000001</v>
      </c>
      <c r="G269" s="12">
        <v>587852</v>
      </c>
      <c r="H269" s="12"/>
      <c r="I269" s="13">
        <v>0</v>
      </c>
      <c r="J269" s="13">
        <v>0</v>
      </c>
      <c r="K269" s="13">
        <v>0</v>
      </c>
      <c r="L269" s="12">
        <v>24025</v>
      </c>
      <c r="M269" s="12"/>
      <c r="N269" s="13">
        <v>137025</v>
      </c>
      <c r="O269" s="13">
        <v>1986137</v>
      </c>
      <c r="P269" s="13">
        <v>0</v>
      </c>
      <c r="Q269" s="12">
        <v>0</v>
      </c>
      <c r="R269" s="12"/>
      <c r="S269" s="2">
        <v>251631</v>
      </c>
      <c r="T269" s="2">
        <v>6339</v>
      </c>
      <c r="U269" s="2">
        <f t="shared" si="5"/>
        <v>257970</v>
      </c>
    </row>
    <row r="270" spans="1:21">
      <c r="A270" s="10">
        <v>38700</v>
      </c>
      <c r="B270" s="11" t="s">
        <v>252</v>
      </c>
      <c r="C270" s="11"/>
      <c r="D270" s="11"/>
      <c r="E270" s="74">
        <v>969471.78</v>
      </c>
      <c r="F270" s="74">
        <v>5020732.7130000005</v>
      </c>
      <c r="G270" s="12">
        <v>993627</v>
      </c>
      <c r="H270" s="12"/>
      <c r="I270" s="13">
        <v>0</v>
      </c>
      <c r="J270" s="13">
        <v>0</v>
      </c>
      <c r="K270" s="13">
        <v>0</v>
      </c>
      <c r="L270" s="12">
        <v>83676</v>
      </c>
      <c r="M270" s="12"/>
      <c r="N270" s="13">
        <v>231609</v>
      </c>
      <c r="O270" s="13">
        <v>3357102</v>
      </c>
      <c r="P270" s="13">
        <v>0</v>
      </c>
      <c r="Q270" s="12">
        <v>0</v>
      </c>
      <c r="R270" s="12"/>
      <c r="S270" s="2">
        <v>425323</v>
      </c>
      <c r="T270" s="2">
        <v>22078</v>
      </c>
      <c r="U270" s="2">
        <f t="shared" si="5"/>
        <v>447401</v>
      </c>
    </row>
    <row r="271" spans="1:21">
      <c r="A271" s="10">
        <v>38701</v>
      </c>
      <c r="B271" s="11" t="s">
        <v>253</v>
      </c>
      <c r="C271" s="11"/>
      <c r="D271" s="11"/>
      <c r="E271" s="74">
        <v>71121.34</v>
      </c>
      <c r="F271" s="74">
        <v>443184.38699999999</v>
      </c>
      <c r="G271" s="12">
        <v>75738</v>
      </c>
      <c r="H271" s="12"/>
      <c r="I271" s="13">
        <v>0</v>
      </c>
      <c r="J271" s="13">
        <v>0</v>
      </c>
      <c r="K271" s="13">
        <v>0</v>
      </c>
      <c r="L271" s="12">
        <v>0</v>
      </c>
      <c r="M271" s="12"/>
      <c r="N271" s="13">
        <v>17654</v>
      </c>
      <c r="O271" s="13">
        <v>255892</v>
      </c>
      <c r="P271" s="13">
        <v>0</v>
      </c>
      <c r="Q271" s="12">
        <v>43674</v>
      </c>
      <c r="R271" s="12"/>
      <c r="S271" s="2">
        <v>32420</v>
      </c>
      <c r="T271" s="2">
        <v>-11524</v>
      </c>
      <c r="U271" s="2">
        <f t="shared" si="5"/>
        <v>20896</v>
      </c>
    </row>
    <row r="272" spans="1:21">
      <c r="A272" s="10">
        <v>38800</v>
      </c>
      <c r="B272" s="11" t="s">
        <v>254</v>
      </c>
      <c r="C272" s="11"/>
      <c r="D272" s="11"/>
      <c r="E272" s="74">
        <v>1766534.62</v>
      </c>
      <c r="F272" s="74">
        <v>9246161.9370000008</v>
      </c>
      <c r="G272" s="12">
        <v>1773287</v>
      </c>
      <c r="H272" s="12"/>
      <c r="I272" s="13">
        <v>0</v>
      </c>
      <c r="J272" s="13">
        <v>0</v>
      </c>
      <c r="K272" s="13">
        <v>0</v>
      </c>
      <c r="L272" s="12">
        <v>0</v>
      </c>
      <c r="M272" s="12"/>
      <c r="N272" s="13">
        <v>413344</v>
      </c>
      <c r="O272" s="13">
        <v>5991288</v>
      </c>
      <c r="P272" s="13">
        <v>0</v>
      </c>
      <c r="Q272" s="12">
        <v>48080</v>
      </c>
      <c r="R272" s="12"/>
      <c r="S272" s="2">
        <v>759057</v>
      </c>
      <c r="T272" s="2">
        <v>-12686</v>
      </c>
      <c r="U272" s="2">
        <f t="shared" si="5"/>
        <v>746371</v>
      </c>
    </row>
    <row r="273" spans="1:21">
      <c r="A273" s="10">
        <v>38801</v>
      </c>
      <c r="B273" s="11" t="s">
        <v>255</v>
      </c>
      <c r="C273" s="11"/>
      <c r="D273" s="11"/>
      <c r="E273" s="74">
        <v>88460.64</v>
      </c>
      <c r="F273" s="74">
        <v>406758.27299999999</v>
      </c>
      <c r="G273" s="12">
        <v>110911</v>
      </c>
      <c r="H273" s="12"/>
      <c r="I273" s="13">
        <v>0</v>
      </c>
      <c r="J273" s="13">
        <v>0</v>
      </c>
      <c r="K273" s="13">
        <v>0</v>
      </c>
      <c r="L273" s="12">
        <v>115297</v>
      </c>
      <c r="M273" s="12"/>
      <c r="N273" s="13">
        <v>25853</v>
      </c>
      <c r="O273" s="13">
        <v>374728</v>
      </c>
      <c r="P273" s="13">
        <v>0</v>
      </c>
      <c r="Q273" s="12">
        <v>0</v>
      </c>
      <c r="R273" s="12"/>
      <c r="S273" s="2">
        <v>47476</v>
      </c>
      <c r="T273" s="2">
        <v>30421</v>
      </c>
      <c r="U273" s="2">
        <f t="shared" si="5"/>
        <v>77897</v>
      </c>
    </row>
    <row r="274" spans="1:21">
      <c r="A274" s="10">
        <v>38900</v>
      </c>
      <c r="B274" s="11" t="s">
        <v>256</v>
      </c>
      <c r="C274" s="11"/>
      <c r="D274" s="11"/>
      <c r="E274" s="74">
        <v>401524.3</v>
      </c>
      <c r="F274" s="74">
        <v>2149140.7259999998</v>
      </c>
      <c r="G274" s="12">
        <v>386547</v>
      </c>
      <c r="H274" s="12"/>
      <c r="I274" s="13">
        <v>0</v>
      </c>
      <c r="J274" s="13">
        <v>0</v>
      </c>
      <c r="K274" s="13">
        <v>0</v>
      </c>
      <c r="L274" s="12">
        <v>0</v>
      </c>
      <c r="M274" s="12"/>
      <c r="N274" s="13">
        <v>90102</v>
      </c>
      <c r="O274" s="13">
        <v>1306002</v>
      </c>
      <c r="P274" s="13">
        <v>0</v>
      </c>
      <c r="Q274" s="12">
        <v>103198</v>
      </c>
      <c r="R274" s="12"/>
      <c r="S274" s="2">
        <v>165462</v>
      </c>
      <c r="T274" s="2">
        <v>-27229</v>
      </c>
      <c r="U274" s="2">
        <f t="shared" si="5"/>
        <v>138233</v>
      </c>
    </row>
    <row r="275" spans="1:21">
      <c r="A275" s="10">
        <v>39000</v>
      </c>
      <c r="B275" s="11" t="s">
        <v>257</v>
      </c>
      <c r="C275" s="11"/>
      <c r="D275" s="11"/>
      <c r="E275" s="74">
        <v>16170830.880000001</v>
      </c>
      <c r="F275" s="74">
        <v>93584757.885000005</v>
      </c>
      <c r="G275" s="12">
        <v>17905565</v>
      </c>
      <c r="H275" s="12"/>
      <c r="I275" s="13">
        <v>0</v>
      </c>
      <c r="J275" s="13">
        <v>0</v>
      </c>
      <c r="K275" s="13">
        <v>0</v>
      </c>
      <c r="L275" s="12">
        <v>0</v>
      </c>
      <c r="M275" s="12"/>
      <c r="N275" s="13">
        <v>4173691</v>
      </c>
      <c r="O275" s="13">
        <v>60496360</v>
      </c>
      <c r="P275" s="13">
        <v>0</v>
      </c>
      <c r="Q275" s="12">
        <v>1980301</v>
      </c>
      <c r="R275" s="12"/>
      <c r="S275" s="2">
        <v>7664495</v>
      </c>
      <c r="T275" s="2">
        <v>-522507</v>
      </c>
      <c r="U275" s="2">
        <f t="shared" si="5"/>
        <v>7141988</v>
      </c>
    </row>
    <row r="276" spans="1:21">
      <c r="A276" s="10">
        <v>39100</v>
      </c>
      <c r="B276" s="11" t="s">
        <v>258</v>
      </c>
      <c r="C276" s="11"/>
      <c r="D276" s="11"/>
      <c r="E276" s="74">
        <v>3109043.78</v>
      </c>
      <c r="F276" s="74">
        <v>15930353.856000001</v>
      </c>
      <c r="G276" s="12">
        <v>2985453</v>
      </c>
      <c r="H276" s="12"/>
      <c r="I276" s="13">
        <v>0</v>
      </c>
      <c r="J276" s="13">
        <v>0</v>
      </c>
      <c r="K276" s="13">
        <v>0</v>
      </c>
      <c r="L276" s="12">
        <v>0</v>
      </c>
      <c r="M276" s="12"/>
      <c r="N276" s="13">
        <v>695893</v>
      </c>
      <c r="O276" s="13">
        <v>10086754</v>
      </c>
      <c r="P276" s="13">
        <v>0</v>
      </c>
      <c r="Q276" s="12">
        <v>262006</v>
      </c>
      <c r="R276" s="12"/>
      <c r="S276" s="2">
        <v>1277926</v>
      </c>
      <c r="T276" s="2">
        <v>-69131</v>
      </c>
      <c r="U276" s="2">
        <f t="shared" si="5"/>
        <v>1208795</v>
      </c>
    </row>
    <row r="277" spans="1:21">
      <c r="A277" s="10">
        <v>39101</v>
      </c>
      <c r="B277" s="11" t="s">
        <v>259</v>
      </c>
      <c r="C277" s="11"/>
      <c r="D277" s="11"/>
      <c r="E277" s="74">
        <v>188497.47</v>
      </c>
      <c r="F277" s="74">
        <v>1080641.382</v>
      </c>
      <c r="G277" s="12">
        <v>209277</v>
      </c>
      <c r="H277" s="12"/>
      <c r="I277" s="13">
        <v>0</v>
      </c>
      <c r="J277" s="13">
        <v>0</v>
      </c>
      <c r="K277" s="13">
        <v>0</v>
      </c>
      <c r="L277" s="12">
        <v>0</v>
      </c>
      <c r="M277" s="12"/>
      <c r="N277" s="13">
        <v>48781</v>
      </c>
      <c r="O277" s="13">
        <v>707071</v>
      </c>
      <c r="P277" s="13">
        <v>0</v>
      </c>
      <c r="Q277" s="12">
        <v>13131</v>
      </c>
      <c r="R277" s="12"/>
      <c r="S277" s="2">
        <v>89581</v>
      </c>
      <c r="T277" s="2">
        <v>-3465</v>
      </c>
      <c r="U277" s="2">
        <f t="shared" si="5"/>
        <v>86116</v>
      </c>
    </row>
    <row r="278" spans="1:21">
      <c r="A278" s="10">
        <v>39105</v>
      </c>
      <c r="B278" s="11" t="s">
        <v>260</v>
      </c>
      <c r="C278" s="11"/>
      <c r="D278" s="11"/>
      <c r="E278" s="74">
        <v>1237756.1100000001</v>
      </c>
      <c r="F278" s="74">
        <v>6131729.1900000004</v>
      </c>
      <c r="G278" s="12">
        <v>1200559</v>
      </c>
      <c r="H278" s="12"/>
      <c r="I278" s="13">
        <v>0</v>
      </c>
      <c r="J278" s="13">
        <v>0</v>
      </c>
      <c r="K278" s="13">
        <v>0</v>
      </c>
      <c r="L278" s="12">
        <v>101895</v>
      </c>
      <c r="M278" s="12"/>
      <c r="N278" s="13">
        <v>279844</v>
      </c>
      <c r="O278" s="13">
        <v>4056250</v>
      </c>
      <c r="P278" s="13">
        <v>0</v>
      </c>
      <c r="Q278" s="12">
        <v>0</v>
      </c>
      <c r="R278" s="12"/>
      <c r="S278" s="2">
        <v>513901</v>
      </c>
      <c r="T278" s="2">
        <v>26885</v>
      </c>
      <c r="U278" s="2">
        <f t="shared" si="5"/>
        <v>540786</v>
      </c>
    </row>
    <row r="279" spans="1:21">
      <c r="A279" s="10">
        <v>39200</v>
      </c>
      <c r="B279" s="11" t="s">
        <v>261</v>
      </c>
      <c r="C279" s="11"/>
      <c r="D279" s="11"/>
      <c r="E279" s="74">
        <v>65247793.859999999</v>
      </c>
      <c r="F279" s="74">
        <v>357394817.51099998</v>
      </c>
      <c r="G279" s="12">
        <v>70058955</v>
      </c>
      <c r="H279" s="12"/>
      <c r="I279" s="13">
        <v>0</v>
      </c>
      <c r="J279" s="13">
        <v>0</v>
      </c>
      <c r="K279" s="13">
        <v>0</v>
      </c>
      <c r="L279" s="12">
        <v>757275</v>
      </c>
      <c r="M279" s="12"/>
      <c r="N279" s="13">
        <v>16330364</v>
      </c>
      <c r="O279" s="13">
        <v>236703599</v>
      </c>
      <c r="P279" s="13">
        <v>0</v>
      </c>
      <c r="Q279" s="12">
        <v>0</v>
      </c>
      <c r="R279" s="12"/>
      <c r="S279" s="2">
        <v>29988807</v>
      </c>
      <c r="T279" s="2">
        <v>199809</v>
      </c>
      <c r="U279" s="2">
        <f t="shared" si="5"/>
        <v>30188616</v>
      </c>
    </row>
    <row r="280" spans="1:21">
      <c r="A280" s="10">
        <v>39201</v>
      </c>
      <c r="B280" s="11" t="s">
        <v>262</v>
      </c>
      <c r="C280" s="11"/>
      <c r="D280" s="11"/>
      <c r="E280" s="74">
        <v>144788.78</v>
      </c>
      <c r="F280" s="74">
        <v>977434.05900000001</v>
      </c>
      <c r="G280" s="12">
        <v>192746</v>
      </c>
      <c r="H280" s="12"/>
      <c r="I280" s="13">
        <v>0</v>
      </c>
      <c r="J280" s="13">
        <v>0</v>
      </c>
      <c r="K280" s="13">
        <v>0</v>
      </c>
      <c r="L280" s="12">
        <v>0</v>
      </c>
      <c r="M280" s="12"/>
      <c r="N280" s="13">
        <v>44928</v>
      </c>
      <c r="O280" s="13">
        <v>651218</v>
      </c>
      <c r="P280" s="13">
        <v>0</v>
      </c>
      <c r="Q280" s="12">
        <v>20776</v>
      </c>
      <c r="R280" s="12"/>
      <c r="S280" s="2">
        <v>82505</v>
      </c>
      <c r="T280" s="2">
        <v>-5482</v>
      </c>
      <c r="U280" s="2">
        <f t="shared" si="5"/>
        <v>77023</v>
      </c>
    </row>
    <row r="281" spans="1:21">
      <c r="A281" s="10">
        <v>39204</v>
      </c>
      <c r="B281" s="11" t="s">
        <v>263</v>
      </c>
      <c r="C281" s="11"/>
      <c r="D281" s="11"/>
      <c r="E281" s="74">
        <v>72988.56</v>
      </c>
      <c r="F281" s="74">
        <v>321764.00699999998</v>
      </c>
      <c r="G281" s="12">
        <v>86173</v>
      </c>
      <c r="H281" s="12"/>
      <c r="I281" s="13">
        <v>0</v>
      </c>
      <c r="J281" s="13">
        <v>0</v>
      </c>
      <c r="K281" s="13">
        <v>0</v>
      </c>
      <c r="L281" s="12">
        <v>88416</v>
      </c>
      <c r="M281" s="12"/>
      <c r="N281" s="13">
        <v>20086</v>
      </c>
      <c r="O281" s="13">
        <v>291147</v>
      </c>
      <c r="P281" s="13">
        <v>0</v>
      </c>
      <c r="Q281" s="12">
        <v>0</v>
      </c>
      <c r="R281" s="12"/>
      <c r="S281" s="2">
        <v>36886</v>
      </c>
      <c r="T281" s="2">
        <v>23329</v>
      </c>
      <c r="U281" s="2">
        <f t="shared" si="5"/>
        <v>60215</v>
      </c>
    </row>
    <row r="282" spans="1:21">
      <c r="A282" s="10">
        <v>39205</v>
      </c>
      <c r="B282" s="11" t="s">
        <v>264</v>
      </c>
      <c r="C282" s="11"/>
      <c r="D282" s="11"/>
      <c r="E282" s="74">
        <v>5420806.6500000004</v>
      </c>
      <c r="F282" s="74">
        <v>25212941.906999998</v>
      </c>
      <c r="G282" s="12">
        <v>5195349</v>
      </c>
      <c r="H282" s="12"/>
      <c r="I282" s="13">
        <v>0</v>
      </c>
      <c r="J282" s="13">
        <v>0</v>
      </c>
      <c r="K282" s="13">
        <v>0</v>
      </c>
      <c r="L282" s="12">
        <v>1537785</v>
      </c>
      <c r="M282" s="12"/>
      <c r="N282" s="13">
        <v>1211008</v>
      </c>
      <c r="O282" s="13">
        <v>17553186</v>
      </c>
      <c r="P282" s="13">
        <v>0</v>
      </c>
      <c r="Q282" s="12">
        <v>0</v>
      </c>
      <c r="R282" s="12"/>
      <c r="S282" s="2">
        <v>2223874</v>
      </c>
      <c r="T282" s="2">
        <v>405748</v>
      </c>
      <c r="U282" s="2">
        <f t="shared" si="5"/>
        <v>2629622</v>
      </c>
    </row>
    <row r="283" spans="1:21">
      <c r="A283" s="10">
        <v>39208</v>
      </c>
      <c r="B283" s="11" t="s">
        <v>292</v>
      </c>
      <c r="C283" s="11"/>
      <c r="D283" s="11"/>
      <c r="E283" s="74">
        <v>362227.6</v>
      </c>
      <c r="F283" s="74">
        <v>2464833.7140000002</v>
      </c>
      <c r="G283" s="12">
        <v>452437</v>
      </c>
      <c r="H283" s="12"/>
      <c r="I283" s="13">
        <v>0</v>
      </c>
      <c r="J283" s="13">
        <v>0</v>
      </c>
      <c r="K283" s="13">
        <v>0</v>
      </c>
      <c r="L283" s="12">
        <v>0</v>
      </c>
      <c r="M283" s="12"/>
      <c r="N283" s="13">
        <v>105461</v>
      </c>
      <c r="O283" s="13">
        <v>1528620</v>
      </c>
      <c r="P283" s="13">
        <v>0</v>
      </c>
      <c r="Q283" s="12">
        <v>165964</v>
      </c>
      <c r="R283" s="12"/>
      <c r="S283" s="2">
        <v>193666</v>
      </c>
      <c r="T283" s="2">
        <v>-43790</v>
      </c>
      <c r="U283" s="2">
        <f t="shared" si="5"/>
        <v>149876</v>
      </c>
    </row>
    <row r="284" spans="1:21">
      <c r="A284" s="10">
        <v>39209</v>
      </c>
      <c r="B284" s="11" t="s">
        <v>265</v>
      </c>
      <c r="C284" s="11"/>
      <c r="D284" s="11"/>
      <c r="E284" s="74">
        <v>148832.49</v>
      </c>
      <c r="F284" s="74">
        <v>1019931.1919999999</v>
      </c>
      <c r="G284" s="12">
        <v>187587</v>
      </c>
      <c r="H284" s="12"/>
      <c r="I284" s="13">
        <v>0</v>
      </c>
      <c r="J284" s="13">
        <v>0</v>
      </c>
      <c r="K284" s="13">
        <v>0</v>
      </c>
      <c r="L284" s="12">
        <v>0</v>
      </c>
      <c r="M284" s="12"/>
      <c r="N284" s="13">
        <v>43726</v>
      </c>
      <c r="O284" s="13">
        <v>633789</v>
      </c>
      <c r="P284" s="13">
        <v>0</v>
      </c>
      <c r="Q284" s="12">
        <v>68278</v>
      </c>
      <c r="R284" s="12"/>
      <c r="S284" s="2">
        <v>80297</v>
      </c>
      <c r="T284" s="2">
        <v>-18015</v>
      </c>
      <c r="U284" s="2">
        <f t="shared" si="5"/>
        <v>62282</v>
      </c>
    </row>
    <row r="285" spans="1:21">
      <c r="A285" s="10">
        <v>39300</v>
      </c>
      <c r="B285" s="11" t="s">
        <v>266</v>
      </c>
      <c r="C285" s="11"/>
      <c r="D285" s="11"/>
      <c r="E285" s="74">
        <v>1170407.45</v>
      </c>
      <c r="F285" s="74">
        <v>5888888.4300000006</v>
      </c>
      <c r="G285" s="12">
        <v>1107938</v>
      </c>
      <c r="H285" s="12"/>
      <c r="I285" s="13">
        <v>0</v>
      </c>
      <c r="J285" s="13">
        <v>0</v>
      </c>
      <c r="K285" s="13">
        <v>0</v>
      </c>
      <c r="L285" s="12">
        <v>0</v>
      </c>
      <c r="M285" s="12"/>
      <c r="N285" s="13">
        <v>258254</v>
      </c>
      <c r="O285" s="13">
        <v>3743317</v>
      </c>
      <c r="P285" s="13">
        <v>0</v>
      </c>
      <c r="Q285" s="12">
        <v>65851</v>
      </c>
      <c r="R285" s="12"/>
      <c r="S285" s="2">
        <v>474254</v>
      </c>
      <c r="T285" s="2">
        <v>-17375</v>
      </c>
      <c r="U285" s="2">
        <f t="shared" si="5"/>
        <v>456879</v>
      </c>
    </row>
    <row r="286" spans="1:21">
      <c r="A286" s="10">
        <v>39301</v>
      </c>
      <c r="B286" s="11" t="s">
        <v>267</v>
      </c>
      <c r="C286" s="11"/>
      <c r="D286" s="11"/>
      <c r="E286" s="74">
        <v>71493.649999999994</v>
      </c>
      <c r="F286" s="74">
        <v>333906.04499999998</v>
      </c>
      <c r="G286" s="12">
        <v>83945</v>
      </c>
      <c r="H286" s="12"/>
      <c r="I286" s="13">
        <v>0</v>
      </c>
      <c r="J286" s="13">
        <v>0</v>
      </c>
      <c r="K286" s="13">
        <v>0</v>
      </c>
      <c r="L286" s="12">
        <v>70252</v>
      </c>
      <c r="M286" s="12"/>
      <c r="N286" s="13">
        <v>19567</v>
      </c>
      <c r="O286" s="13">
        <v>283621</v>
      </c>
      <c r="P286" s="13">
        <v>0</v>
      </c>
      <c r="Q286" s="12">
        <v>0</v>
      </c>
      <c r="R286" s="12"/>
      <c r="S286" s="2">
        <v>35933</v>
      </c>
      <c r="T286" s="2">
        <v>18536</v>
      </c>
      <c r="U286" s="2">
        <f t="shared" si="5"/>
        <v>54469</v>
      </c>
    </row>
    <row r="287" spans="1:21">
      <c r="A287" s="10">
        <v>39400</v>
      </c>
      <c r="B287" s="11" t="s">
        <v>268</v>
      </c>
      <c r="C287" s="11"/>
      <c r="D287" s="11"/>
      <c r="E287" s="74">
        <v>905040.4</v>
      </c>
      <c r="F287" s="74">
        <v>4006872.54</v>
      </c>
      <c r="G287" s="12">
        <v>838750</v>
      </c>
      <c r="H287" s="12"/>
      <c r="I287" s="13">
        <v>0</v>
      </c>
      <c r="J287" s="13">
        <v>0</v>
      </c>
      <c r="K287" s="13">
        <v>0</v>
      </c>
      <c r="L287" s="12">
        <v>322211</v>
      </c>
      <c r="M287" s="12"/>
      <c r="N287" s="13">
        <v>195508</v>
      </c>
      <c r="O287" s="13">
        <v>2833830</v>
      </c>
      <c r="P287" s="13">
        <v>0</v>
      </c>
      <c r="Q287" s="12">
        <v>0</v>
      </c>
      <c r="R287" s="12"/>
      <c r="S287" s="2">
        <v>359028</v>
      </c>
      <c r="T287" s="2">
        <v>85016</v>
      </c>
      <c r="U287" s="2">
        <f t="shared" si="5"/>
        <v>444044</v>
      </c>
    </row>
    <row r="288" spans="1:21">
      <c r="A288" s="10">
        <v>39401</v>
      </c>
      <c r="B288" s="11" t="s">
        <v>269</v>
      </c>
      <c r="C288" s="11"/>
      <c r="D288" s="11"/>
      <c r="E288" s="74">
        <v>98836.62</v>
      </c>
      <c r="F288" s="74">
        <v>485681.52</v>
      </c>
      <c r="G288" s="12">
        <v>130256</v>
      </c>
      <c r="H288" s="12"/>
      <c r="I288" s="13">
        <v>0</v>
      </c>
      <c r="J288" s="13">
        <v>0</v>
      </c>
      <c r="K288" s="13">
        <v>0</v>
      </c>
      <c r="L288" s="12">
        <v>125097</v>
      </c>
      <c r="M288" s="12"/>
      <c r="N288" s="13">
        <v>30362</v>
      </c>
      <c r="O288" s="13">
        <v>440087</v>
      </c>
      <c r="P288" s="13">
        <v>0</v>
      </c>
      <c r="Q288" s="12">
        <v>0</v>
      </c>
      <c r="R288" s="12"/>
      <c r="S288" s="2">
        <v>55756</v>
      </c>
      <c r="T288" s="2">
        <v>33007</v>
      </c>
      <c r="U288" s="2">
        <f t="shared" si="5"/>
        <v>88763</v>
      </c>
    </row>
    <row r="289" spans="1:21">
      <c r="A289" s="10">
        <v>39500</v>
      </c>
      <c r="B289" s="11" t="s">
        <v>270</v>
      </c>
      <c r="C289" s="11"/>
      <c r="D289" s="11"/>
      <c r="E289" s="74">
        <v>2216040.19</v>
      </c>
      <c r="F289" s="74">
        <v>11771705.841</v>
      </c>
      <c r="G289" s="12">
        <v>2309083</v>
      </c>
      <c r="H289" s="12"/>
      <c r="I289" s="13">
        <v>0</v>
      </c>
      <c r="J289" s="13">
        <v>0</v>
      </c>
      <c r="K289" s="13">
        <v>0</v>
      </c>
      <c r="L289" s="12">
        <v>82917</v>
      </c>
      <c r="M289" s="12"/>
      <c r="N289" s="13">
        <v>538235</v>
      </c>
      <c r="O289" s="13">
        <v>7801548</v>
      </c>
      <c r="P289" s="13">
        <v>0</v>
      </c>
      <c r="Q289" s="12">
        <v>0</v>
      </c>
      <c r="R289" s="12"/>
      <c r="S289" s="2">
        <v>988405</v>
      </c>
      <c r="T289" s="2">
        <v>21878</v>
      </c>
      <c r="U289" s="2">
        <f t="shared" si="5"/>
        <v>1010283</v>
      </c>
    </row>
    <row r="290" spans="1:21">
      <c r="A290" s="10">
        <v>39501</v>
      </c>
      <c r="B290" s="11" t="s">
        <v>271</v>
      </c>
      <c r="C290" s="11"/>
      <c r="D290" s="11"/>
      <c r="E290" s="74">
        <v>70139.55</v>
      </c>
      <c r="F290" s="74">
        <v>400687.25400000002</v>
      </c>
      <c r="G290" s="12">
        <v>82890</v>
      </c>
      <c r="H290" s="12"/>
      <c r="I290" s="13">
        <v>0</v>
      </c>
      <c r="J290" s="13">
        <v>0</v>
      </c>
      <c r="K290" s="13">
        <v>0</v>
      </c>
      <c r="L290" s="12">
        <v>12848</v>
      </c>
      <c r="M290" s="12"/>
      <c r="N290" s="13">
        <v>19321</v>
      </c>
      <c r="O290" s="13">
        <v>280056</v>
      </c>
      <c r="P290" s="13">
        <v>0</v>
      </c>
      <c r="Q290" s="12">
        <v>0</v>
      </c>
      <c r="R290" s="12"/>
      <c r="S290" s="2">
        <v>35481</v>
      </c>
      <c r="T290" s="2">
        <v>3390</v>
      </c>
      <c r="U290" s="2">
        <f t="shared" si="5"/>
        <v>38871</v>
      </c>
    </row>
    <row r="291" spans="1:21">
      <c r="A291" s="10">
        <v>39600</v>
      </c>
      <c r="B291" s="11" t="s">
        <v>272</v>
      </c>
      <c r="C291" s="11"/>
      <c r="D291" s="11"/>
      <c r="E291" s="74">
        <v>7515775.9900000002</v>
      </c>
      <c r="F291" s="74">
        <v>40949023.155000001</v>
      </c>
      <c r="G291" s="12">
        <v>7592598</v>
      </c>
      <c r="H291" s="12"/>
      <c r="I291" s="13">
        <v>0</v>
      </c>
      <c r="J291" s="13">
        <v>0</v>
      </c>
      <c r="K291" s="13">
        <v>0</v>
      </c>
      <c r="L291" s="12">
        <v>0</v>
      </c>
      <c r="M291" s="12"/>
      <c r="N291" s="13">
        <v>1769794</v>
      </c>
      <c r="O291" s="13">
        <v>25652615</v>
      </c>
      <c r="P291" s="13">
        <v>0</v>
      </c>
      <c r="Q291" s="12">
        <v>1319981</v>
      </c>
      <c r="R291" s="12"/>
      <c r="S291" s="2">
        <v>3250019</v>
      </c>
      <c r="T291" s="2">
        <v>-348280</v>
      </c>
      <c r="U291" s="2">
        <f t="shared" si="5"/>
        <v>2901739</v>
      </c>
    </row>
    <row r="292" spans="1:21">
      <c r="A292" s="10">
        <v>39605</v>
      </c>
      <c r="B292" s="11" t="s">
        <v>273</v>
      </c>
      <c r="C292" s="11"/>
      <c r="D292" s="11"/>
      <c r="E292" s="74">
        <v>1145329.7</v>
      </c>
      <c r="F292" s="74">
        <v>5524627.29</v>
      </c>
      <c r="G292" s="12">
        <v>1094103</v>
      </c>
      <c r="H292" s="12"/>
      <c r="I292" s="13">
        <v>0</v>
      </c>
      <c r="J292" s="13">
        <v>0</v>
      </c>
      <c r="K292" s="13">
        <v>0</v>
      </c>
      <c r="L292" s="12">
        <v>156726</v>
      </c>
      <c r="M292" s="12"/>
      <c r="N292" s="13">
        <v>255030</v>
      </c>
      <c r="O292" s="13">
        <v>3696575</v>
      </c>
      <c r="P292" s="13">
        <v>0</v>
      </c>
      <c r="Q292" s="12">
        <v>0</v>
      </c>
      <c r="R292" s="12"/>
      <c r="S292" s="2">
        <v>468332</v>
      </c>
      <c r="T292" s="2">
        <v>41352</v>
      </c>
      <c r="U292" s="2">
        <f t="shared" si="5"/>
        <v>509684</v>
      </c>
    </row>
    <row r="293" spans="1:21">
      <c r="A293" s="10">
        <v>39700</v>
      </c>
      <c r="B293" s="11" t="s">
        <v>274</v>
      </c>
      <c r="C293" s="11"/>
      <c r="D293" s="11"/>
      <c r="E293" s="74">
        <v>4215047.04</v>
      </c>
      <c r="F293" s="74">
        <v>23385565.188000001</v>
      </c>
      <c r="G293" s="12">
        <v>4471731</v>
      </c>
      <c r="H293" s="12"/>
      <c r="I293" s="13">
        <v>0</v>
      </c>
      <c r="J293" s="13">
        <v>0</v>
      </c>
      <c r="K293" s="13">
        <v>0</v>
      </c>
      <c r="L293" s="12">
        <v>0</v>
      </c>
      <c r="M293" s="12"/>
      <c r="N293" s="13">
        <v>1042336</v>
      </c>
      <c r="O293" s="13">
        <v>15108344</v>
      </c>
      <c r="P293" s="13">
        <v>0</v>
      </c>
      <c r="Q293" s="12">
        <v>365736</v>
      </c>
      <c r="R293" s="12"/>
      <c r="S293" s="2">
        <v>1914129</v>
      </c>
      <c r="T293" s="2">
        <v>-96500</v>
      </c>
      <c r="U293" s="2">
        <f t="shared" si="5"/>
        <v>1817629</v>
      </c>
    </row>
    <row r="294" spans="1:21">
      <c r="A294" s="10">
        <v>39703</v>
      </c>
      <c r="B294" s="11" t="s">
        <v>275</v>
      </c>
      <c r="C294" s="11"/>
      <c r="D294" s="11"/>
      <c r="E294" s="74">
        <v>66730.44</v>
      </c>
      <c r="F294" s="74"/>
      <c r="G294" s="12">
        <v>75504</v>
      </c>
      <c r="H294" s="12"/>
      <c r="I294" s="13">
        <v>0</v>
      </c>
      <c r="J294" s="13">
        <v>0</v>
      </c>
      <c r="K294" s="13">
        <v>0</v>
      </c>
      <c r="L294" s="12">
        <v>302737</v>
      </c>
      <c r="M294" s="12"/>
      <c r="N294" s="13">
        <v>17600</v>
      </c>
      <c r="O294" s="13">
        <v>255100</v>
      </c>
      <c r="P294" s="13">
        <v>0</v>
      </c>
      <c r="Q294" s="12">
        <v>0</v>
      </c>
      <c r="R294" s="12"/>
      <c r="S294" s="2">
        <v>32320</v>
      </c>
      <c r="T294" s="2">
        <v>79878</v>
      </c>
      <c r="U294" s="2">
        <f t="shared" si="5"/>
        <v>112198</v>
      </c>
    </row>
    <row r="295" spans="1:21">
      <c r="A295" s="10">
        <v>39705</v>
      </c>
      <c r="B295" s="11" t="s">
        <v>276</v>
      </c>
      <c r="C295" s="11"/>
      <c r="D295" s="11"/>
      <c r="E295" s="74">
        <v>1099310.3799999999</v>
      </c>
      <c r="F295" s="74">
        <v>5178579.2070000004</v>
      </c>
      <c r="G295" s="12">
        <v>1039937</v>
      </c>
      <c r="H295" s="12"/>
      <c r="I295" s="13">
        <v>0</v>
      </c>
      <c r="J295" s="13">
        <v>0</v>
      </c>
      <c r="K295" s="13">
        <v>0</v>
      </c>
      <c r="L295" s="12">
        <v>214815</v>
      </c>
      <c r="M295" s="12"/>
      <c r="N295" s="13">
        <v>242404</v>
      </c>
      <c r="O295" s="13">
        <v>3513568</v>
      </c>
      <c r="P295" s="13">
        <v>0</v>
      </c>
      <c r="Q295" s="12">
        <v>0</v>
      </c>
      <c r="R295" s="12"/>
      <c r="S295" s="2">
        <v>445146</v>
      </c>
      <c r="T295" s="2">
        <v>56679</v>
      </c>
      <c r="U295" s="2">
        <f t="shared" si="5"/>
        <v>501825</v>
      </c>
    </row>
    <row r="296" spans="1:21">
      <c r="A296" s="10">
        <v>39800</v>
      </c>
      <c r="B296" s="11" t="s">
        <v>277</v>
      </c>
      <c r="C296" s="11"/>
      <c r="D296" s="11"/>
      <c r="E296" s="74">
        <v>4872138.66</v>
      </c>
      <c r="F296" s="74">
        <v>27501716.07</v>
      </c>
      <c r="G296" s="12">
        <v>5104604</v>
      </c>
      <c r="H296" s="12"/>
      <c r="I296" s="13">
        <v>0</v>
      </c>
      <c r="J296" s="13">
        <v>0</v>
      </c>
      <c r="K296" s="13">
        <v>0</v>
      </c>
      <c r="L296" s="12">
        <v>0</v>
      </c>
      <c r="M296" s="12"/>
      <c r="N296" s="13">
        <v>1189856</v>
      </c>
      <c r="O296" s="13">
        <v>17246590</v>
      </c>
      <c r="P296" s="13">
        <v>0</v>
      </c>
      <c r="Q296" s="12">
        <v>1007680</v>
      </c>
      <c r="R296" s="12"/>
      <c r="S296" s="2">
        <v>2185031</v>
      </c>
      <c r="T296" s="2">
        <v>-265879</v>
      </c>
      <c r="U296" s="2">
        <f t="shared" si="5"/>
        <v>1919152</v>
      </c>
    </row>
    <row r="297" spans="1:21">
      <c r="A297" s="10">
        <v>39805</v>
      </c>
      <c r="B297" s="11" t="s">
        <v>278</v>
      </c>
      <c r="C297" s="11"/>
      <c r="D297" s="11"/>
      <c r="E297" s="74">
        <v>627967.97</v>
      </c>
      <c r="F297" s="74">
        <v>3132645.804</v>
      </c>
      <c r="G297" s="12">
        <v>575893</v>
      </c>
      <c r="H297" s="12"/>
      <c r="I297" s="13">
        <v>0</v>
      </c>
      <c r="J297" s="13">
        <v>0</v>
      </c>
      <c r="K297" s="13">
        <v>0</v>
      </c>
      <c r="L297" s="12">
        <v>0</v>
      </c>
      <c r="M297" s="12"/>
      <c r="N297" s="13">
        <v>134238</v>
      </c>
      <c r="O297" s="13">
        <v>1945733</v>
      </c>
      <c r="P297" s="13">
        <v>0</v>
      </c>
      <c r="Q297" s="12">
        <v>75425</v>
      </c>
      <c r="R297" s="12"/>
      <c r="S297" s="2">
        <v>246512</v>
      </c>
      <c r="T297" s="2">
        <v>-19901</v>
      </c>
      <c r="U297" s="2">
        <f t="shared" si="5"/>
        <v>226611</v>
      </c>
    </row>
    <row r="298" spans="1:21">
      <c r="A298" s="10">
        <v>39900</v>
      </c>
      <c r="B298" s="11" t="s">
        <v>279</v>
      </c>
      <c r="C298" s="11"/>
      <c r="D298" s="11"/>
      <c r="E298" s="74">
        <v>2458394.2400000002</v>
      </c>
      <c r="F298" s="74">
        <v>13447307.084999999</v>
      </c>
      <c r="G298" s="12">
        <v>2484243</v>
      </c>
      <c r="H298" s="12"/>
      <c r="I298" s="13">
        <v>0</v>
      </c>
      <c r="J298" s="13">
        <v>0</v>
      </c>
      <c r="K298" s="13">
        <v>0</v>
      </c>
      <c r="L298" s="12">
        <v>0</v>
      </c>
      <c r="M298" s="12"/>
      <c r="N298" s="13">
        <v>579064</v>
      </c>
      <c r="O298" s="13">
        <v>8393349</v>
      </c>
      <c r="P298" s="13">
        <v>0</v>
      </c>
      <c r="Q298" s="12">
        <v>471290</v>
      </c>
      <c r="R298" s="12"/>
      <c r="S298" s="2">
        <v>1063383</v>
      </c>
      <c r="T298" s="2">
        <v>-124351</v>
      </c>
      <c r="U298" s="2">
        <f t="shared" si="5"/>
        <v>939032</v>
      </c>
    </row>
    <row r="299" spans="1:21">
      <c r="A299" s="10">
        <v>51000</v>
      </c>
      <c r="B299" s="11" t="s">
        <v>280</v>
      </c>
      <c r="C299" s="11"/>
      <c r="D299" s="11"/>
      <c r="E299" s="74">
        <v>47258281.270000003</v>
      </c>
      <c r="F299" s="74">
        <v>222551414.502</v>
      </c>
      <c r="G299" s="12">
        <v>43412288</v>
      </c>
      <c r="H299" s="12"/>
      <c r="I299" s="13">
        <v>0</v>
      </c>
      <c r="J299" s="13">
        <v>0</v>
      </c>
      <c r="K299" s="13">
        <v>0</v>
      </c>
      <c r="L299" s="12">
        <v>5008417</v>
      </c>
      <c r="M299" s="12"/>
      <c r="N299" s="13">
        <v>10119170</v>
      </c>
      <c r="O299" s="13">
        <v>146674251</v>
      </c>
      <c r="P299" s="13">
        <v>0</v>
      </c>
      <c r="Q299" s="12">
        <v>0</v>
      </c>
      <c r="R299" s="12"/>
      <c r="S299" s="2">
        <v>18582674</v>
      </c>
      <c r="T299" s="2">
        <v>1321482</v>
      </c>
      <c r="U299" s="2">
        <f t="shared" si="5"/>
        <v>19904156</v>
      </c>
    </row>
    <row r="301" spans="1:21">
      <c r="B301" s="14" t="s">
        <v>293</v>
      </c>
      <c r="C301" s="14"/>
      <c r="D301" s="14"/>
      <c r="E301" s="2">
        <f>SUM(E6:E299)</f>
        <v>1165987064.8400004</v>
      </c>
      <c r="F301" s="2">
        <f>SUM(F6:F299)</f>
        <v>6071018999.9999981</v>
      </c>
      <c r="G301" s="2">
        <f>SUM(G6:G299)</f>
        <v>1172421109</v>
      </c>
      <c r="H301" s="4"/>
      <c r="I301" s="2">
        <f>SUM(I6:I299)</f>
        <v>0</v>
      </c>
      <c r="J301" s="2">
        <f>SUM(J6:J299)</f>
        <v>0</v>
      </c>
      <c r="K301" s="2">
        <f>SUM(K6:K299)</f>
        <v>0</v>
      </c>
      <c r="L301" s="2">
        <f>SUM(L6:L299)</f>
        <v>57864283</v>
      </c>
      <c r="M301" s="4"/>
      <c r="N301" s="2">
        <f>SUM(N6:N299)</f>
        <v>273285034</v>
      </c>
      <c r="O301" s="2">
        <f>SUM(O6:O299)</f>
        <v>3961182394</v>
      </c>
      <c r="P301" s="2">
        <f>SUM(P6:P299)</f>
        <v>0</v>
      </c>
      <c r="Q301" s="2">
        <f>SUM(Q6:Q299)</f>
        <v>57863892</v>
      </c>
      <c r="R301" s="4"/>
      <c r="S301" s="2">
        <f>SUM(S6:S299)</f>
        <v>501856048</v>
      </c>
      <c r="T301" s="2">
        <f>SUM(T6:T299)</f>
        <v>103</v>
      </c>
      <c r="U301" s="2">
        <f>SUM(U6:U299)</f>
        <v>501856151</v>
      </c>
    </row>
    <row r="302" spans="1:21">
      <c r="A302" s="10"/>
      <c r="B302" s="11"/>
      <c r="C302" s="11"/>
      <c r="D302" s="11"/>
      <c r="E302" s="15"/>
      <c r="F302" s="15"/>
      <c r="G302" s="12"/>
      <c r="H302" s="12"/>
      <c r="I302" s="13"/>
      <c r="J302" s="13"/>
      <c r="K302" s="13"/>
      <c r="L302" s="12"/>
      <c r="M302" s="12"/>
      <c r="N302" s="13"/>
      <c r="O302" s="13"/>
      <c r="P302" s="13"/>
      <c r="Q302" s="12"/>
      <c r="R302" s="12"/>
      <c r="S302" s="2"/>
      <c r="T302" s="2"/>
      <c r="U302" s="2"/>
    </row>
    <row r="304" spans="1:21" hidden="1">
      <c r="B304" s="11" t="s">
        <v>131</v>
      </c>
      <c r="C304" s="11"/>
      <c r="D304" s="11"/>
      <c r="E304" s="10">
        <v>33501</v>
      </c>
      <c r="F304" s="16"/>
      <c r="G304" s="2"/>
      <c r="H304" s="4"/>
      <c r="I304" s="2"/>
      <c r="J304" s="2"/>
      <c r="K304" s="2"/>
      <c r="L304" s="2"/>
      <c r="M304" s="4"/>
      <c r="N304" s="2"/>
      <c r="O304" s="2"/>
      <c r="P304" s="2"/>
      <c r="Q304" s="2"/>
      <c r="R304" s="4"/>
      <c r="S304" s="2"/>
      <c r="T304" s="2"/>
      <c r="U304" s="2"/>
    </row>
    <row r="305" spans="2:5" hidden="1">
      <c r="B305" s="11" t="s">
        <v>191</v>
      </c>
      <c r="C305" s="11"/>
      <c r="D305" s="11"/>
      <c r="E305" s="10">
        <v>36301</v>
      </c>
    </row>
    <row r="306" spans="2:5" hidden="1">
      <c r="B306" s="11" t="s">
        <v>4</v>
      </c>
      <c r="C306" s="11"/>
      <c r="D306" s="11"/>
      <c r="E306" s="10">
        <v>10800</v>
      </c>
    </row>
    <row r="307" spans="2:5" hidden="1">
      <c r="B307" s="11" t="s">
        <v>58</v>
      </c>
      <c r="C307" s="11"/>
      <c r="D307" s="11"/>
      <c r="E307" s="10">
        <v>30105</v>
      </c>
    </row>
    <row r="308" spans="2:5" hidden="1">
      <c r="B308" s="11" t="s">
        <v>54</v>
      </c>
      <c r="C308" s="11"/>
      <c r="D308" s="11"/>
      <c r="E308" s="10">
        <v>30100</v>
      </c>
    </row>
    <row r="309" spans="2:5" hidden="1">
      <c r="B309" s="11" t="s">
        <v>59</v>
      </c>
      <c r="C309" s="11"/>
      <c r="D309" s="11"/>
      <c r="E309" s="10">
        <v>30200</v>
      </c>
    </row>
    <row r="310" spans="2:5" hidden="1">
      <c r="B310" s="11" t="s">
        <v>60</v>
      </c>
      <c r="C310" s="11"/>
      <c r="D310" s="11"/>
      <c r="E310" s="10">
        <v>30300</v>
      </c>
    </row>
    <row r="311" spans="2:5" hidden="1">
      <c r="B311" s="11" t="s">
        <v>290</v>
      </c>
      <c r="C311" s="11"/>
      <c r="D311" s="11"/>
      <c r="E311" s="10">
        <v>34901</v>
      </c>
    </row>
    <row r="312" spans="2:5" hidden="1">
      <c r="B312" s="11" t="s">
        <v>61</v>
      </c>
      <c r="C312" s="11"/>
      <c r="D312" s="11"/>
      <c r="E312" s="10">
        <v>30400</v>
      </c>
    </row>
    <row r="313" spans="2:5" hidden="1">
      <c r="B313" s="11" t="s">
        <v>33</v>
      </c>
      <c r="C313" s="11"/>
      <c r="D313" s="11"/>
      <c r="E313" s="10">
        <v>20100</v>
      </c>
    </row>
    <row r="314" spans="2:5" hidden="1">
      <c r="B314" s="11" t="s">
        <v>210</v>
      </c>
      <c r="C314" s="11"/>
      <c r="D314" s="11"/>
      <c r="E314" s="10">
        <v>36901</v>
      </c>
    </row>
    <row r="315" spans="2:5" hidden="1">
      <c r="B315" s="11" t="s">
        <v>128</v>
      </c>
      <c r="C315" s="11"/>
      <c r="D315" s="11"/>
      <c r="E315" s="10">
        <v>33402</v>
      </c>
    </row>
    <row r="316" spans="2:5" hidden="1">
      <c r="B316" s="11" t="s">
        <v>63</v>
      </c>
      <c r="C316" s="11"/>
      <c r="D316" s="11"/>
      <c r="E316" s="10">
        <v>30500</v>
      </c>
    </row>
    <row r="317" spans="2:5" hidden="1">
      <c r="B317" s="11" t="s">
        <v>225</v>
      </c>
      <c r="C317" s="11"/>
      <c r="D317" s="11"/>
      <c r="E317" s="10">
        <v>37610</v>
      </c>
    </row>
    <row r="318" spans="2:5" hidden="1">
      <c r="B318" s="11" t="s">
        <v>77</v>
      </c>
      <c r="C318" s="11"/>
      <c r="D318" s="11"/>
      <c r="E318" s="10">
        <v>31110</v>
      </c>
    </row>
    <row r="319" spans="2:5" hidden="1">
      <c r="B319" s="11" t="s">
        <v>76</v>
      </c>
      <c r="C319" s="11"/>
      <c r="D319" s="11"/>
      <c r="E319" s="10">
        <v>31105</v>
      </c>
    </row>
    <row r="320" spans="2:5" hidden="1">
      <c r="B320" s="11" t="s">
        <v>64</v>
      </c>
      <c r="C320" s="11"/>
      <c r="D320" s="11"/>
      <c r="E320" s="10">
        <v>30600</v>
      </c>
    </row>
    <row r="321" spans="2:5" hidden="1">
      <c r="B321" s="11" t="s">
        <v>26</v>
      </c>
      <c r="C321" s="11"/>
      <c r="D321" s="11"/>
      <c r="E321" s="10">
        <v>18600</v>
      </c>
    </row>
    <row r="322" spans="2:5" hidden="1">
      <c r="B322" s="11" t="s">
        <v>124</v>
      </c>
      <c r="C322" s="11"/>
      <c r="D322" s="11"/>
      <c r="E322" s="10">
        <v>33206</v>
      </c>
    </row>
    <row r="323" spans="2:5" hidden="1">
      <c r="B323" s="11" t="s">
        <v>67</v>
      </c>
      <c r="C323" s="11"/>
      <c r="D323" s="11"/>
      <c r="E323" s="10">
        <v>30705</v>
      </c>
    </row>
    <row r="324" spans="2:5" hidden="1">
      <c r="B324" s="11" t="s">
        <v>66</v>
      </c>
      <c r="C324" s="11"/>
      <c r="D324" s="11"/>
      <c r="E324" s="10">
        <v>30700</v>
      </c>
    </row>
    <row r="325" spans="2:5" hidden="1">
      <c r="B325" s="11" t="s">
        <v>68</v>
      </c>
      <c r="C325" s="11"/>
      <c r="D325" s="11"/>
      <c r="E325" s="10">
        <v>30800</v>
      </c>
    </row>
    <row r="326" spans="2:5" hidden="1">
      <c r="B326" s="11" t="s">
        <v>232</v>
      </c>
      <c r="C326" s="11"/>
      <c r="D326" s="11"/>
      <c r="E326" s="10">
        <v>37901</v>
      </c>
    </row>
    <row r="327" spans="2:5" hidden="1">
      <c r="B327" s="11" t="s">
        <v>70</v>
      </c>
      <c r="C327" s="11"/>
      <c r="D327" s="11"/>
      <c r="E327" s="10">
        <v>30905</v>
      </c>
    </row>
    <row r="328" spans="2:5" hidden="1">
      <c r="B328" s="11" t="s">
        <v>69</v>
      </c>
      <c r="C328" s="11"/>
      <c r="D328" s="11"/>
      <c r="E328" s="10">
        <v>30900</v>
      </c>
    </row>
    <row r="329" spans="2:5" hidden="1">
      <c r="B329" s="11" t="s">
        <v>149</v>
      </c>
      <c r="C329" s="11"/>
      <c r="D329" s="11"/>
      <c r="E329" s="10">
        <v>34505</v>
      </c>
    </row>
    <row r="330" spans="2:5" hidden="1">
      <c r="B330" s="11" t="s">
        <v>255</v>
      </c>
      <c r="C330" s="11"/>
      <c r="D330" s="11"/>
      <c r="E330" s="10">
        <v>38801</v>
      </c>
    </row>
    <row r="331" spans="2:5" hidden="1">
      <c r="B331" s="11" t="s">
        <v>247</v>
      </c>
      <c r="C331" s="11"/>
      <c r="D331" s="11"/>
      <c r="E331" s="10">
        <v>38601</v>
      </c>
    </row>
    <row r="332" spans="2:5" hidden="1">
      <c r="B332" s="11" t="s">
        <v>72</v>
      </c>
      <c r="C332" s="11"/>
      <c r="D332" s="11"/>
      <c r="E332" s="10">
        <v>31005</v>
      </c>
    </row>
    <row r="333" spans="2:5" hidden="1">
      <c r="B333" s="11" t="s">
        <v>71</v>
      </c>
      <c r="C333" s="11"/>
      <c r="D333" s="11"/>
      <c r="E333" s="10">
        <v>31000</v>
      </c>
    </row>
    <row r="334" spans="2:5" hidden="1">
      <c r="B334" s="11" t="s">
        <v>73</v>
      </c>
      <c r="C334" s="11"/>
      <c r="D334" s="11"/>
      <c r="E334" s="10">
        <v>31100</v>
      </c>
    </row>
    <row r="335" spans="2:5" hidden="1">
      <c r="B335" s="11" t="s">
        <v>78</v>
      </c>
      <c r="C335" s="11"/>
      <c r="D335" s="11"/>
      <c r="E335" s="10">
        <v>31200</v>
      </c>
    </row>
    <row r="336" spans="2:5" hidden="1">
      <c r="B336" s="11" t="s">
        <v>80</v>
      </c>
      <c r="C336" s="11"/>
      <c r="D336" s="11"/>
      <c r="E336" s="10">
        <v>31300</v>
      </c>
    </row>
    <row r="337" spans="2:5" hidden="1">
      <c r="B337" s="11" t="s">
        <v>84</v>
      </c>
      <c r="C337" s="11"/>
      <c r="D337" s="11"/>
      <c r="E337" s="10">
        <v>31405</v>
      </c>
    </row>
    <row r="338" spans="2:5" hidden="1">
      <c r="B338" s="11" t="s">
        <v>83</v>
      </c>
      <c r="C338" s="11"/>
      <c r="D338" s="11"/>
      <c r="E338" s="10">
        <v>31400</v>
      </c>
    </row>
    <row r="339" spans="2:5" hidden="1">
      <c r="B339" s="11" t="s">
        <v>85</v>
      </c>
      <c r="C339" s="11"/>
      <c r="D339" s="11"/>
      <c r="E339" s="10">
        <v>31500</v>
      </c>
    </row>
    <row r="340" spans="2:5" hidden="1">
      <c r="B340" s="11" t="s">
        <v>199</v>
      </c>
      <c r="C340" s="11"/>
      <c r="D340" s="11"/>
      <c r="E340" s="10">
        <v>36505</v>
      </c>
    </row>
    <row r="341" spans="2:5" hidden="1">
      <c r="B341" s="11" t="s">
        <v>197</v>
      </c>
      <c r="C341" s="11"/>
      <c r="D341" s="11"/>
      <c r="E341" s="10">
        <v>36501</v>
      </c>
    </row>
    <row r="342" spans="2:5" hidden="1">
      <c r="B342" s="11" t="s">
        <v>286</v>
      </c>
      <c r="C342" s="11"/>
      <c r="D342" s="11"/>
      <c r="E342" s="10">
        <v>31601</v>
      </c>
    </row>
    <row r="343" spans="2:5" hidden="1">
      <c r="B343" s="11" t="s">
        <v>81</v>
      </c>
      <c r="C343" s="11"/>
      <c r="D343" s="11"/>
      <c r="E343" s="10">
        <v>31301</v>
      </c>
    </row>
    <row r="344" spans="2:5" hidden="1">
      <c r="B344" s="11" t="s">
        <v>87</v>
      </c>
      <c r="C344" s="11"/>
      <c r="D344" s="11"/>
      <c r="E344" s="10">
        <v>31605</v>
      </c>
    </row>
    <row r="345" spans="2:5" hidden="1">
      <c r="B345" s="11" t="s">
        <v>86</v>
      </c>
      <c r="C345" s="11"/>
      <c r="D345" s="11"/>
      <c r="E345" s="10">
        <v>31600</v>
      </c>
    </row>
    <row r="346" spans="2:5" hidden="1">
      <c r="B346" s="11" t="s">
        <v>265</v>
      </c>
      <c r="C346" s="11"/>
      <c r="D346" s="11"/>
      <c r="E346" s="10">
        <v>39209</v>
      </c>
    </row>
    <row r="347" spans="2:5" hidden="1">
      <c r="B347" s="11" t="s">
        <v>88</v>
      </c>
      <c r="C347" s="11"/>
      <c r="D347" s="11"/>
      <c r="E347" s="10">
        <v>31700</v>
      </c>
    </row>
    <row r="348" spans="2:5" hidden="1">
      <c r="B348" s="11" t="s">
        <v>89</v>
      </c>
      <c r="C348" s="11"/>
      <c r="D348" s="11"/>
      <c r="E348" s="10">
        <v>31800</v>
      </c>
    </row>
    <row r="349" spans="2:5" hidden="1">
      <c r="B349" s="11" t="s">
        <v>90</v>
      </c>
      <c r="C349" s="11"/>
      <c r="D349" s="11"/>
      <c r="E349" s="10">
        <v>31805</v>
      </c>
    </row>
    <row r="350" spans="2:5" hidden="1">
      <c r="B350" s="11" t="s">
        <v>164</v>
      </c>
      <c r="C350" s="11"/>
      <c r="D350" s="11"/>
      <c r="E350" s="10">
        <v>35305</v>
      </c>
    </row>
    <row r="351" spans="2:5" hidden="1">
      <c r="B351" s="11" t="s">
        <v>120</v>
      </c>
      <c r="C351" s="11"/>
      <c r="D351" s="11"/>
      <c r="E351" s="10">
        <v>33202</v>
      </c>
    </row>
    <row r="352" spans="2:5" hidden="1">
      <c r="B352" s="11" t="s">
        <v>180</v>
      </c>
      <c r="C352" s="11"/>
      <c r="D352" s="11"/>
      <c r="E352" s="10">
        <v>36005</v>
      </c>
    </row>
    <row r="353" spans="2:5" hidden="1">
      <c r="B353" s="11" t="s">
        <v>208</v>
      </c>
      <c r="C353" s="11"/>
      <c r="D353" s="11"/>
      <c r="E353" s="10">
        <v>36810</v>
      </c>
    </row>
    <row r="354" spans="2:5" hidden="1">
      <c r="B354" s="11" t="s">
        <v>184</v>
      </c>
      <c r="C354" s="11"/>
      <c r="D354" s="11"/>
      <c r="E354" s="10">
        <v>36009</v>
      </c>
    </row>
    <row r="355" spans="2:5" hidden="1">
      <c r="B355" s="11" t="s">
        <v>176</v>
      </c>
      <c r="C355" s="11"/>
      <c r="D355" s="11"/>
      <c r="E355" s="10">
        <v>36000</v>
      </c>
    </row>
    <row r="356" spans="2:5" hidden="1">
      <c r="B356" s="11" t="s">
        <v>93</v>
      </c>
      <c r="C356" s="11"/>
      <c r="D356" s="11"/>
      <c r="E356" s="10">
        <v>31900</v>
      </c>
    </row>
    <row r="357" spans="2:5" hidden="1">
      <c r="B357" s="11" t="s">
        <v>94</v>
      </c>
      <c r="C357" s="11"/>
      <c r="D357" s="11"/>
      <c r="E357" s="10">
        <v>32000</v>
      </c>
    </row>
    <row r="358" spans="2:5" hidden="1">
      <c r="B358" s="11" t="s">
        <v>166</v>
      </c>
      <c r="C358" s="11"/>
      <c r="D358" s="11"/>
      <c r="E358" s="10">
        <v>35401</v>
      </c>
    </row>
    <row r="359" spans="2:5" hidden="1">
      <c r="B359" s="11" t="s">
        <v>97</v>
      </c>
      <c r="C359" s="11"/>
      <c r="D359" s="11"/>
      <c r="E359" s="10">
        <v>32200</v>
      </c>
    </row>
    <row r="360" spans="2:5" hidden="1">
      <c r="B360" s="11" t="s">
        <v>98</v>
      </c>
      <c r="C360" s="11"/>
      <c r="D360" s="11"/>
      <c r="E360" s="10">
        <v>32300</v>
      </c>
    </row>
    <row r="361" spans="2:5" hidden="1">
      <c r="B361" s="11" t="s">
        <v>99</v>
      </c>
      <c r="C361" s="11"/>
      <c r="D361" s="11"/>
      <c r="E361" s="10">
        <v>32305</v>
      </c>
    </row>
    <row r="362" spans="2:5" hidden="1">
      <c r="B362" s="11" t="s">
        <v>240</v>
      </c>
      <c r="C362" s="11"/>
      <c r="D362" s="11"/>
      <c r="E362" s="10">
        <v>38210</v>
      </c>
    </row>
    <row r="363" spans="2:5" hidden="1">
      <c r="B363" s="11" t="s">
        <v>55</v>
      </c>
      <c r="C363" s="11"/>
      <c r="D363" s="11"/>
      <c r="E363" s="10">
        <v>30102</v>
      </c>
    </row>
    <row r="364" spans="2:5" hidden="1">
      <c r="B364" s="11" t="s">
        <v>204</v>
      </c>
      <c r="C364" s="11"/>
      <c r="D364" s="11"/>
      <c r="E364" s="10">
        <v>36705</v>
      </c>
    </row>
    <row r="365" spans="2:5" hidden="1">
      <c r="B365" s="11" t="s">
        <v>213</v>
      </c>
      <c r="C365" s="11"/>
      <c r="D365" s="11"/>
      <c r="E365" s="10">
        <v>37005</v>
      </c>
    </row>
    <row r="366" spans="2:5" hidden="1">
      <c r="B366" s="11" t="s">
        <v>100</v>
      </c>
      <c r="C366" s="11"/>
      <c r="D366" s="11"/>
      <c r="E366" s="10">
        <v>32400</v>
      </c>
    </row>
    <row r="367" spans="2:5" hidden="1">
      <c r="B367" s="11" t="s">
        <v>177</v>
      </c>
      <c r="C367" s="11"/>
      <c r="D367" s="11"/>
      <c r="E367" s="10">
        <v>36001</v>
      </c>
    </row>
    <row r="368" spans="2:5" hidden="1">
      <c r="B368" s="11" t="s">
        <v>31</v>
      </c>
      <c r="C368" s="11"/>
      <c r="D368" s="11"/>
      <c r="E368" s="10">
        <v>19005</v>
      </c>
    </row>
    <row r="369" spans="2:5" hidden="1">
      <c r="B369" s="11" t="s">
        <v>179</v>
      </c>
      <c r="C369" s="11"/>
      <c r="D369" s="11"/>
      <c r="E369" s="10">
        <v>36003</v>
      </c>
    </row>
    <row r="370" spans="2:5" hidden="1">
      <c r="B370" s="11" t="s">
        <v>116</v>
      </c>
      <c r="C370" s="11"/>
      <c r="D370" s="11"/>
      <c r="E370" s="10">
        <v>33027</v>
      </c>
    </row>
    <row r="371" spans="2:5" hidden="1">
      <c r="B371" s="11" t="s">
        <v>291</v>
      </c>
      <c r="C371" s="11"/>
      <c r="D371" s="11"/>
      <c r="E371" s="10">
        <v>36004</v>
      </c>
    </row>
    <row r="372" spans="2:5" hidden="1">
      <c r="B372" s="11" t="s">
        <v>105</v>
      </c>
      <c r="C372" s="11"/>
      <c r="D372" s="11"/>
      <c r="E372" s="10">
        <v>32505</v>
      </c>
    </row>
    <row r="373" spans="2:5" hidden="1">
      <c r="B373" s="11" t="s">
        <v>106</v>
      </c>
      <c r="C373" s="11"/>
      <c r="D373" s="11"/>
      <c r="E373" s="10">
        <v>32600</v>
      </c>
    </row>
    <row r="374" spans="2:5" hidden="1">
      <c r="B374" s="11" t="s">
        <v>108</v>
      </c>
      <c r="C374" s="11"/>
      <c r="D374" s="11"/>
      <c r="E374" s="10">
        <v>32700</v>
      </c>
    </row>
    <row r="375" spans="2:5" hidden="1">
      <c r="B375" s="11" t="s">
        <v>109</v>
      </c>
      <c r="C375" s="11"/>
      <c r="D375" s="11"/>
      <c r="E375" s="10">
        <v>32800</v>
      </c>
    </row>
    <row r="376" spans="2:5" hidden="1">
      <c r="B376" s="11" t="s">
        <v>111</v>
      </c>
      <c r="C376" s="11"/>
      <c r="D376" s="11"/>
      <c r="E376" s="10">
        <v>32905</v>
      </c>
    </row>
    <row r="377" spans="2:5" hidden="1">
      <c r="B377" s="11" t="s">
        <v>110</v>
      </c>
      <c r="C377" s="11"/>
      <c r="D377" s="11"/>
      <c r="E377" s="10">
        <v>32900</v>
      </c>
    </row>
    <row r="378" spans="2:5" hidden="1">
      <c r="B378" s="11" t="s">
        <v>114</v>
      </c>
      <c r="C378" s="11"/>
      <c r="D378" s="11"/>
      <c r="E378" s="10">
        <v>33000</v>
      </c>
    </row>
    <row r="379" spans="2:5" hidden="1">
      <c r="B379" s="11" t="s">
        <v>6</v>
      </c>
      <c r="C379" s="11"/>
      <c r="D379" s="11"/>
      <c r="E379" s="10">
        <v>10900</v>
      </c>
    </row>
    <row r="380" spans="2:5" hidden="1">
      <c r="B380" s="11" t="s">
        <v>25</v>
      </c>
      <c r="C380" s="11"/>
      <c r="D380" s="11"/>
      <c r="E380" s="10">
        <v>18400</v>
      </c>
    </row>
    <row r="381" spans="2:5" hidden="1">
      <c r="B381" s="11" t="s">
        <v>19</v>
      </c>
      <c r="C381" s="11"/>
      <c r="D381" s="11"/>
      <c r="E381" s="10">
        <v>12510</v>
      </c>
    </row>
    <row r="382" spans="2:5" hidden="1">
      <c r="B382" s="11" t="s">
        <v>3</v>
      </c>
      <c r="C382" s="11"/>
      <c r="D382" s="11"/>
      <c r="E382" s="10">
        <v>10700</v>
      </c>
    </row>
    <row r="383" spans="2:5" hidden="1">
      <c r="B383" s="11" t="s">
        <v>1</v>
      </c>
      <c r="C383" s="11"/>
      <c r="D383" s="11"/>
      <c r="E383" s="10">
        <v>10400</v>
      </c>
    </row>
    <row r="384" spans="2:5" hidden="1">
      <c r="B384" s="11" t="s">
        <v>49</v>
      </c>
      <c r="C384" s="11"/>
      <c r="D384" s="11"/>
      <c r="E384" s="10">
        <v>22000</v>
      </c>
    </row>
    <row r="385" spans="2:5" hidden="1">
      <c r="B385" s="11" t="s">
        <v>32</v>
      </c>
      <c r="C385" s="11"/>
      <c r="D385" s="11"/>
      <c r="E385" s="10">
        <v>19100</v>
      </c>
    </row>
    <row r="386" spans="2:5" hidden="1">
      <c r="B386" s="11" t="s">
        <v>288</v>
      </c>
      <c r="C386" s="11"/>
      <c r="D386" s="11"/>
      <c r="E386" s="10">
        <v>33403</v>
      </c>
    </row>
    <row r="387" spans="2:5" hidden="1">
      <c r="B387" s="11" t="s">
        <v>117</v>
      </c>
      <c r="C387" s="11"/>
      <c r="D387" s="11"/>
      <c r="E387" s="10">
        <v>33100</v>
      </c>
    </row>
    <row r="388" spans="2:5" hidden="1">
      <c r="B388" s="11" t="s">
        <v>119</v>
      </c>
      <c r="C388" s="11"/>
      <c r="D388" s="11"/>
      <c r="E388" s="10">
        <v>33200</v>
      </c>
    </row>
    <row r="389" spans="2:5" hidden="1">
      <c r="B389" s="11" t="s">
        <v>123</v>
      </c>
      <c r="C389" s="11"/>
      <c r="D389" s="11"/>
      <c r="E389" s="10">
        <v>33205</v>
      </c>
    </row>
    <row r="390" spans="2:5" hidden="1">
      <c r="B390" s="11" t="s">
        <v>35</v>
      </c>
      <c r="C390" s="11"/>
      <c r="D390" s="11"/>
      <c r="E390" s="10">
        <v>20300</v>
      </c>
    </row>
    <row r="391" spans="2:5" hidden="1">
      <c r="B391" s="11" t="s">
        <v>292</v>
      </c>
      <c r="C391" s="11"/>
      <c r="D391" s="11"/>
      <c r="E391" s="10">
        <v>39208</v>
      </c>
    </row>
    <row r="392" spans="2:5" hidden="1">
      <c r="B392" s="11" t="s">
        <v>96</v>
      </c>
      <c r="C392" s="11"/>
      <c r="D392" s="11"/>
      <c r="E392" s="10">
        <v>32100</v>
      </c>
    </row>
    <row r="393" spans="2:5" hidden="1">
      <c r="B393" s="11" t="s">
        <v>125</v>
      </c>
      <c r="C393" s="11"/>
      <c r="D393" s="11"/>
      <c r="E393" s="10">
        <v>33300</v>
      </c>
    </row>
    <row r="394" spans="2:5" hidden="1">
      <c r="B394" s="11" t="s">
        <v>126</v>
      </c>
      <c r="C394" s="11"/>
      <c r="D394" s="11"/>
      <c r="E394" s="10">
        <v>33305</v>
      </c>
    </row>
    <row r="395" spans="2:5" hidden="1">
      <c r="B395" s="11" t="s">
        <v>212</v>
      </c>
      <c r="C395" s="11"/>
      <c r="D395" s="11"/>
      <c r="E395" s="10">
        <v>37000</v>
      </c>
    </row>
    <row r="396" spans="2:5" hidden="1">
      <c r="B396" s="11" t="s">
        <v>36</v>
      </c>
      <c r="C396" s="11"/>
      <c r="D396" s="11"/>
      <c r="E396" s="10">
        <v>20400</v>
      </c>
    </row>
    <row r="397" spans="2:5" hidden="1">
      <c r="B397" s="11" t="s">
        <v>251</v>
      </c>
      <c r="C397" s="11"/>
      <c r="D397" s="11"/>
      <c r="E397" s="10">
        <v>38620</v>
      </c>
    </row>
    <row r="398" spans="2:5" hidden="1">
      <c r="B398" s="11" t="s">
        <v>262</v>
      </c>
      <c r="C398" s="11"/>
      <c r="D398" s="11"/>
      <c r="E398" s="10">
        <v>39201</v>
      </c>
    </row>
    <row r="399" spans="2:5" hidden="1">
      <c r="B399" s="11" t="s">
        <v>11</v>
      </c>
      <c r="C399" s="11"/>
      <c r="D399" s="11"/>
      <c r="E399" s="10">
        <v>11300</v>
      </c>
    </row>
    <row r="400" spans="2:5" hidden="1">
      <c r="B400" s="11" t="s">
        <v>75</v>
      </c>
      <c r="C400" s="11"/>
      <c r="D400" s="11"/>
      <c r="E400" s="10">
        <v>31102</v>
      </c>
    </row>
    <row r="401" spans="2:5" hidden="1">
      <c r="B401" s="11" t="s">
        <v>74</v>
      </c>
      <c r="C401" s="11"/>
      <c r="D401" s="11"/>
      <c r="E401" s="10">
        <v>31101</v>
      </c>
    </row>
    <row r="402" spans="2:5" hidden="1">
      <c r="B402" s="11" t="s">
        <v>37</v>
      </c>
      <c r="C402" s="11"/>
      <c r="D402" s="11"/>
      <c r="E402" s="10">
        <v>20600</v>
      </c>
    </row>
    <row r="403" spans="2:5" hidden="1">
      <c r="B403" s="11" t="s">
        <v>107</v>
      </c>
      <c r="C403" s="11"/>
      <c r="D403" s="11"/>
      <c r="E403" s="10">
        <v>32605</v>
      </c>
    </row>
    <row r="404" spans="2:5" hidden="1">
      <c r="B404" s="11" t="s">
        <v>129</v>
      </c>
      <c r="C404" s="11"/>
      <c r="D404" s="11"/>
      <c r="E404" s="10">
        <v>33405</v>
      </c>
    </row>
    <row r="405" spans="2:5" hidden="1">
      <c r="B405" s="11" t="s">
        <v>130</v>
      </c>
      <c r="C405" s="11"/>
      <c r="D405" s="11"/>
      <c r="E405" s="10">
        <v>33500</v>
      </c>
    </row>
    <row r="406" spans="2:5" hidden="1">
      <c r="B406" s="11" t="s">
        <v>133</v>
      </c>
      <c r="C406" s="11"/>
      <c r="D406" s="11"/>
      <c r="E406" s="10">
        <v>33605</v>
      </c>
    </row>
    <row r="407" spans="2:5" hidden="1">
      <c r="B407" s="11" t="s">
        <v>201</v>
      </c>
      <c r="C407" s="11"/>
      <c r="D407" s="11"/>
      <c r="E407" s="10">
        <v>36601</v>
      </c>
    </row>
    <row r="408" spans="2:5" hidden="1">
      <c r="B408" s="11" t="s">
        <v>132</v>
      </c>
      <c r="C408" s="11"/>
      <c r="D408" s="11"/>
      <c r="E408" s="10">
        <v>33600</v>
      </c>
    </row>
    <row r="409" spans="2:5" hidden="1">
      <c r="B409" s="11" t="s">
        <v>134</v>
      </c>
      <c r="C409" s="11"/>
      <c r="D409" s="11"/>
      <c r="E409" s="10">
        <v>33700</v>
      </c>
    </row>
    <row r="410" spans="2:5" hidden="1">
      <c r="B410" s="11" t="s">
        <v>17</v>
      </c>
      <c r="C410" s="11"/>
      <c r="D410" s="11"/>
      <c r="E410" s="10">
        <v>12160</v>
      </c>
    </row>
    <row r="411" spans="2:5" hidden="1">
      <c r="B411" s="11" t="s">
        <v>15</v>
      </c>
      <c r="C411" s="11"/>
      <c r="D411" s="11"/>
      <c r="E411" s="10">
        <v>12100</v>
      </c>
    </row>
    <row r="412" spans="2:5" hidden="1">
      <c r="B412" s="11" t="s">
        <v>135</v>
      </c>
      <c r="C412" s="11"/>
      <c r="D412" s="11"/>
      <c r="E412" s="10">
        <v>33800</v>
      </c>
    </row>
    <row r="413" spans="2:5" hidden="1">
      <c r="B413" s="11" t="s">
        <v>65</v>
      </c>
      <c r="C413" s="11"/>
      <c r="D413" s="11"/>
      <c r="E413" s="10">
        <v>30601</v>
      </c>
    </row>
    <row r="414" spans="2:5" hidden="1">
      <c r="B414" s="11" t="s">
        <v>136</v>
      </c>
      <c r="C414" s="11"/>
      <c r="D414" s="11"/>
      <c r="E414" s="10">
        <v>33900</v>
      </c>
    </row>
    <row r="415" spans="2:5" hidden="1">
      <c r="B415" s="11" t="s">
        <v>243</v>
      </c>
      <c r="C415" s="11"/>
      <c r="D415" s="11"/>
      <c r="E415" s="10">
        <v>38402</v>
      </c>
    </row>
    <row r="416" spans="2:5" hidden="1">
      <c r="B416" s="11" t="s">
        <v>137</v>
      </c>
      <c r="C416" s="11"/>
      <c r="D416" s="11"/>
      <c r="E416" s="10">
        <v>34000</v>
      </c>
    </row>
    <row r="417" spans="2:5" hidden="1">
      <c r="B417" s="11" t="s">
        <v>138</v>
      </c>
      <c r="C417" s="11"/>
      <c r="D417" s="11"/>
      <c r="E417" s="10">
        <v>34100</v>
      </c>
    </row>
    <row r="418" spans="2:5" hidden="1">
      <c r="B418" s="11" t="s">
        <v>139</v>
      </c>
      <c r="C418" s="11"/>
      <c r="D418" s="11"/>
      <c r="E418" s="10">
        <v>34105</v>
      </c>
    </row>
    <row r="419" spans="2:5" hidden="1">
      <c r="B419" s="11" t="s">
        <v>141</v>
      </c>
      <c r="C419" s="11"/>
      <c r="D419" s="11"/>
      <c r="E419" s="10">
        <v>34205</v>
      </c>
    </row>
    <row r="420" spans="2:5" hidden="1">
      <c r="B420" s="11" t="s">
        <v>140</v>
      </c>
      <c r="C420" s="11"/>
      <c r="D420" s="11"/>
      <c r="E420" s="10">
        <v>34200</v>
      </c>
    </row>
    <row r="421" spans="2:5" hidden="1">
      <c r="B421" s="11" t="s">
        <v>267</v>
      </c>
      <c r="C421" s="11"/>
      <c r="D421" s="11"/>
      <c r="E421" s="10">
        <v>39301</v>
      </c>
    </row>
    <row r="422" spans="2:5" hidden="1">
      <c r="B422" s="11" t="s">
        <v>144</v>
      </c>
      <c r="C422" s="11"/>
      <c r="D422" s="11"/>
      <c r="E422" s="10">
        <v>34300</v>
      </c>
    </row>
    <row r="423" spans="2:5" hidden="1">
      <c r="B423" s="11" t="s">
        <v>145</v>
      </c>
      <c r="C423" s="11"/>
      <c r="D423" s="11"/>
      <c r="E423" s="10">
        <v>34400</v>
      </c>
    </row>
    <row r="424" spans="2:5" hidden="1">
      <c r="B424" s="11" t="s">
        <v>146</v>
      </c>
      <c r="C424" s="11"/>
      <c r="D424" s="11"/>
      <c r="E424" s="10">
        <v>34405</v>
      </c>
    </row>
    <row r="425" spans="2:5" hidden="1">
      <c r="B425" s="11" t="s">
        <v>18</v>
      </c>
      <c r="C425" s="11"/>
      <c r="D425" s="11"/>
      <c r="E425" s="10">
        <v>12220</v>
      </c>
    </row>
    <row r="426" spans="2:5" hidden="1">
      <c r="B426" s="11" t="s">
        <v>121</v>
      </c>
      <c r="C426" s="11"/>
      <c r="D426" s="11"/>
      <c r="E426" s="10">
        <v>33203</v>
      </c>
    </row>
    <row r="427" spans="2:5" hidden="1">
      <c r="B427" s="11" t="s">
        <v>269</v>
      </c>
      <c r="C427" s="11"/>
      <c r="D427" s="11"/>
      <c r="E427" s="10">
        <v>39401</v>
      </c>
    </row>
    <row r="428" spans="2:5" hidden="1">
      <c r="B428" s="11" t="s">
        <v>147</v>
      </c>
      <c r="C428" s="11"/>
      <c r="D428" s="11"/>
      <c r="E428" s="10">
        <v>34500</v>
      </c>
    </row>
    <row r="429" spans="2:5" hidden="1">
      <c r="B429" s="11" t="s">
        <v>150</v>
      </c>
      <c r="C429" s="11"/>
      <c r="D429" s="11"/>
      <c r="E429" s="10">
        <v>34600</v>
      </c>
    </row>
    <row r="430" spans="2:5" hidden="1">
      <c r="B430" s="11" t="s">
        <v>91</v>
      </c>
      <c r="C430" s="11"/>
      <c r="D430" s="11"/>
      <c r="E430" s="10">
        <v>31810</v>
      </c>
    </row>
    <row r="431" spans="2:5" hidden="1">
      <c r="B431" s="11" t="s">
        <v>280</v>
      </c>
      <c r="C431" s="11"/>
      <c r="D431" s="11"/>
      <c r="E431" s="10">
        <v>51000</v>
      </c>
    </row>
    <row r="432" spans="2:5" hidden="1">
      <c r="B432" s="11" t="s">
        <v>152</v>
      </c>
      <c r="C432" s="11"/>
      <c r="D432" s="11"/>
      <c r="E432" s="10">
        <v>34700</v>
      </c>
    </row>
    <row r="433" spans="2:5" hidden="1">
      <c r="B433" s="11" t="s">
        <v>153</v>
      </c>
      <c r="C433" s="11"/>
      <c r="D433" s="11"/>
      <c r="E433" s="10">
        <v>34800</v>
      </c>
    </row>
    <row r="434" spans="2:5" hidden="1">
      <c r="B434" s="11" t="s">
        <v>8</v>
      </c>
      <c r="C434" s="11"/>
      <c r="D434" s="11"/>
      <c r="E434" s="10">
        <v>10930</v>
      </c>
    </row>
    <row r="435" spans="2:5" hidden="1">
      <c r="B435" s="11" t="s">
        <v>20</v>
      </c>
      <c r="C435" s="11"/>
      <c r="D435" s="11"/>
      <c r="E435" s="10">
        <v>12600</v>
      </c>
    </row>
    <row r="436" spans="2:5" hidden="1">
      <c r="B436" s="11" t="s">
        <v>287</v>
      </c>
      <c r="C436" s="11"/>
      <c r="D436" s="11"/>
      <c r="E436" s="10">
        <v>32901</v>
      </c>
    </row>
    <row r="437" spans="2:5" hidden="1">
      <c r="B437" s="11" t="s">
        <v>289</v>
      </c>
      <c r="C437" s="11"/>
      <c r="D437" s="11"/>
      <c r="E437" s="10">
        <v>34900</v>
      </c>
    </row>
    <row r="438" spans="2:5" hidden="1">
      <c r="B438" s="11" t="s">
        <v>237</v>
      </c>
      <c r="C438" s="11"/>
      <c r="D438" s="11"/>
      <c r="E438" s="10">
        <v>38105</v>
      </c>
    </row>
    <row r="439" spans="2:5" hidden="1">
      <c r="B439" s="11" t="s">
        <v>157</v>
      </c>
      <c r="C439" s="11"/>
      <c r="D439" s="11"/>
      <c r="E439" s="10">
        <v>35000</v>
      </c>
    </row>
    <row r="440" spans="2:5" hidden="1">
      <c r="B440" s="11" t="s">
        <v>118</v>
      </c>
      <c r="C440" s="11"/>
      <c r="D440" s="11"/>
      <c r="E440" s="10">
        <v>33105</v>
      </c>
    </row>
    <row r="441" spans="2:5" hidden="1">
      <c r="B441" s="11" t="s">
        <v>159</v>
      </c>
      <c r="C441" s="11"/>
      <c r="D441" s="11"/>
      <c r="E441" s="10">
        <v>35100</v>
      </c>
    </row>
    <row r="442" spans="2:5" hidden="1">
      <c r="B442" s="11" t="s">
        <v>160</v>
      </c>
      <c r="C442" s="11"/>
      <c r="D442" s="11"/>
      <c r="E442" s="10">
        <v>35105</v>
      </c>
    </row>
    <row r="443" spans="2:5" hidden="1">
      <c r="B443" s="11" t="s">
        <v>162</v>
      </c>
      <c r="C443" s="11"/>
      <c r="D443" s="11"/>
      <c r="E443" s="10">
        <v>35200</v>
      </c>
    </row>
    <row r="444" spans="2:5" hidden="1">
      <c r="B444" s="11" t="s">
        <v>82</v>
      </c>
      <c r="C444" s="11"/>
      <c r="D444" s="11"/>
      <c r="E444" s="10">
        <v>31320</v>
      </c>
    </row>
    <row r="445" spans="2:5" hidden="1">
      <c r="B445" s="11" t="s">
        <v>178</v>
      </c>
      <c r="C445" s="11"/>
      <c r="D445" s="11"/>
      <c r="E445" s="10">
        <v>36002</v>
      </c>
    </row>
    <row r="446" spans="2:5" hidden="1">
      <c r="B446" s="11" t="s">
        <v>167</v>
      </c>
      <c r="C446" s="11"/>
      <c r="D446" s="11"/>
      <c r="E446" s="10">
        <v>35402</v>
      </c>
    </row>
    <row r="447" spans="2:5" hidden="1">
      <c r="B447" s="11" t="s">
        <v>186</v>
      </c>
      <c r="C447" s="11"/>
      <c r="D447" s="11"/>
      <c r="E447" s="10">
        <v>36102</v>
      </c>
    </row>
    <row r="448" spans="2:5" hidden="1">
      <c r="B448" s="11" t="s">
        <v>21</v>
      </c>
      <c r="C448" s="11"/>
      <c r="D448" s="11"/>
      <c r="E448" s="10">
        <v>12700</v>
      </c>
    </row>
    <row r="449" spans="2:5" hidden="1">
      <c r="B449" s="11" t="s">
        <v>181</v>
      </c>
      <c r="C449" s="11"/>
      <c r="D449" s="11"/>
      <c r="E449" s="10">
        <v>36006</v>
      </c>
    </row>
    <row r="450" spans="2:5" hidden="1">
      <c r="B450" s="11" t="s">
        <v>168</v>
      </c>
      <c r="C450" s="11"/>
      <c r="D450" s="11"/>
      <c r="E450" s="10">
        <v>35405</v>
      </c>
    </row>
    <row r="451" spans="2:5" hidden="1">
      <c r="B451" s="11" t="s">
        <v>165</v>
      </c>
      <c r="C451" s="11"/>
      <c r="D451" s="11"/>
      <c r="E451" s="10">
        <v>35400</v>
      </c>
    </row>
    <row r="452" spans="2:5" hidden="1">
      <c r="B452" s="11" t="s">
        <v>112</v>
      </c>
      <c r="C452" s="11"/>
      <c r="D452" s="11"/>
      <c r="E452" s="10">
        <v>32910</v>
      </c>
    </row>
    <row r="453" spans="2:5" hidden="1">
      <c r="B453" s="11" t="s">
        <v>169</v>
      </c>
      <c r="C453" s="11"/>
      <c r="D453" s="11"/>
      <c r="E453" s="10">
        <v>35500</v>
      </c>
    </row>
    <row r="454" spans="2:5" hidden="1">
      <c r="B454" s="11" t="s">
        <v>16</v>
      </c>
      <c r="C454" s="11"/>
      <c r="D454" s="11"/>
      <c r="E454" s="10">
        <v>12150</v>
      </c>
    </row>
    <row r="455" spans="2:5" hidden="1">
      <c r="B455" s="11" t="s">
        <v>170</v>
      </c>
      <c r="C455" s="11"/>
      <c r="D455" s="11"/>
      <c r="E455" s="10">
        <v>35600</v>
      </c>
    </row>
    <row r="456" spans="2:5" hidden="1">
      <c r="B456" s="11" t="s">
        <v>171</v>
      </c>
      <c r="C456" s="11"/>
      <c r="D456" s="11"/>
      <c r="E456" s="10">
        <v>35700</v>
      </c>
    </row>
    <row r="457" spans="2:5" hidden="1">
      <c r="B457" s="11" t="s">
        <v>173</v>
      </c>
      <c r="C457" s="11"/>
      <c r="D457" s="11"/>
      <c r="E457" s="10">
        <v>35805</v>
      </c>
    </row>
    <row r="458" spans="2:5" hidden="1">
      <c r="B458" s="11" t="s">
        <v>172</v>
      </c>
      <c r="C458" s="11"/>
      <c r="D458" s="11"/>
      <c r="E458" s="10">
        <v>35800</v>
      </c>
    </row>
    <row r="459" spans="2:5" hidden="1">
      <c r="B459" s="11" t="s">
        <v>187</v>
      </c>
      <c r="C459" s="11"/>
      <c r="D459" s="11"/>
      <c r="E459" s="10">
        <v>36105</v>
      </c>
    </row>
    <row r="460" spans="2:5" hidden="1">
      <c r="B460" s="11" t="s">
        <v>174</v>
      </c>
      <c r="C460" s="11"/>
      <c r="D460" s="11"/>
      <c r="E460" s="10">
        <v>35900</v>
      </c>
    </row>
    <row r="461" spans="2:5" hidden="1">
      <c r="B461" s="11" t="s">
        <v>175</v>
      </c>
      <c r="C461" s="11"/>
      <c r="D461" s="11"/>
      <c r="E461" s="10">
        <v>35905</v>
      </c>
    </row>
    <row r="462" spans="2:5" hidden="1">
      <c r="B462" s="11" t="s">
        <v>248</v>
      </c>
      <c r="C462" s="11"/>
      <c r="D462" s="11"/>
      <c r="E462" s="10">
        <v>38602</v>
      </c>
    </row>
    <row r="463" spans="2:5" hidden="1">
      <c r="B463" s="11" t="s">
        <v>155</v>
      </c>
      <c r="C463" s="11"/>
      <c r="D463" s="11"/>
      <c r="E463" s="10">
        <v>34905</v>
      </c>
    </row>
    <row r="464" spans="2:5" hidden="1">
      <c r="B464" s="11" t="s">
        <v>185</v>
      </c>
      <c r="C464" s="11"/>
      <c r="D464" s="11"/>
      <c r="E464" s="10">
        <v>36100</v>
      </c>
    </row>
    <row r="465" spans="2:5" hidden="1">
      <c r="B465" s="11" t="s">
        <v>189</v>
      </c>
      <c r="C465" s="11"/>
      <c r="D465" s="11"/>
      <c r="E465" s="10">
        <v>36205</v>
      </c>
    </row>
    <row r="466" spans="2:5" hidden="1">
      <c r="B466" s="11" t="s">
        <v>188</v>
      </c>
      <c r="C466" s="11"/>
      <c r="D466" s="11"/>
      <c r="E466" s="10">
        <v>36200</v>
      </c>
    </row>
    <row r="467" spans="2:5" hidden="1">
      <c r="B467" s="11" t="s">
        <v>190</v>
      </c>
      <c r="C467" s="11"/>
      <c r="D467" s="11"/>
      <c r="E467" s="10">
        <v>36300</v>
      </c>
    </row>
    <row r="468" spans="2:5" hidden="1">
      <c r="B468" s="11" t="s">
        <v>156</v>
      </c>
      <c r="C468" s="11"/>
      <c r="D468" s="11"/>
      <c r="E468" s="10">
        <v>34910</v>
      </c>
    </row>
    <row r="469" spans="2:5" hidden="1">
      <c r="B469" s="11" t="s">
        <v>250</v>
      </c>
      <c r="C469" s="11"/>
      <c r="D469" s="11"/>
      <c r="E469" s="10">
        <v>38610</v>
      </c>
    </row>
    <row r="470" spans="2:5" hidden="1">
      <c r="B470" s="11" t="s">
        <v>148</v>
      </c>
      <c r="C470" s="11"/>
      <c r="D470" s="11"/>
      <c r="E470" s="10">
        <v>34501</v>
      </c>
    </row>
    <row r="471" spans="2:5" hidden="1">
      <c r="B471" s="11" t="s">
        <v>253</v>
      </c>
      <c r="C471" s="11"/>
      <c r="D471" s="11"/>
      <c r="E471" s="10">
        <v>38701</v>
      </c>
    </row>
    <row r="472" spans="2:5" hidden="1">
      <c r="B472" s="11" t="s">
        <v>29</v>
      </c>
      <c r="C472" s="11"/>
      <c r="D472" s="11"/>
      <c r="E472" s="10">
        <v>18740</v>
      </c>
    </row>
    <row r="473" spans="2:5" hidden="1">
      <c r="B473" s="11" t="s">
        <v>39</v>
      </c>
      <c r="C473" s="11"/>
      <c r="D473" s="11"/>
      <c r="E473" s="10">
        <v>20800</v>
      </c>
    </row>
    <row r="474" spans="2:5" hidden="1">
      <c r="B474" s="11" t="s">
        <v>28</v>
      </c>
      <c r="C474" s="11"/>
      <c r="D474" s="11"/>
      <c r="E474" s="10">
        <v>18690</v>
      </c>
    </row>
    <row r="475" spans="2:5" hidden="1">
      <c r="B475" s="11" t="s">
        <v>10</v>
      </c>
      <c r="C475" s="11"/>
      <c r="D475" s="11"/>
      <c r="E475" s="10">
        <v>10950</v>
      </c>
    </row>
    <row r="476" spans="2:5" hidden="1">
      <c r="B476" s="11" t="s">
        <v>34</v>
      </c>
      <c r="C476" s="11"/>
      <c r="D476" s="11"/>
      <c r="E476" s="10">
        <v>20200</v>
      </c>
    </row>
    <row r="477" spans="2:5" hidden="1">
      <c r="B477" s="11" t="s">
        <v>30</v>
      </c>
      <c r="C477" s="11"/>
      <c r="D477" s="11"/>
      <c r="E477" s="10">
        <v>18780</v>
      </c>
    </row>
    <row r="478" spans="2:5" hidden="1">
      <c r="B478" s="11" t="s">
        <v>42</v>
      </c>
      <c r="C478" s="11"/>
      <c r="D478" s="11"/>
      <c r="E478" s="10">
        <v>21300</v>
      </c>
    </row>
    <row r="479" spans="2:5" hidden="1">
      <c r="B479" s="11" t="s">
        <v>115</v>
      </c>
      <c r="C479" s="11"/>
      <c r="D479" s="11"/>
      <c r="E479" s="10">
        <v>33001</v>
      </c>
    </row>
    <row r="480" spans="2:5" hidden="1">
      <c r="B480" s="11" t="s">
        <v>195</v>
      </c>
      <c r="C480" s="11"/>
      <c r="D480" s="11"/>
      <c r="E480" s="10">
        <v>36405</v>
      </c>
    </row>
    <row r="481" spans="2:5" hidden="1">
      <c r="B481" s="11" t="s">
        <v>194</v>
      </c>
      <c r="C481" s="11"/>
      <c r="D481" s="11"/>
      <c r="E481" s="10">
        <v>36400</v>
      </c>
    </row>
    <row r="482" spans="2:5" hidden="1">
      <c r="B482" s="11" t="s">
        <v>38</v>
      </c>
      <c r="C482" s="11"/>
      <c r="D482" s="11"/>
      <c r="E482" s="10">
        <v>20700</v>
      </c>
    </row>
    <row r="483" spans="2:5" hidden="1">
      <c r="B483" s="11" t="s">
        <v>284</v>
      </c>
      <c r="C483" s="11"/>
      <c r="D483" s="11"/>
      <c r="E483" s="10">
        <v>14200</v>
      </c>
    </row>
    <row r="484" spans="2:5" hidden="1">
      <c r="B484" s="11" t="s">
        <v>12</v>
      </c>
      <c r="C484" s="11"/>
      <c r="D484" s="11"/>
      <c r="E484" s="10">
        <v>11310</v>
      </c>
    </row>
    <row r="485" spans="2:5" hidden="1">
      <c r="B485" s="11" t="s">
        <v>161</v>
      </c>
      <c r="C485" s="11"/>
      <c r="D485" s="11"/>
      <c r="E485" s="10">
        <v>35106</v>
      </c>
    </row>
    <row r="486" spans="2:5" hidden="1">
      <c r="B486" s="11" t="s">
        <v>104</v>
      </c>
      <c r="C486" s="11"/>
      <c r="D486" s="11"/>
      <c r="E486" s="10">
        <v>32500</v>
      </c>
    </row>
    <row r="487" spans="2:5" hidden="1">
      <c r="B487" s="11" t="s">
        <v>196</v>
      </c>
      <c r="C487" s="11"/>
      <c r="D487" s="11"/>
      <c r="E487" s="10">
        <v>36500</v>
      </c>
    </row>
    <row r="488" spans="2:5" hidden="1">
      <c r="B488" s="11" t="s">
        <v>92</v>
      </c>
      <c r="C488" s="11"/>
      <c r="D488" s="11"/>
      <c r="E488" s="10">
        <v>31820</v>
      </c>
    </row>
    <row r="489" spans="2:5" hidden="1">
      <c r="B489" s="11" t="s">
        <v>27</v>
      </c>
      <c r="C489" s="11"/>
      <c r="D489" s="11"/>
      <c r="E489" s="10">
        <v>18640</v>
      </c>
    </row>
    <row r="490" spans="2:5" hidden="1">
      <c r="B490" s="11" t="s">
        <v>0</v>
      </c>
      <c r="C490" s="11"/>
      <c r="D490" s="11"/>
      <c r="E490" s="10">
        <v>10200</v>
      </c>
    </row>
    <row r="491" spans="2:5" hidden="1">
      <c r="B491" s="11" t="s">
        <v>200</v>
      </c>
      <c r="C491" s="11"/>
      <c r="D491" s="11"/>
      <c r="E491" s="10">
        <v>36600</v>
      </c>
    </row>
    <row r="492" spans="2:5" hidden="1">
      <c r="B492" s="11" t="s">
        <v>5</v>
      </c>
      <c r="C492" s="11"/>
      <c r="D492" s="11"/>
      <c r="E492" s="10">
        <v>10850</v>
      </c>
    </row>
    <row r="493" spans="2:5" hidden="1">
      <c r="B493" s="11" t="s">
        <v>7</v>
      </c>
      <c r="C493" s="11"/>
      <c r="D493" s="11"/>
      <c r="E493" s="10">
        <v>10910</v>
      </c>
    </row>
    <row r="494" spans="2:5" hidden="1">
      <c r="B494" s="11" t="s">
        <v>9</v>
      </c>
      <c r="C494" s="11"/>
      <c r="D494" s="11"/>
      <c r="E494" s="10">
        <v>10940</v>
      </c>
    </row>
    <row r="495" spans="2:5" hidden="1">
      <c r="B495" s="11" t="s">
        <v>202</v>
      </c>
      <c r="C495" s="11"/>
      <c r="D495" s="11"/>
      <c r="E495" s="10">
        <v>36700</v>
      </c>
    </row>
    <row r="496" spans="2:5" hidden="1">
      <c r="B496" s="11" t="s">
        <v>207</v>
      </c>
      <c r="C496" s="11"/>
      <c r="D496" s="11"/>
      <c r="E496" s="10">
        <v>36802</v>
      </c>
    </row>
    <row r="497" spans="2:5" hidden="1">
      <c r="B497" s="11" t="s">
        <v>205</v>
      </c>
      <c r="C497" s="11"/>
      <c r="D497" s="11"/>
      <c r="E497" s="10">
        <v>36800</v>
      </c>
    </row>
    <row r="498" spans="2:5" hidden="1">
      <c r="B498" s="11" t="s">
        <v>206</v>
      </c>
      <c r="C498" s="11"/>
      <c r="D498" s="11"/>
      <c r="E498" s="10">
        <v>36801</v>
      </c>
    </row>
    <row r="499" spans="2:5" hidden="1">
      <c r="B499" s="11" t="s">
        <v>211</v>
      </c>
      <c r="C499" s="11"/>
      <c r="D499" s="11"/>
      <c r="E499" s="10">
        <v>36905</v>
      </c>
    </row>
    <row r="500" spans="2:5" hidden="1">
      <c r="B500" s="11" t="s">
        <v>209</v>
      </c>
      <c r="C500" s="11"/>
      <c r="D500" s="11"/>
      <c r="E500" s="10">
        <v>36900</v>
      </c>
    </row>
    <row r="501" spans="2:5" hidden="1">
      <c r="B501" s="11" t="s">
        <v>214</v>
      </c>
      <c r="C501" s="11"/>
      <c r="D501" s="11"/>
      <c r="E501" s="10">
        <v>37100</v>
      </c>
    </row>
    <row r="502" spans="2:5" hidden="1">
      <c r="B502" s="11" t="s">
        <v>215</v>
      </c>
      <c r="C502" s="11"/>
      <c r="D502" s="11"/>
      <c r="E502" s="10">
        <v>37200</v>
      </c>
    </row>
    <row r="503" spans="2:5" hidden="1">
      <c r="B503" s="11" t="s">
        <v>216</v>
      </c>
      <c r="C503" s="11"/>
      <c r="D503" s="11"/>
      <c r="E503" s="10">
        <v>37300</v>
      </c>
    </row>
    <row r="504" spans="2:5" hidden="1">
      <c r="B504" s="11" t="s">
        <v>218</v>
      </c>
      <c r="C504" s="11"/>
      <c r="D504" s="11"/>
      <c r="E504" s="10">
        <v>37305</v>
      </c>
    </row>
    <row r="505" spans="2:5" hidden="1">
      <c r="B505" s="11" t="s">
        <v>183</v>
      </c>
      <c r="C505" s="11"/>
      <c r="D505" s="11"/>
      <c r="E505" s="10">
        <v>36008</v>
      </c>
    </row>
    <row r="506" spans="2:5" hidden="1">
      <c r="B506" s="11" t="s">
        <v>275</v>
      </c>
      <c r="C506" s="11"/>
      <c r="D506" s="11"/>
      <c r="E506" s="10">
        <v>39703</v>
      </c>
    </row>
    <row r="507" spans="2:5" hidden="1">
      <c r="B507" s="11" t="s">
        <v>220</v>
      </c>
      <c r="C507" s="11"/>
      <c r="D507" s="11"/>
      <c r="E507" s="10">
        <v>37405</v>
      </c>
    </row>
    <row r="508" spans="2:5" hidden="1">
      <c r="B508" s="11" t="s">
        <v>219</v>
      </c>
      <c r="C508" s="11"/>
      <c r="D508" s="11"/>
      <c r="E508" s="10">
        <v>37400</v>
      </c>
    </row>
    <row r="509" spans="2:5" hidden="1">
      <c r="B509" s="11" t="s">
        <v>221</v>
      </c>
      <c r="C509" s="11"/>
      <c r="D509" s="11"/>
      <c r="E509" s="10">
        <v>37500</v>
      </c>
    </row>
    <row r="510" spans="2:5" hidden="1">
      <c r="B510" s="11" t="s">
        <v>224</v>
      </c>
      <c r="C510" s="11"/>
      <c r="D510" s="11"/>
      <c r="E510" s="10">
        <v>37605</v>
      </c>
    </row>
    <row r="511" spans="2:5" hidden="1">
      <c r="B511" s="11" t="s">
        <v>222</v>
      </c>
      <c r="C511" s="11"/>
      <c r="D511" s="11"/>
      <c r="E511" s="10">
        <v>37600</v>
      </c>
    </row>
    <row r="512" spans="2:5" hidden="1">
      <c r="B512" s="11" t="s">
        <v>22</v>
      </c>
      <c r="C512" s="11"/>
      <c r="D512" s="11"/>
      <c r="E512" s="10">
        <v>13500</v>
      </c>
    </row>
    <row r="513" spans="2:5" hidden="1">
      <c r="B513" s="11" t="s">
        <v>226</v>
      </c>
      <c r="C513" s="11"/>
      <c r="D513" s="11"/>
      <c r="E513" s="10">
        <v>37700</v>
      </c>
    </row>
    <row r="514" spans="2:5" hidden="1">
      <c r="B514" s="11" t="s">
        <v>227</v>
      </c>
      <c r="C514" s="11"/>
      <c r="D514" s="11"/>
      <c r="E514" s="10">
        <v>37705</v>
      </c>
    </row>
    <row r="515" spans="2:5" hidden="1">
      <c r="B515" s="11" t="s">
        <v>56</v>
      </c>
      <c r="C515" s="11"/>
      <c r="D515" s="11"/>
      <c r="E515" s="10">
        <v>30103</v>
      </c>
    </row>
    <row r="516" spans="2:5" hidden="1">
      <c r="B516" s="11" t="s">
        <v>142</v>
      </c>
      <c r="C516" s="11"/>
      <c r="D516" s="11"/>
      <c r="E516" s="10">
        <v>34220</v>
      </c>
    </row>
    <row r="517" spans="2:5" hidden="1">
      <c r="B517" s="11" t="s">
        <v>151</v>
      </c>
      <c r="C517" s="11"/>
      <c r="D517" s="11"/>
      <c r="E517" s="10">
        <v>34605</v>
      </c>
    </row>
    <row r="518" spans="2:5" hidden="1">
      <c r="B518" s="11" t="s">
        <v>230</v>
      </c>
      <c r="C518" s="11"/>
      <c r="D518" s="11"/>
      <c r="E518" s="10">
        <v>37805</v>
      </c>
    </row>
    <row r="519" spans="2:5" hidden="1">
      <c r="B519" s="11" t="s">
        <v>228</v>
      </c>
      <c r="C519" s="11"/>
      <c r="D519" s="11"/>
      <c r="E519" s="10">
        <v>37800</v>
      </c>
    </row>
    <row r="520" spans="2:5" hidden="1">
      <c r="B520" s="11" t="s">
        <v>233</v>
      </c>
      <c r="C520" s="11"/>
      <c r="D520" s="11"/>
      <c r="E520" s="10">
        <v>37905</v>
      </c>
    </row>
    <row r="521" spans="2:5" hidden="1">
      <c r="B521" s="11" t="s">
        <v>231</v>
      </c>
      <c r="C521" s="11"/>
      <c r="D521" s="11"/>
      <c r="E521" s="10">
        <v>37900</v>
      </c>
    </row>
    <row r="522" spans="2:5" hidden="1">
      <c r="B522" s="11" t="s">
        <v>235</v>
      </c>
      <c r="C522" s="11"/>
      <c r="D522" s="11"/>
      <c r="E522" s="10">
        <v>38005</v>
      </c>
    </row>
    <row r="523" spans="2:5" hidden="1">
      <c r="B523" s="11" t="s">
        <v>234</v>
      </c>
      <c r="C523" s="11"/>
      <c r="D523" s="11"/>
      <c r="E523" s="10">
        <v>38000</v>
      </c>
    </row>
    <row r="524" spans="2:5" hidden="1">
      <c r="B524" s="11" t="s">
        <v>217</v>
      </c>
      <c r="C524" s="11"/>
      <c r="D524" s="11"/>
      <c r="E524" s="10">
        <v>37301</v>
      </c>
    </row>
    <row r="525" spans="2:5" hidden="1">
      <c r="B525" s="11" t="s">
        <v>236</v>
      </c>
      <c r="C525" s="11"/>
      <c r="D525" s="11"/>
      <c r="E525" s="10">
        <v>38100</v>
      </c>
    </row>
    <row r="526" spans="2:5" hidden="1">
      <c r="B526" s="11" t="s">
        <v>239</v>
      </c>
      <c r="C526" s="11"/>
      <c r="D526" s="11"/>
      <c r="E526" s="10">
        <v>38205</v>
      </c>
    </row>
    <row r="527" spans="2:5" hidden="1">
      <c r="B527" s="11" t="s">
        <v>238</v>
      </c>
      <c r="C527" s="11"/>
      <c r="D527" s="11"/>
      <c r="E527" s="10">
        <v>38200</v>
      </c>
    </row>
    <row r="528" spans="2:5" hidden="1">
      <c r="B528" s="11" t="s">
        <v>193</v>
      </c>
      <c r="C528" s="11"/>
      <c r="D528" s="11"/>
      <c r="E528" s="10">
        <v>36305</v>
      </c>
    </row>
    <row r="529" spans="2:5" hidden="1">
      <c r="B529" s="11" t="s">
        <v>163</v>
      </c>
      <c r="C529" s="11"/>
      <c r="D529" s="11"/>
      <c r="E529" s="10">
        <v>35300</v>
      </c>
    </row>
    <row r="530" spans="2:5" hidden="1">
      <c r="B530" s="11" t="s">
        <v>241</v>
      </c>
      <c r="C530" s="11"/>
      <c r="D530" s="11"/>
      <c r="E530" s="10">
        <v>38300</v>
      </c>
    </row>
    <row r="531" spans="2:5" hidden="1">
      <c r="B531" s="11" t="s">
        <v>23</v>
      </c>
      <c r="C531" s="11"/>
      <c r="D531" s="11"/>
      <c r="E531" s="10">
        <v>13700</v>
      </c>
    </row>
    <row r="532" spans="2:5" hidden="1">
      <c r="B532" s="11" t="s">
        <v>103</v>
      </c>
      <c r="C532" s="11"/>
      <c r="D532" s="11"/>
      <c r="E532" s="10">
        <v>32420</v>
      </c>
    </row>
    <row r="533" spans="2:5" hidden="1">
      <c r="B533" s="11" t="s">
        <v>182</v>
      </c>
      <c r="C533" s="11"/>
      <c r="D533" s="11"/>
      <c r="E533" s="10">
        <v>36007</v>
      </c>
    </row>
    <row r="534" spans="2:5" hidden="1">
      <c r="B534" s="11" t="s">
        <v>62</v>
      </c>
      <c r="C534" s="11"/>
      <c r="D534" s="11"/>
      <c r="E534" s="10">
        <v>30405</v>
      </c>
    </row>
    <row r="535" spans="2:5" hidden="1">
      <c r="B535" s="11" t="s">
        <v>229</v>
      </c>
      <c r="C535" s="11"/>
      <c r="D535" s="11"/>
      <c r="E535" s="10">
        <v>37801</v>
      </c>
    </row>
    <row r="536" spans="2:5" hidden="1">
      <c r="B536" s="11" t="s">
        <v>101</v>
      </c>
      <c r="C536" s="11"/>
      <c r="D536" s="11"/>
      <c r="E536" s="10">
        <v>32405</v>
      </c>
    </row>
    <row r="537" spans="2:5" hidden="1">
      <c r="B537" s="11" t="s">
        <v>263</v>
      </c>
      <c r="C537" s="11"/>
      <c r="D537" s="11"/>
      <c r="E537" s="10">
        <v>39204</v>
      </c>
    </row>
    <row r="538" spans="2:5" hidden="1">
      <c r="B538" s="11" t="s">
        <v>158</v>
      </c>
      <c r="C538" s="11"/>
      <c r="D538" s="11"/>
      <c r="E538" s="10">
        <v>35005</v>
      </c>
    </row>
    <row r="539" spans="2:5" hidden="1">
      <c r="B539" s="11" t="s">
        <v>244</v>
      </c>
      <c r="C539" s="11"/>
      <c r="D539" s="11"/>
      <c r="E539" s="10">
        <v>38405</v>
      </c>
    </row>
    <row r="540" spans="2:5" hidden="1">
      <c r="B540" s="11" t="s">
        <v>242</v>
      </c>
      <c r="C540" s="11"/>
      <c r="D540" s="11"/>
      <c r="E540" s="10">
        <v>38400</v>
      </c>
    </row>
    <row r="541" spans="2:5" hidden="1">
      <c r="B541" s="11" t="s">
        <v>192</v>
      </c>
      <c r="C541" s="11"/>
      <c r="D541" s="11"/>
      <c r="E541" s="10">
        <v>36302</v>
      </c>
    </row>
    <row r="542" spans="2:5" hidden="1">
      <c r="B542" s="11" t="s">
        <v>2</v>
      </c>
      <c r="C542" s="11"/>
      <c r="D542" s="11"/>
      <c r="E542" s="10">
        <v>10500</v>
      </c>
    </row>
    <row r="543" spans="2:5" hidden="1">
      <c r="B543" s="11" t="s">
        <v>14</v>
      </c>
      <c r="C543" s="11"/>
      <c r="D543" s="11"/>
      <c r="E543" s="10">
        <v>11900</v>
      </c>
    </row>
    <row r="544" spans="2:5" hidden="1">
      <c r="B544" s="11" t="s">
        <v>285</v>
      </c>
      <c r="C544" s="11"/>
      <c r="D544" s="11"/>
      <c r="E544" s="10">
        <v>18670</v>
      </c>
    </row>
    <row r="545" spans="2:5" hidden="1">
      <c r="B545" s="11" t="s">
        <v>24</v>
      </c>
      <c r="C545" s="11"/>
      <c r="D545" s="11"/>
      <c r="E545" s="10">
        <v>14300</v>
      </c>
    </row>
    <row r="546" spans="2:5" hidden="1">
      <c r="B546" s="11" t="s">
        <v>245</v>
      </c>
      <c r="C546" s="11"/>
      <c r="D546" s="11"/>
      <c r="E546" s="10">
        <v>38500</v>
      </c>
    </row>
    <row r="547" spans="2:5" hidden="1">
      <c r="B547" s="11" t="s">
        <v>154</v>
      </c>
      <c r="C547" s="11"/>
      <c r="D547" s="11"/>
      <c r="E547" s="10">
        <v>34903</v>
      </c>
    </row>
    <row r="548" spans="2:5" hidden="1">
      <c r="B548" s="11" t="s">
        <v>249</v>
      </c>
      <c r="C548" s="11"/>
      <c r="D548" s="11"/>
      <c r="E548" s="10">
        <v>38605</v>
      </c>
    </row>
    <row r="549" spans="2:5" hidden="1">
      <c r="B549" s="11" t="s">
        <v>246</v>
      </c>
      <c r="C549" s="11"/>
      <c r="D549" s="11"/>
      <c r="E549" s="10">
        <v>38600</v>
      </c>
    </row>
    <row r="550" spans="2:5" hidden="1">
      <c r="B550" s="11" t="s">
        <v>252</v>
      </c>
      <c r="C550" s="11"/>
      <c r="D550" s="11"/>
      <c r="E550" s="10">
        <v>38700</v>
      </c>
    </row>
    <row r="551" spans="2:5" hidden="1">
      <c r="B551" s="11" t="s">
        <v>57</v>
      </c>
      <c r="C551" s="11"/>
      <c r="D551" s="11"/>
      <c r="E551" s="10">
        <v>30104</v>
      </c>
    </row>
    <row r="552" spans="2:5" hidden="1">
      <c r="B552" s="11" t="s">
        <v>113</v>
      </c>
      <c r="C552" s="11"/>
      <c r="D552" s="11"/>
      <c r="E552" s="10">
        <v>32920</v>
      </c>
    </row>
    <row r="553" spans="2:5" hidden="1">
      <c r="B553" s="11" t="s">
        <v>254</v>
      </c>
      <c r="C553" s="11"/>
      <c r="D553" s="11"/>
      <c r="E553" s="10">
        <v>38800</v>
      </c>
    </row>
    <row r="554" spans="2:5" hidden="1">
      <c r="B554" s="11" t="s">
        <v>95</v>
      </c>
      <c r="C554" s="11"/>
      <c r="D554" s="11"/>
      <c r="E554" s="10">
        <v>32005</v>
      </c>
    </row>
    <row r="555" spans="2:5" hidden="1">
      <c r="B555" s="11" t="s">
        <v>271</v>
      </c>
      <c r="C555" s="11"/>
      <c r="D555" s="11"/>
      <c r="E555" s="10">
        <v>39501</v>
      </c>
    </row>
    <row r="556" spans="2:5" hidden="1">
      <c r="B556" s="11" t="s">
        <v>256</v>
      </c>
      <c r="C556" s="11"/>
      <c r="D556" s="11"/>
      <c r="E556" s="10">
        <v>38900</v>
      </c>
    </row>
    <row r="557" spans="2:5" hidden="1">
      <c r="B557" s="11" t="s">
        <v>41</v>
      </c>
      <c r="C557" s="11"/>
      <c r="D557" s="11"/>
      <c r="E557" s="10">
        <v>21200</v>
      </c>
    </row>
    <row r="558" spans="2:5" hidden="1">
      <c r="B558" s="11" t="s">
        <v>45</v>
      </c>
      <c r="C558" s="11"/>
      <c r="D558" s="11"/>
      <c r="E558" s="10">
        <v>21550</v>
      </c>
    </row>
    <row r="559" spans="2:5" hidden="1">
      <c r="B559" s="11" t="s">
        <v>43</v>
      </c>
      <c r="C559" s="11"/>
      <c r="D559" s="11"/>
      <c r="E559" s="10">
        <v>21520</v>
      </c>
    </row>
    <row r="560" spans="2:5" hidden="1">
      <c r="B560" s="11" t="s">
        <v>44</v>
      </c>
      <c r="C560" s="11"/>
      <c r="D560" s="11"/>
      <c r="E560" s="10">
        <v>21525</v>
      </c>
    </row>
    <row r="561" spans="2:5" hidden="1">
      <c r="B561" s="11" t="s">
        <v>257</v>
      </c>
      <c r="C561" s="11"/>
      <c r="D561" s="11"/>
      <c r="E561" s="10">
        <v>39000</v>
      </c>
    </row>
    <row r="562" spans="2:5" hidden="1">
      <c r="B562" s="11" t="s">
        <v>50</v>
      </c>
      <c r="C562" s="11"/>
      <c r="D562" s="11"/>
      <c r="E562" s="10">
        <v>23000</v>
      </c>
    </row>
    <row r="563" spans="2:5" hidden="1">
      <c r="B563" s="11" t="s">
        <v>51</v>
      </c>
      <c r="C563" s="11"/>
      <c r="D563" s="11"/>
      <c r="E563" s="10">
        <v>23100</v>
      </c>
    </row>
    <row r="564" spans="2:5" hidden="1">
      <c r="B564" s="11" t="s">
        <v>40</v>
      </c>
      <c r="C564" s="11"/>
      <c r="D564" s="11"/>
      <c r="E564" s="10">
        <v>20900</v>
      </c>
    </row>
    <row r="565" spans="2:5" hidden="1">
      <c r="B565" s="11" t="s">
        <v>52</v>
      </c>
      <c r="C565" s="11"/>
      <c r="D565" s="11"/>
      <c r="E565" s="10">
        <v>23200</v>
      </c>
    </row>
    <row r="566" spans="2:5" hidden="1">
      <c r="B566" s="11" t="s">
        <v>46</v>
      </c>
      <c r="C566" s="11"/>
      <c r="D566" s="11"/>
      <c r="E566" s="10">
        <v>21570</v>
      </c>
    </row>
    <row r="567" spans="2:5" hidden="1">
      <c r="B567" s="11" t="s">
        <v>223</v>
      </c>
      <c r="C567" s="11"/>
      <c r="D567" s="11"/>
      <c r="E567" s="10">
        <v>37601</v>
      </c>
    </row>
    <row r="568" spans="2:5" hidden="1">
      <c r="B568" s="11" t="s">
        <v>259</v>
      </c>
      <c r="C568" s="11"/>
      <c r="D568" s="11"/>
      <c r="E568" s="10">
        <v>39101</v>
      </c>
    </row>
    <row r="569" spans="2:5" hidden="1">
      <c r="B569" s="11" t="s">
        <v>258</v>
      </c>
      <c r="C569" s="11"/>
      <c r="D569" s="11"/>
      <c r="E569" s="10">
        <v>39100</v>
      </c>
    </row>
    <row r="570" spans="2:5" hidden="1">
      <c r="B570" s="11" t="s">
        <v>260</v>
      </c>
      <c r="C570" s="11"/>
      <c r="D570" s="11"/>
      <c r="E570" s="10">
        <v>39105</v>
      </c>
    </row>
    <row r="571" spans="2:5" hidden="1">
      <c r="B571" s="11" t="s">
        <v>122</v>
      </c>
      <c r="C571" s="11"/>
      <c r="D571" s="11"/>
      <c r="E571" s="10">
        <v>33204</v>
      </c>
    </row>
    <row r="572" spans="2:5" hidden="1">
      <c r="B572" s="11" t="s">
        <v>261</v>
      </c>
      <c r="C572" s="11"/>
      <c r="D572" s="11"/>
      <c r="E572" s="10">
        <v>39200</v>
      </c>
    </row>
    <row r="573" spans="2:5" hidden="1">
      <c r="B573" s="11" t="s">
        <v>264</v>
      </c>
      <c r="C573" s="11"/>
      <c r="D573" s="11"/>
      <c r="E573" s="10">
        <v>39205</v>
      </c>
    </row>
    <row r="574" spans="2:5" hidden="1">
      <c r="B574" s="11" t="s">
        <v>266</v>
      </c>
      <c r="C574" s="11"/>
      <c r="D574" s="11"/>
      <c r="E574" s="10">
        <v>39300</v>
      </c>
    </row>
    <row r="575" spans="2:5" hidden="1">
      <c r="B575" s="11" t="s">
        <v>268</v>
      </c>
      <c r="C575" s="11"/>
      <c r="D575" s="11"/>
      <c r="E575" s="10">
        <v>39400</v>
      </c>
    </row>
    <row r="576" spans="2:5" hidden="1">
      <c r="B576" s="11" t="s">
        <v>270</v>
      </c>
      <c r="C576" s="11"/>
      <c r="D576" s="11"/>
      <c r="E576" s="10">
        <v>39500</v>
      </c>
    </row>
    <row r="577" spans="2:5" hidden="1">
      <c r="B577" s="11" t="s">
        <v>273</v>
      </c>
      <c r="C577" s="11"/>
      <c r="D577" s="11"/>
      <c r="E577" s="10">
        <v>39605</v>
      </c>
    </row>
    <row r="578" spans="2:5" hidden="1">
      <c r="B578" s="11" t="s">
        <v>272</v>
      </c>
      <c r="C578" s="11"/>
      <c r="D578" s="11"/>
      <c r="E578" s="10">
        <v>39600</v>
      </c>
    </row>
    <row r="579" spans="2:5" hidden="1">
      <c r="B579" s="11" t="s">
        <v>143</v>
      </c>
      <c r="C579" s="11"/>
      <c r="D579" s="11"/>
      <c r="E579" s="10">
        <v>34230</v>
      </c>
    </row>
    <row r="580" spans="2:5" hidden="1">
      <c r="B580" s="11" t="s">
        <v>47</v>
      </c>
      <c r="C580" s="11"/>
      <c r="D580" s="11"/>
      <c r="E580" s="10">
        <v>21800</v>
      </c>
    </row>
    <row r="581" spans="2:5" hidden="1">
      <c r="B581" s="11" t="s">
        <v>79</v>
      </c>
      <c r="C581" s="11"/>
      <c r="D581" s="11"/>
      <c r="E581" s="10">
        <v>31205</v>
      </c>
    </row>
    <row r="582" spans="2:5" hidden="1">
      <c r="B582" s="11" t="s">
        <v>102</v>
      </c>
      <c r="C582" s="11"/>
      <c r="D582" s="11"/>
      <c r="E582" s="10">
        <v>32410</v>
      </c>
    </row>
    <row r="583" spans="2:5" hidden="1">
      <c r="B583" s="11" t="s">
        <v>13</v>
      </c>
      <c r="C583" s="11"/>
      <c r="D583" s="11"/>
      <c r="E583" s="10">
        <v>11600</v>
      </c>
    </row>
    <row r="584" spans="2:5" hidden="1">
      <c r="B584" s="11" t="s">
        <v>276</v>
      </c>
      <c r="C584" s="11"/>
      <c r="D584" s="11"/>
      <c r="E584" s="10">
        <v>39705</v>
      </c>
    </row>
    <row r="585" spans="2:5" hidden="1">
      <c r="B585" s="11" t="s">
        <v>274</v>
      </c>
      <c r="C585" s="11"/>
      <c r="D585" s="11"/>
      <c r="E585" s="10">
        <v>39700</v>
      </c>
    </row>
    <row r="586" spans="2:5" hidden="1">
      <c r="B586" s="11" t="s">
        <v>198</v>
      </c>
      <c r="C586" s="11"/>
      <c r="D586" s="11"/>
      <c r="E586" s="10">
        <v>36502</v>
      </c>
    </row>
    <row r="587" spans="2:5" hidden="1">
      <c r="B587" s="11" t="s">
        <v>278</v>
      </c>
      <c r="C587" s="11"/>
      <c r="D587" s="11"/>
      <c r="E587" s="10">
        <v>39805</v>
      </c>
    </row>
    <row r="588" spans="2:5" hidden="1">
      <c r="B588" s="11" t="s">
        <v>277</v>
      </c>
      <c r="C588" s="11"/>
      <c r="D588" s="11"/>
      <c r="E588" s="10">
        <v>39800</v>
      </c>
    </row>
    <row r="589" spans="2:5" hidden="1">
      <c r="B589" s="11" t="s">
        <v>48</v>
      </c>
      <c r="C589" s="11"/>
      <c r="D589" s="11"/>
      <c r="E589" s="10">
        <v>21900</v>
      </c>
    </row>
    <row r="590" spans="2:5" hidden="1">
      <c r="B590" s="11" t="s">
        <v>127</v>
      </c>
      <c r="C590" s="11"/>
      <c r="D590" s="11"/>
      <c r="E590" s="10">
        <v>33400</v>
      </c>
    </row>
    <row r="591" spans="2:5" hidden="1">
      <c r="B591" s="11" t="s">
        <v>279</v>
      </c>
      <c r="C591" s="11"/>
      <c r="D591" s="11"/>
      <c r="E591" s="10">
        <v>39900</v>
      </c>
    </row>
    <row r="592" spans="2:5" hidden="1">
      <c r="B592" s="11" t="s">
        <v>53</v>
      </c>
      <c r="C592" s="11"/>
      <c r="D592" s="11"/>
      <c r="E592" s="10">
        <v>30000</v>
      </c>
    </row>
    <row r="593" spans="2:5" hidden="1">
      <c r="B593" s="11" t="s">
        <v>203</v>
      </c>
      <c r="C593" s="11"/>
      <c r="D593" s="11"/>
      <c r="E593" s="10">
        <v>36701</v>
      </c>
    </row>
    <row r="594" spans="2:5">
      <c r="B594" s="11"/>
      <c r="C594" s="11"/>
      <c r="D594" s="11"/>
      <c r="E594" s="10"/>
    </row>
    <row r="595" spans="2:5">
      <c r="B595" s="11"/>
      <c r="C595" s="11"/>
      <c r="D595" s="11"/>
      <c r="E595" s="10"/>
    </row>
    <row r="596" spans="2:5">
      <c r="B596" s="11"/>
      <c r="C596" s="11"/>
      <c r="D596" s="11"/>
      <c r="E596" s="10"/>
    </row>
    <row r="597" spans="2:5">
      <c r="B597" s="11"/>
      <c r="C597" s="11"/>
      <c r="D597" s="11"/>
      <c r="E597" s="10"/>
    </row>
    <row r="598" spans="2:5">
      <c r="B598" s="11"/>
      <c r="C598" s="11"/>
      <c r="D598" s="11"/>
      <c r="E598" s="10"/>
    </row>
    <row r="599" spans="2:5">
      <c r="B599" s="11"/>
      <c r="C599" s="11"/>
      <c r="D599" s="11"/>
      <c r="E599" s="10"/>
    </row>
    <row r="600" spans="2:5">
      <c r="B600" s="11"/>
      <c r="C600" s="11"/>
      <c r="D600" s="11"/>
      <c r="E600" s="10"/>
    </row>
  </sheetData>
  <sortState ref="B300:C589">
    <sortCondition ref="B300"/>
  </sortState>
  <pageMargins left="0.25" right="0.25" top="0.5" bottom="0.5" header="0.3" footer="0.3"/>
  <pageSetup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Category xmlns="b0d8bf0e-b15b-456f-8ae4-2bdf59acac1f" xsi:nil="true"/>
    <Description0 xmlns="b0d8bf0e-b15b-456f-8ae4-2bdf59acac1f" xsi:nil="true"/>
    <Resource_x0020_Group xmlns="b0d8bf0e-b15b-456f-8ae4-2bdf59acac1f" xsi:nil="true"/>
    <Resource_x0020_Category xmlns="b0d8bf0e-b15b-456f-8ae4-2bdf59acac1f" xsi:nil="true"/>
    <Publication_x0020_Date xmlns="b0d8bf0e-b15b-456f-8ae4-2bdf59acac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008BCB-757F-4744-8D3C-EE7ECEA9AFD5}"/>
</file>

<file path=customXml/itemProps2.xml><?xml version="1.0" encoding="utf-8"?>
<ds:datastoreItem xmlns:ds="http://schemas.openxmlformats.org/officeDocument/2006/customXml" ds:itemID="{D98A7471-F53B-449F-8665-C563C160D6EF}"/>
</file>

<file path=customXml/itemProps3.xml><?xml version="1.0" encoding="utf-8"?>
<ds:datastoreItem xmlns:ds="http://schemas.openxmlformats.org/officeDocument/2006/customXml" ds:itemID="{94076127-00E2-4970-8C98-5D83A037350C}"/>
</file>

<file path=customXml/itemProps4.xml><?xml version="1.0" encoding="utf-8"?>
<ds:datastoreItem xmlns:ds="http://schemas.openxmlformats.org/officeDocument/2006/customXml" ds:itemID="{089C334A-FBCA-4123-BCDA-666A84C804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Info</vt:lpstr>
      <vt:lpstr>JE Template</vt:lpstr>
      <vt:lpstr>CY - Summary Exhibit</vt:lpstr>
      <vt:lpstr>PY1 - Summary Exhibit</vt:lpstr>
      <vt:lpstr>PY2 - Summary Exhibit</vt:lpstr>
      <vt:lpstr>'PY1 - Summary Exhibit'!Print_Area</vt:lpstr>
      <vt:lpstr>'PY2 - Summary Exhibit'!Print_Area</vt:lpstr>
      <vt:lpstr>'CY - Summary Exhibit'!Print_Titles</vt:lpstr>
      <vt:lpstr>'PY1 - Summary Exhibit'!Print_Titles</vt:lpstr>
      <vt:lpstr>'PY2 - Summary Exhibit'!Print_Titles</vt:lpstr>
    </vt:vector>
  </TitlesOfParts>
  <Company>NCDST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Tarlton</dc:creator>
  <cp:lastModifiedBy>Preeta Nayak</cp:lastModifiedBy>
  <cp:lastPrinted>2016-02-17T19:22:39Z</cp:lastPrinted>
  <dcterms:created xsi:type="dcterms:W3CDTF">2015-01-07T18:39:17Z</dcterms:created>
  <dcterms:modified xsi:type="dcterms:W3CDTF">2017-07-06T11:14:07Z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